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drawings/drawing3.xml" ContentType="application/vnd.openxmlformats-officedocument.drawingml.chartshapes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drawings/drawing4.xml" ContentType="application/vnd.openxmlformats-officedocument.drawing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drawings/drawing5.xml" ContentType="application/vnd.openxmlformats-officedocument.drawingml.chartshapes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C:\Users\ajohnson25\Desktop\"/>
    </mc:Choice>
  </mc:AlternateContent>
  <xr:revisionPtr revIDLastSave="0" documentId="8_{E8BCF5F5-64BE-4264-9F8A-FAAD44D70276}" xr6:coauthVersionLast="47" xr6:coauthVersionMax="47" xr10:uidLastSave="{00000000-0000-0000-0000-000000000000}"/>
  <bookViews>
    <workbookView xWindow="-120" yWindow="-120" windowWidth="29040" windowHeight="15840" tabRatio="775" xr2:uid="{00000000-000D-0000-FFFF-FFFF00000000}"/>
  </bookViews>
  <sheets>
    <sheet name="Input" sheetId="15" r:id="rId1"/>
    <sheet name="2021 Library Quick Report" sheetId="25" r:id="rId2"/>
    <sheet name="2021 Individual Charts" sheetId="18" r:id="rId3"/>
    <sheet name="2021 Comparison Charts" sheetId="16" r:id="rId4"/>
    <sheet name="2021Data" sheetId="24" state="hidden" r:id="rId5"/>
    <sheet name="branch" sheetId="27" state="hidden" r:id="rId6"/>
    <sheet name="BranchInfo" sheetId="28" state="hidden" r:id="rId7"/>
  </sheets>
  <definedNames>
    <definedName name="_2019_Charts">Input!$C$13</definedName>
    <definedName name="_xlnm._FilterDatabase" localSheetId="4" hidden="1">'2021Data'!$A$1:$EB$87</definedName>
    <definedName name="_xlnm._FilterDatabase" localSheetId="0" hidden="1">Input!$B$42:$AG$43</definedName>
    <definedName name="Comparison_Library_City" localSheetId="4">'2021Data'!$A$1:$A$84</definedName>
    <definedName name="_xlnm.Print_Area" localSheetId="3">'2021 Comparison Charts'!$A$1:$K$331</definedName>
    <definedName name="_xlnm.Print_Area" localSheetId="2">'2021 Individual Charts'!$A$1:$O$227</definedName>
    <definedName name="_xlnm.Print_Area" localSheetId="1">'2021 Library Quick Report'!$B$2:$F$58</definedName>
    <definedName name="_xlnm.Print_Area" localSheetId="0">Input!$A$1:$H$29</definedName>
  </definedNames>
  <calcPr calcId="191029"/>
  <pivotCaches>
    <pivotCache cacheId="0" r:id="rId8"/>
    <pivotCache cacheId="1" r:id="rId9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X41" i="24" l="1"/>
  <c r="BR81" i="24"/>
  <c r="BR80" i="24"/>
  <c r="BR79" i="24"/>
  <c r="BR78" i="24"/>
  <c r="BR73" i="24"/>
  <c r="BR72" i="24"/>
  <c r="BR71" i="24"/>
  <c r="BR70" i="24"/>
  <c r="BR65" i="24"/>
  <c r="BR64" i="24"/>
  <c r="BR63" i="24"/>
  <c r="BR62" i="24"/>
  <c r="BR57" i="24"/>
  <c r="BR56" i="24"/>
  <c r="BR55" i="24"/>
  <c r="BR54" i="24"/>
  <c r="BR49" i="24"/>
  <c r="BR48" i="24"/>
  <c r="BR47" i="24"/>
  <c r="BR46" i="24"/>
  <c r="BR41" i="24"/>
  <c r="BR40" i="24"/>
  <c r="BR39" i="24"/>
  <c r="BR38" i="24"/>
  <c r="BR33" i="24"/>
  <c r="BR31" i="24"/>
  <c r="BR30" i="24"/>
  <c r="BR25" i="24"/>
  <c r="BR24" i="24"/>
  <c r="BR23" i="24"/>
  <c r="BR22" i="24"/>
  <c r="BR17" i="24"/>
  <c r="BR16" i="24"/>
  <c r="BR15" i="24"/>
  <c r="BR14" i="24"/>
  <c r="BR9" i="24"/>
  <c r="BR8" i="24"/>
  <c r="BR7" i="24"/>
  <c r="BR6" i="24"/>
  <c r="BR2" i="24"/>
  <c r="BR3" i="24"/>
  <c r="BR4" i="24"/>
  <c r="BR5" i="24"/>
  <c r="BR10" i="24"/>
  <c r="BR11" i="24"/>
  <c r="BR12" i="24"/>
  <c r="BR13" i="24"/>
  <c r="BR18" i="24"/>
  <c r="BR19" i="24"/>
  <c r="BR20" i="24"/>
  <c r="BR21" i="24"/>
  <c r="BR26" i="24"/>
  <c r="BR27" i="24"/>
  <c r="BR28" i="24"/>
  <c r="BR29" i="24"/>
  <c r="BR34" i="24"/>
  <c r="BR35" i="24"/>
  <c r="BR36" i="24"/>
  <c r="BR37" i="24"/>
  <c r="BR42" i="24"/>
  <c r="BR43" i="24"/>
  <c r="BR44" i="24"/>
  <c r="BR45" i="24"/>
  <c r="BR50" i="24"/>
  <c r="BR51" i="24"/>
  <c r="BR52" i="24"/>
  <c r="BR53" i="24"/>
  <c r="BR58" i="24"/>
  <c r="BR59" i="24"/>
  <c r="BR60" i="24"/>
  <c r="BR61" i="24"/>
  <c r="BR66" i="24"/>
  <c r="BR67" i="24"/>
  <c r="BR68" i="24"/>
  <c r="BR69" i="24"/>
  <c r="BR74" i="24"/>
  <c r="BR75" i="24"/>
  <c r="BR76" i="24"/>
  <c r="BR77" i="24"/>
  <c r="BR82" i="24"/>
  <c r="BR83" i="24"/>
  <c r="D93" i="24"/>
  <c r="E105" i="24"/>
  <c r="D105" i="24"/>
  <c r="C105" i="24"/>
  <c r="B106" i="24" s="1"/>
  <c r="B105" i="24"/>
  <c r="BR32" i="24" l="1"/>
  <c r="BR87" i="24" s="1"/>
  <c r="DP87" i="24" l="1"/>
  <c r="DL87" i="24"/>
  <c r="DK87" i="24"/>
  <c r="DJ87" i="24"/>
  <c r="DI87" i="24"/>
  <c r="DG87" i="24"/>
  <c r="DF87" i="24"/>
  <c r="DE87" i="24"/>
  <c r="DD87" i="24"/>
  <c r="DC87" i="24"/>
  <c r="DB87" i="24"/>
  <c r="DA87" i="24"/>
  <c r="CZ87" i="24"/>
  <c r="CY87" i="24"/>
  <c r="CX87" i="24"/>
  <c r="CW87" i="24"/>
  <c r="CV87" i="24"/>
  <c r="CU87" i="24"/>
  <c r="CS87" i="24"/>
  <c r="CR87" i="24"/>
  <c r="CQ87" i="24"/>
  <c r="CO87" i="24"/>
  <c r="CN87" i="24"/>
  <c r="CM87" i="24"/>
  <c r="CL87" i="24"/>
  <c r="CK87" i="24"/>
  <c r="CF87" i="24"/>
  <c r="CE87" i="24"/>
  <c r="CD87" i="24"/>
  <c r="CB87" i="24"/>
  <c r="CA87" i="24"/>
  <c r="BZ87" i="24"/>
  <c r="BT87" i="24"/>
  <c r="BS87" i="24"/>
  <c r="BQ87" i="24"/>
  <c r="BP87" i="24"/>
  <c r="BN87" i="24"/>
  <c r="BM87" i="24"/>
  <c r="BK87" i="24"/>
  <c r="BJ87" i="24"/>
  <c r="BI87" i="24"/>
  <c r="BH87" i="24"/>
  <c r="BG87" i="24"/>
  <c r="BF87" i="24"/>
  <c r="BE87" i="24"/>
  <c r="BD87" i="24"/>
  <c r="BC87" i="24"/>
  <c r="BB87" i="24"/>
  <c r="AZ87" i="24"/>
  <c r="AX87" i="24"/>
  <c r="AW87" i="24"/>
  <c r="AV87" i="24"/>
  <c r="AU87" i="24"/>
  <c r="AT87" i="24"/>
  <c r="AS87" i="24"/>
  <c r="AR87" i="24"/>
  <c r="AP87" i="24"/>
  <c r="AN87" i="24"/>
  <c r="AM87" i="24"/>
  <c r="AL87" i="24"/>
  <c r="AK87" i="24"/>
  <c r="AH87" i="24"/>
  <c r="AG87" i="24"/>
  <c r="AF87" i="24"/>
  <c r="AE87" i="24"/>
  <c r="AD87" i="24"/>
  <c r="AC87" i="24"/>
  <c r="AB87" i="24"/>
  <c r="V87" i="24"/>
  <c r="U87" i="24"/>
  <c r="T87" i="24"/>
  <c r="S87" i="24"/>
  <c r="Q87" i="24"/>
  <c r="P87" i="24"/>
  <c r="O87" i="24"/>
  <c r="N87" i="24"/>
  <c r="K87" i="24"/>
  <c r="J87" i="24"/>
  <c r="I87" i="24"/>
  <c r="G87" i="24"/>
  <c r="F87" i="24"/>
  <c r="E87" i="24"/>
  <c r="D87" i="24"/>
  <c r="DL107" i="24"/>
  <c r="DJ107" i="24"/>
  <c r="DI107" i="24"/>
  <c r="DG107" i="24"/>
  <c r="DF107" i="24"/>
  <c r="DE107" i="24"/>
  <c r="DD107" i="24"/>
  <c r="DC107" i="24"/>
  <c r="DB107" i="24"/>
  <c r="DA107" i="24"/>
  <c r="CZ107" i="24"/>
  <c r="CW107" i="24"/>
  <c r="CV107" i="24"/>
  <c r="CU107" i="24"/>
  <c r="CS107" i="24"/>
  <c r="CR107" i="24"/>
  <c r="CQ107" i="24"/>
  <c r="CO107" i="24"/>
  <c r="CK107" i="24"/>
  <c r="CF107" i="24"/>
  <c r="CE107" i="24"/>
  <c r="CD107" i="24"/>
  <c r="CB107" i="24"/>
  <c r="CA107" i="24"/>
  <c r="BZ107" i="24"/>
  <c r="BT107" i="24"/>
  <c r="BS107" i="24"/>
  <c r="BQ107" i="24"/>
  <c r="BP107" i="24"/>
  <c r="BN107" i="24"/>
  <c r="BM107" i="24"/>
  <c r="BK107" i="24"/>
  <c r="BJ107" i="24"/>
  <c r="BI107" i="24"/>
  <c r="BH107" i="24"/>
  <c r="BG107" i="24"/>
  <c r="BF107" i="24"/>
  <c r="BE107" i="24"/>
  <c r="BD107" i="24"/>
  <c r="BC107" i="24"/>
  <c r="BB107" i="24"/>
  <c r="AZ107" i="24"/>
  <c r="AX107" i="24"/>
  <c r="AW107" i="24"/>
  <c r="AV107" i="24"/>
  <c r="AU107" i="24"/>
  <c r="AT107" i="24"/>
  <c r="AS107" i="24"/>
  <c r="AR107" i="24"/>
  <c r="AP107" i="24"/>
  <c r="AN107" i="24"/>
  <c r="AM107" i="24"/>
  <c r="AL107" i="24"/>
  <c r="AK107" i="24"/>
  <c r="AH107" i="24"/>
  <c r="AE107" i="24"/>
  <c r="AD107" i="24"/>
  <c r="AC107" i="24"/>
  <c r="AB107" i="24"/>
  <c r="V107" i="24"/>
  <c r="U107" i="24"/>
  <c r="T107" i="24"/>
  <c r="S107" i="24"/>
  <c r="Q107" i="24"/>
  <c r="P107" i="24"/>
  <c r="O107" i="24"/>
  <c r="N107" i="24"/>
  <c r="K107" i="24"/>
  <c r="J107" i="24"/>
  <c r="I107" i="24"/>
  <c r="G107" i="24"/>
  <c r="F107" i="24"/>
  <c r="E107" i="24"/>
  <c r="D107" i="24"/>
  <c r="C107" i="24"/>
  <c r="DV120" i="24"/>
  <c r="DU120" i="24"/>
  <c r="DT120" i="24"/>
  <c r="DS120" i="24"/>
  <c r="DR120" i="24"/>
  <c r="DQ120" i="24"/>
  <c r="DP120" i="24"/>
  <c r="DO120" i="24"/>
  <c r="DN120" i="24"/>
  <c r="DM120" i="24"/>
  <c r="DL120" i="24"/>
  <c r="DK120" i="24"/>
  <c r="DJ120" i="24"/>
  <c r="DI120" i="24"/>
  <c r="DG120" i="24"/>
  <c r="DF120" i="24"/>
  <c r="DE120" i="24"/>
  <c r="DD120" i="24"/>
  <c r="DC120" i="24"/>
  <c r="DB120" i="24"/>
  <c r="DA120" i="24"/>
  <c r="CZ120" i="24"/>
  <c r="CY120" i="24"/>
  <c r="CX120" i="24"/>
  <c r="CW120" i="24"/>
  <c r="CV120" i="24"/>
  <c r="CU120" i="24"/>
  <c r="CS120" i="24"/>
  <c r="CR120" i="24"/>
  <c r="CQ120" i="24"/>
  <c r="CO120" i="24"/>
  <c r="CN120" i="24"/>
  <c r="CM120" i="24"/>
  <c r="CL120" i="24"/>
  <c r="CK120" i="24"/>
  <c r="CI120" i="24"/>
  <c r="CF120" i="24"/>
  <c r="CD120" i="24"/>
  <c r="CB120" i="24"/>
  <c r="CA120" i="24"/>
  <c r="BZ120" i="24"/>
  <c r="BY120" i="24"/>
  <c r="BU120" i="24"/>
  <c r="BT120" i="24"/>
  <c r="BS120" i="24"/>
  <c r="BQ120" i="24"/>
  <c r="BP120" i="24"/>
  <c r="BN120" i="24"/>
  <c r="BM120" i="24"/>
  <c r="BK120" i="24"/>
  <c r="BJ120" i="24"/>
  <c r="BI120" i="24"/>
  <c r="BH120" i="24"/>
  <c r="BG120" i="24"/>
  <c r="BF120" i="24"/>
  <c r="BE120" i="24"/>
  <c r="BD120" i="24"/>
  <c r="BC120" i="24"/>
  <c r="BB120" i="24"/>
  <c r="AZ120" i="24"/>
  <c r="AX120" i="24"/>
  <c r="AW120" i="24"/>
  <c r="AV120" i="24"/>
  <c r="AU120" i="24"/>
  <c r="AT120" i="24"/>
  <c r="AS120" i="24"/>
  <c r="AR120" i="24"/>
  <c r="AP120" i="24"/>
  <c r="AN120" i="24"/>
  <c r="AM120" i="24"/>
  <c r="AL120" i="24"/>
  <c r="AK120" i="24"/>
  <c r="AH120" i="24"/>
  <c r="AG120" i="24"/>
  <c r="AF120" i="24"/>
  <c r="AE120" i="24"/>
  <c r="AD120" i="24"/>
  <c r="AC120" i="24"/>
  <c r="AB120" i="24"/>
  <c r="V120" i="24"/>
  <c r="U120" i="24"/>
  <c r="T120" i="24"/>
  <c r="S120" i="24"/>
  <c r="Q120" i="24"/>
  <c r="P120" i="24"/>
  <c r="O120" i="24"/>
  <c r="N120" i="24"/>
  <c r="K120" i="24"/>
  <c r="J120" i="24"/>
  <c r="I120" i="24"/>
  <c r="G120" i="24"/>
  <c r="F120" i="24"/>
  <c r="E120" i="24"/>
  <c r="D120" i="24"/>
  <c r="C120" i="24"/>
  <c r="B120" i="24"/>
  <c r="DV119" i="24"/>
  <c r="DU119" i="24"/>
  <c r="DT119" i="24"/>
  <c r="DS119" i="24"/>
  <c r="DR119" i="24"/>
  <c r="DQ119" i="24"/>
  <c r="DP119" i="24"/>
  <c r="DO119" i="24"/>
  <c r="DN119" i="24"/>
  <c r="DM119" i="24"/>
  <c r="DL119" i="24"/>
  <c r="DK119" i="24"/>
  <c r="DJ119" i="24"/>
  <c r="DI119" i="24"/>
  <c r="DG119" i="24"/>
  <c r="DF119" i="24"/>
  <c r="DE119" i="24"/>
  <c r="DD119" i="24"/>
  <c r="DC119" i="24"/>
  <c r="DB119" i="24"/>
  <c r="DA119" i="24"/>
  <c r="CZ119" i="24"/>
  <c r="CY119" i="24"/>
  <c r="CX119" i="24"/>
  <c r="CW119" i="24"/>
  <c r="CV119" i="24"/>
  <c r="CU119" i="24"/>
  <c r="CS119" i="24"/>
  <c r="CR119" i="24"/>
  <c r="CQ119" i="24"/>
  <c r="CO119" i="24"/>
  <c r="CN119" i="24"/>
  <c r="CM119" i="24"/>
  <c r="CL119" i="24"/>
  <c r="CK119" i="24"/>
  <c r="CI119" i="24"/>
  <c r="CF119" i="24"/>
  <c r="CD119" i="24"/>
  <c r="CB119" i="24"/>
  <c r="CA119" i="24"/>
  <c r="BZ119" i="24"/>
  <c r="BT119" i="24"/>
  <c r="BS119" i="24"/>
  <c r="BQ119" i="24"/>
  <c r="BP119" i="24"/>
  <c r="BN119" i="24"/>
  <c r="BM119" i="24"/>
  <c r="BK119" i="24"/>
  <c r="BJ119" i="24"/>
  <c r="BI119" i="24"/>
  <c r="BH119" i="24"/>
  <c r="BG119" i="24"/>
  <c r="BF119" i="24"/>
  <c r="BE119" i="24"/>
  <c r="BD119" i="24"/>
  <c r="BC119" i="24"/>
  <c r="BB119" i="24"/>
  <c r="AZ119" i="24"/>
  <c r="AX119" i="24"/>
  <c r="AW119" i="24"/>
  <c r="AV119" i="24"/>
  <c r="AU119" i="24"/>
  <c r="AT119" i="24"/>
  <c r="AS119" i="24"/>
  <c r="AR119" i="24"/>
  <c r="AP119" i="24"/>
  <c r="AN119" i="24"/>
  <c r="AM119" i="24"/>
  <c r="AL119" i="24"/>
  <c r="AK119" i="24"/>
  <c r="AH119" i="24"/>
  <c r="AG119" i="24"/>
  <c r="AF119" i="24"/>
  <c r="AE119" i="24"/>
  <c r="AD119" i="24"/>
  <c r="AC119" i="24"/>
  <c r="AB119" i="24"/>
  <c r="V119" i="24"/>
  <c r="U119" i="24"/>
  <c r="T119" i="24"/>
  <c r="S119" i="24"/>
  <c r="Q119" i="24"/>
  <c r="P119" i="24"/>
  <c r="O119" i="24"/>
  <c r="N119" i="24"/>
  <c r="K119" i="24"/>
  <c r="J119" i="24"/>
  <c r="I119" i="24"/>
  <c r="G119" i="24"/>
  <c r="F119" i="24"/>
  <c r="E119" i="24"/>
  <c r="D119" i="24"/>
  <c r="C119" i="24"/>
  <c r="B119" i="24"/>
  <c r="DV118" i="24"/>
  <c r="DU118" i="24"/>
  <c r="DT118" i="24"/>
  <c r="DS118" i="24"/>
  <c r="DR118" i="24"/>
  <c r="DQ118" i="24"/>
  <c r="DP118" i="24"/>
  <c r="DO118" i="24"/>
  <c r="DN118" i="24"/>
  <c r="DM118" i="24"/>
  <c r="DL118" i="24"/>
  <c r="DK118" i="24"/>
  <c r="DJ118" i="24"/>
  <c r="DI118" i="24"/>
  <c r="DG118" i="24"/>
  <c r="DF118" i="24"/>
  <c r="DE118" i="24"/>
  <c r="DD118" i="24"/>
  <c r="DC118" i="24"/>
  <c r="DB118" i="24"/>
  <c r="DA118" i="24"/>
  <c r="CZ118" i="24"/>
  <c r="CY118" i="24"/>
  <c r="CX118" i="24"/>
  <c r="CW118" i="24"/>
  <c r="CV118" i="24"/>
  <c r="CU118" i="24"/>
  <c r="CS118" i="24"/>
  <c r="CR118" i="24"/>
  <c r="CQ118" i="24"/>
  <c r="CO118" i="24"/>
  <c r="CN118" i="24"/>
  <c r="CM118" i="24"/>
  <c r="CL118" i="24"/>
  <c r="CK118" i="24"/>
  <c r="CI118" i="24"/>
  <c r="CF118" i="24"/>
  <c r="CD118" i="24"/>
  <c r="CB118" i="24"/>
  <c r="CA118" i="24"/>
  <c r="BZ118" i="24"/>
  <c r="BX118" i="24"/>
  <c r="BT118" i="24"/>
  <c r="BS118" i="24"/>
  <c r="BQ118" i="24"/>
  <c r="BP118" i="24"/>
  <c r="BO118" i="24"/>
  <c r="BN118" i="24"/>
  <c r="BM118" i="24"/>
  <c r="BK118" i="24"/>
  <c r="BJ118" i="24"/>
  <c r="BI118" i="24"/>
  <c r="BH118" i="24"/>
  <c r="BG118" i="24"/>
  <c r="BF118" i="24"/>
  <c r="BE118" i="24"/>
  <c r="BD118" i="24"/>
  <c r="BC118" i="24"/>
  <c r="BB118" i="24"/>
  <c r="AZ118" i="24"/>
  <c r="AX118" i="24"/>
  <c r="AW118" i="24"/>
  <c r="AV118" i="24"/>
  <c r="AU118" i="24"/>
  <c r="AT118" i="24"/>
  <c r="AS118" i="24"/>
  <c r="AR118" i="24"/>
  <c r="AP118" i="24"/>
  <c r="AN118" i="24"/>
  <c r="AM118" i="24"/>
  <c r="AL118" i="24"/>
  <c r="AK118" i="24"/>
  <c r="AH118" i="24"/>
  <c r="AG118" i="24"/>
  <c r="AF118" i="24"/>
  <c r="AE118" i="24"/>
  <c r="AD118" i="24"/>
  <c r="AC118" i="24"/>
  <c r="AB118" i="24"/>
  <c r="V118" i="24"/>
  <c r="U118" i="24"/>
  <c r="T118" i="24"/>
  <c r="S118" i="24"/>
  <c r="Q118" i="24"/>
  <c r="P118" i="24"/>
  <c r="O118" i="24"/>
  <c r="N118" i="24"/>
  <c r="K118" i="24"/>
  <c r="J118" i="24"/>
  <c r="I118" i="24"/>
  <c r="G118" i="24"/>
  <c r="F118" i="24"/>
  <c r="E118" i="24"/>
  <c r="D118" i="24"/>
  <c r="C118" i="24"/>
  <c r="B118" i="24"/>
  <c r="DV117" i="24"/>
  <c r="DU117" i="24"/>
  <c r="DT117" i="24"/>
  <c r="DS117" i="24"/>
  <c r="DR117" i="24"/>
  <c r="DQ117" i="24"/>
  <c r="DP117" i="24"/>
  <c r="DO117" i="24"/>
  <c r="DN117" i="24"/>
  <c r="DM117" i="24"/>
  <c r="DL117" i="24"/>
  <c r="DK117" i="24"/>
  <c r="DJ117" i="24"/>
  <c r="DI117" i="24"/>
  <c r="DG117" i="24"/>
  <c r="DF117" i="24"/>
  <c r="DE117" i="24"/>
  <c r="DD117" i="24"/>
  <c r="DC117" i="24"/>
  <c r="DB117" i="24"/>
  <c r="DA117" i="24"/>
  <c r="CZ117" i="24"/>
  <c r="CY117" i="24"/>
  <c r="CX117" i="24"/>
  <c r="CW117" i="24"/>
  <c r="CV117" i="24"/>
  <c r="CU117" i="24"/>
  <c r="CS117" i="24"/>
  <c r="CR117" i="24"/>
  <c r="CQ117" i="24"/>
  <c r="CO117" i="24"/>
  <c r="CN117" i="24"/>
  <c r="CM117" i="24"/>
  <c r="CL117" i="24"/>
  <c r="CK117" i="24"/>
  <c r="CI117" i="24"/>
  <c r="CF117" i="24"/>
  <c r="CD117" i="24"/>
  <c r="CB117" i="24"/>
  <c r="CA117" i="24"/>
  <c r="BZ117" i="24"/>
  <c r="BY117" i="24"/>
  <c r="BX117" i="24"/>
  <c r="BT117" i="24"/>
  <c r="BS117" i="24"/>
  <c r="BQ117" i="24"/>
  <c r="BP117" i="24"/>
  <c r="BO117" i="24"/>
  <c r="BN117" i="24"/>
  <c r="BM117" i="24"/>
  <c r="BK117" i="24"/>
  <c r="BJ117" i="24"/>
  <c r="BI117" i="24"/>
  <c r="BH117" i="24"/>
  <c r="BG117" i="24"/>
  <c r="BF117" i="24"/>
  <c r="BE117" i="24"/>
  <c r="BD117" i="24"/>
  <c r="BC117" i="24"/>
  <c r="BB117" i="24"/>
  <c r="AZ117" i="24"/>
  <c r="AX117" i="24"/>
  <c r="AW117" i="24"/>
  <c r="AV117" i="24"/>
  <c r="AU117" i="24"/>
  <c r="AT117" i="24"/>
  <c r="AS117" i="24"/>
  <c r="AR117" i="24"/>
  <c r="AP117" i="24"/>
  <c r="AN117" i="24"/>
  <c r="AM117" i="24"/>
  <c r="AL117" i="24"/>
  <c r="AK117" i="24"/>
  <c r="AH117" i="24"/>
  <c r="AG117" i="24"/>
  <c r="AF117" i="24"/>
  <c r="AE117" i="24"/>
  <c r="AD117" i="24"/>
  <c r="AC117" i="24"/>
  <c r="AB117" i="24"/>
  <c r="V117" i="24"/>
  <c r="U117" i="24"/>
  <c r="T117" i="24"/>
  <c r="S117" i="24"/>
  <c r="Q117" i="24"/>
  <c r="P117" i="24"/>
  <c r="O117" i="24"/>
  <c r="N117" i="24"/>
  <c r="K117" i="24"/>
  <c r="J117" i="24"/>
  <c r="I117" i="24"/>
  <c r="G117" i="24"/>
  <c r="F117" i="24"/>
  <c r="E117" i="24"/>
  <c r="D117" i="24"/>
  <c r="C117" i="24"/>
  <c r="B117" i="24"/>
  <c r="DV116" i="24"/>
  <c r="DU116" i="24"/>
  <c r="DT116" i="24"/>
  <c r="DS116" i="24"/>
  <c r="DR116" i="24"/>
  <c r="DQ116" i="24"/>
  <c r="DP116" i="24"/>
  <c r="DO116" i="24"/>
  <c r="DN116" i="24"/>
  <c r="DM116" i="24"/>
  <c r="DL116" i="24"/>
  <c r="DK116" i="24"/>
  <c r="DJ116" i="24"/>
  <c r="DI116" i="24"/>
  <c r="DG116" i="24"/>
  <c r="DF116" i="24"/>
  <c r="DE116" i="24"/>
  <c r="DD116" i="24"/>
  <c r="DC116" i="24"/>
  <c r="DB116" i="24"/>
  <c r="DA116" i="24"/>
  <c r="CZ116" i="24"/>
  <c r="CY116" i="24"/>
  <c r="CX116" i="24"/>
  <c r="CW116" i="24"/>
  <c r="CV116" i="24"/>
  <c r="CU116" i="24"/>
  <c r="CS116" i="24"/>
  <c r="CR116" i="24"/>
  <c r="CQ116" i="24"/>
  <c r="CO116" i="24"/>
  <c r="CN116" i="24"/>
  <c r="CM116" i="24"/>
  <c r="CL116" i="24"/>
  <c r="CK116" i="24"/>
  <c r="CI116" i="24"/>
  <c r="CF116" i="24"/>
  <c r="CD116" i="24"/>
  <c r="CB116" i="24"/>
  <c r="CA116" i="24"/>
  <c r="BZ116" i="24"/>
  <c r="BY116" i="24"/>
  <c r="BU116" i="24"/>
  <c r="BT116" i="24"/>
  <c r="BS116" i="24"/>
  <c r="BQ116" i="24"/>
  <c r="BP116" i="24"/>
  <c r="BN116" i="24"/>
  <c r="BM116" i="24"/>
  <c r="BK116" i="24"/>
  <c r="BJ116" i="24"/>
  <c r="BI116" i="24"/>
  <c r="BH116" i="24"/>
  <c r="BG116" i="24"/>
  <c r="BF116" i="24"/>
  <c r="BE116" i="24"/>
  <c r="BD116" i="24"/>
  <c r="BC116" i="24"/>
  <c r="BB116" i="24"/>
  <c r="AZ116" i="24"/>
  <c r="AX116" i="24"/>
  <c r="AW116" i="24"/>
  <c r="AV116" i="24"/>
  <c r="AU116" i="24"/>
  <c r="AT116" i="24"/>
  <c r="AS116" i="24"/>
  <c r="AR116" i="24"/>
  <c r="AP116" i="24"/>
  <c r="AN116" i="24"/>
  <c r="AM116" i="24"/>
  <c r="AL116" i="24"/>
  <c r="AK116" i="24"/>
  <c r="AH116" i="24"/>
  <c r="AG116" i="24"/>
  <c r="AF116" i="24"/>
  <c r="AE116" i="24"/>
  <c r="AD116" i="24"/>
  <c r="AC116" i="24"/>
  <c r="AB116" i="24"/>
  <c r="V116" i="24"/>
  <c r="U116" i="24"/>
  <c r="T116" i="24"/>
  <c r="S116" i="24"/>
  <c r="Q116" i="24"/>
  <c r="P116" i="24"/>
  <c r="O116" i="24"/>
  <c r="N116" i="24"/>
  <c r="K116" i="24"/>
  <c r="J116" i="24"/>
  <c r="I116" i="24"/>
  <c r="G116" i="24"/>
  <c r="F116" i="24"/>
  <c r="E116" i="24"/>
  <c r="D116" i="24"/>
  <c r="C116" i="24"/>
  <c r="B116" i="24"/>
  <c r="BO2" i="24"/>
  <c r="BO120" i="24" s="1"/>
  <c r="BU2" i="24"/>
  <c r="BU119" i="24" s="1"/>
  <c r="BW2" i="24"/>
  <c r="BW87" i="24" s="1"/>
  <c r="BX2" i="24"/>
  <c r="BX120" i="24" s="1"/>
  <c r="BY2" i="24"/>
  <c r="BY119" i="24" s="1"/>
  <c r="CC2" i="24"/>
  <c r="BO3" i="24"/>
  <c r="BO107" i="24" s="1"/>
  <c r="BR105" i="24"/>
  <c r="BU3" i="24"/>
  <c r="BW3" i="24"/>
  <c r="BX3" i="24"/>
  <c r="BX107" i="24" s="1"/>
  <c r="BY3" i="24"/>
  <c r="CC3" i="24"/>
  <c r="BO4" i="24"/>
  <c r="BU4" i="24"/>
  <c r="BW4" i="24"/>
  <c r="BX4" i="24"/>
  <c r="BY4" i="24"/>
  <c r="CC4" i="24"/>
  <c r="BO5" i="24"/>
  <c r="BU5" i="24"/>
  <c r="BW5" i="24"/>
  <c r="BX5" i="24"/>
  <c r="BY5" i="24"/>
  <c r="CC5" i="24"/>
  <c r="BO6" i="24"/>
  <c r="BU6" i="24"/>
  <c r="BW6" i="24"/>
  <c r="BX6" i="24"/>
  <c r="BY6" i="24"/>
  <c r="CC6" i="24"/>
  <c r="BO7" i="24"/>
  <c r="BU7" i="24"/>
  <c r="BW7" i="24"/>
  <c r="BX7" i="24"/>
  <c r="BY7" i="24"/>
  <c r="CC7" i="24"/>
  <c r="BO8" i="24"/>
  <c r="BU8" i="24"/>
  <c r="BW8" i="24"/>
  <c r="BX8" i="24"/>
  <c r="BY8" i="24"/>
  <c r="CC8" i="24"/>
  <c r="BO9" i="24"/>
  <c r="BU9" i="24"/>
  <c r="BW9" i="24"/>
  <c r="BX9" i="24"/>
  <c r="BY9" i="24"/>
  <c r="CC9" i="24"/>
  <c r="BO10" i="24"/>
  <c r="BU10" i="24"/>
  <c r="BW10" i="24"/>
  <c r="BX10" i="24"/>
  <c r="BY10" i="24"/>
  <c r="CC10" i="24"/>
  <c r="BO11" i="24"/>
  <c r="BU11" i="24"/>
  <c r="BW11" i="24"/>
  <c r="BX11" i="24"/>
  <c r="BY11" i="24"/>
  <c r="CC11" i="24"/>
  <c r="BO12" i="24"/>
  <c r="BU12" i="24"/>
  <c r="BW12" i="24"/>
  <c r="BX12" i="24"/>
  <c r="BY12" i="24"/>
  <c r="CC12" i="24"/>
  <c r="BO13" i="24"/>
  <c r="BU13" i="24"/>
  <c r="BW13" i="24"/>
  <c r="BX13" i="24"/>
  <c r="BY13" i="24"/>
  <c r="CC13" i="24"/>
  <c r="BO14" i="24"/>
  <c r="BU14" i="24"/>
  <c r="BW14" i="24"/>
  <c r="BX14" i="24"/>
  <c r="BY14" i="24"/>
  <c r="CC14" i="24"/>
  <c r="BO15" i="24"/>
  <c r="BU15" i="24"/>
  <c r="BW15" i="24"/>
  <c r="BX15" i="24"/>
  <c r="BY15" i="24"/>
  <c r="CC15" i="24"/>
  <c r="BO16" i="24"/>
  <c r="BU16" i="24"/>
  <c r="BU96" i="24" s="1"/>
  <c r="BW16" i="24"/>
  <c r="BX16" i="24"/>
  <c r="BY16" i="24"/>
  <c r="CC16" i="24"/>
  <c r="BO17" i="24"/>
  <c r="BU17" i="24"/>
  <c r="BW17" i="24"/>
  <c r="BX17" i="24"/>
  <c r="BY17" i="24"/>
  <c r="CC17" i="24"/>
  <c r="BO18" i="24"/>
  <c r="BU18" i="24"/>
  <c r="BW18" i="24"/>
  <c r="BX18" i="24"/>
  <c r="BY18" i="24"/>
  <c r="CC18" i="24"/>
  <c r="BO19" i="24"/>
  <c r="BU19" i="24"/>
  <c r="BW19" i="24"/>
  <c r="BX19" i="24"/>
  <c r="BY19" i="24"/>
  <c r="CC19" i="24"/>
  <c r="BO20" i="24"/>
  <c r="BU20" i="24"/>
  <c r="BW20" i="24"/>
  <c r="BX20" i="24"/>
  <c r="BY20" i="24"/>
  <c r="CC20" i="24"/>
  <c r="BO21" i="24"/>
  <c r="BU21" i="24"/>
  <c r="BW21" i="24"/>
  <c r="BX21" i="24"/>
  <c r="BY21" i="24"/>
  <c r="CC21" i="24"/>
  <c r="BO22" i="24"/>
  <c r="BU22" i="24"/>
  <c r="BW22" i="24"/>
  <c r="BX22" i="24"/>
  <c r="BY22" i="24"/>
  <c r="CC22" i="24"/>
  <c r="BO23" i="24"/>
  <c r="BU23" i="24"/>
  <c r="BW23" i="24"/>
  <c r="BX23" i="24"/>
  <c r="BY23" i="24"/>
  <c r="CC23" i="24"/>
  <c r="BO24" i="24"/>
  <c r="BU24" i="24"/>
  <c r="BW24" i="24"/>
  <c r="BX24" i="24"/>
  <c r="BY24" i="24"/>
  <c r="CC24" i="24"/>
  <c r="BO25" i="24"/>
  <c r="BU25" i="24"/>
  <c r="BW25" i="24"/>
  <c r="BX25" i="24"/>
  <c r="BY25" i="24"/>
  <c r="CC25" i="24"/>
  <c r="BO26" i="24"/>
  <c r="BU26" i="24"/>
  <c r="BW26" i="24"/>
  <c r="BX26" i="24"/>
  <c r="BY26" i="24"/>
  <c r="CC26" i="24"/>
  <c r="BO27" i="24"/>
  <c r="BU27" i="24"/>
  <c r="BW27" i="24"/>
  <c r="BX27" i="24"/>
  <c r="BY27" i="24"/>
  <c r="CC27" i="24"/>
  <c r="BO28" i="24"/>
  <c r="BU28" i="24"/>
  <c r="BW28" i="24"/>
  <c r="BX28" i="24"/>
  <c r="BY28" i="24"/>
  <c r="CC28" i="24"/>
  <c r="BO29" i="24"/>
  <c r="BU29" i="24"/>
  <c r="BW29" i="24"/>
  <c r="BX29" i="24"/>
  <c r="BY29" i="24"/>
  <c r="CC29" i="24"/>
  <c r="BO30" i="24"/>
  <c r="BU30" i="24"/>
  <c r="BW30" i="24"/>
  <c r="BX30" i="24"/>
  <c r="BY30" i="24"/>
  <c r="CC30" i="24"/>
  <c r="BO31" i="24"/>
  <c r="BR93" i="24"/>
  <c r="BU31" i="24"/>
  <c r="BU93" i="24" s="1"/>
  <c r="BW31" i="24"/>
  <c r="BW93" i="24" s="1"/>
  <c r="BX31" i="24"/>
  <c r="BX93" i="24" s="1"/>
  <c r="BY31" i="24"/>
  <c r="BY93" i="24" s="1"/>
  <c r="CC31" i="24"/>
  <c r="CC93" i="24" s="1"/>
  <c r="BO32" i="24"/>
  <c r="BU32" i="24"/>
  <c r="BW32" i="24"/>
  <c r="BX32" i="24"/>
  <c r="BY32" i="24"/>
  <c r="CC32" i="24"/>
  <c r="BO33" i="24"/>
  <c r="BU33" i="24"/>
  <c r="BW33" i="24"/>
  <c r="BX33" i="24"/>
  <c r="BY33" i="24"/>
  <c r="CC33" i="24"/>
  <c r="BO34" i="24"/>
  <c r="BU34" i="24"/>
  <c r="BW34" i="24"/>
  <c r="BX34" i="24"/>
  <c r="BY34" i="24"/>
  <c r="CC34" i="24"/>
  <c r="BO35" i="24"/>
  <c r="BU35" i="24"/>
  <c r="BW35" i="24"/>
  <c r="BX35" i="24"/>
  <c r="BY35" i="24"/>
  <c r="CC35" i="24"/>
  <c r="BO36" i="24"/>
  <c r="BR94" i="24"/>
  <c r="BU36" i="24"/>
  <c r="BW36" i="24"/>
  <c r="BW94" i="24" s="1"/>
  <c r="BX36" i="24"/>
  <c r="BX94" i="24" s="1"/>
  <c r="BY36" i="24"/>
  <c r="CC36" i="24"/>
  <c r="BO37" i="24"/>
  <c r="BU37" i="24"/>
  <c r="BU94" i="24" s="1"/>
  <c r="BW37" i="24"/>
  <c r="BX37" i="24"/>
  <c r="BY37" i="24"/>
  <c r="CC37" i="24"/>
  <c r="BO38" i="24"/>
  <c r="BU38" i="24"/>
  <c r="BW38" i="24"/>
  <c r="BX38" i="24"/>
  <c r="BY38" i="24"/>
  <c r="CC38" i="24"/>
  <c r="BO39" i="24"/>
  <c r="BU39" i="24"/>
  <c r="BW39" i="24"/>
  <c r="BX39" i="24"/>
  <c r="BY39" i="24"/>
  <c r="CC39" i="24"/>
  <c r="BO40" i="24"/>
  <c r="BU40" i="24"/>
  <c r="BW40" i="24"/>
  <c r="BX40" i="24"/>
  <c r="BY40" i="24"/>
  <c r="CC40" i="24"/>
  <c r="BO41" i="24"/>
  <c r="BU41" i="24"/>
  <c r="BW41" i="24"/>
  <c r="BY41" i="24"/>
  <c r="CC41" i="24"/>
  <c r="BO42" i="24"/>
  <c r="BU42" i="24"/>
  <c r="BW42" i="24"/>
  <c r="BX42" i="24"/>
  <c r="BY42" i="24"/>
  <c r="CC42" i="24"/>
  <c r="BO43" i="24"/>
  <c r="BU43" i="24"/>
  <c r="BW43" i="24"/>
  <c r="BX43" i="24"/>
  <c r="BY43" i="24"/>
  <c r="CC43" i="24"/>
  <c r="BO44" i="24"/>
  <c r="BU44" i="24"/>
  <c r="BW44" i="24"/>
  <c r="BX44" i="24"/>
  <c r="BY44" i="24"/>
  <c r="CC44" i="24"/>
  <c r="BO45" i="24"/>
  <c r="BU45" i="24"/>
  <c r="BW45" i="24"/>
  <c r="BX45" i="24"/>
  <c r="BY45" i="24"/>
  <c r="CC45" i="24"/>
  <c r="BO46" i="24"/>
  <c r="BU46" i="24"/>
  <c r="BW46" i="24"/>
  <c r="BX46" i="24"/>
  <c r="BY46" i="24"/>
  <c r="CC46" i="24"/>
  <c r="BO47" i="24"/>
  <c r="BU47" i="24"/>
  <c r="BW47" i="24"/>
  <c r="BX47" i="24"/>
  <c r="BY47" i="24"/>
  <c r="CC47" i="24"/>
  <c r="BO48" i="24"/>
  <c r="BU48" i="24"/>
  <c r="BW48" i="24"/>
  <c r="BX48" i="24"/>
  <c r="BY48" i="24"/>
  <c r="CC48" i="24"/>
  <c r="BO49" i="24"/>
  <c r="BU49" i="24"/>
  <c r="BW49" i="24"/>
  <c r="BX49" i="24"/>
  <c r="BY49" i="24"/>
  <c r="CC49" i="24"/>
  <c r="BO50" i="24"/>
  <c r="BR95" i="24"/>
  <c r="BU50" i="24"/>
  <c r="BW50" i="24"/>
  <c r="BW95" i="24" s="1"/>
  <c r="BX50" i="24"/>
  <c r="BY50" i="24"/>
  <c r="CC50" i="24"/>
  <c r="BO51" i="24"/>
  <c r="BU51" i="24"/>
  <c r="BW51" i="24"/>
  <c r="BX51" i="24"/>
  <c r="BY51" i="24"/>
  <c r="CC51" i="24"/>
  <c r="BO52" i="24"/>
  <c r="BU52" i="24"/>
  <c r="BW52" i="24"/>
  <c r="BX52" i="24"/>
  <c r="BY52" i="24"/>
  <c r="CC52" i="24"/>
  <c r="BO53" i="24"/>
  <c r="BU53" i="24"/>
  <c r="BW53" i="24"/>
  <c r="BX53" i="24"/>
  <c r="BY53" i="24"/>
  <c r="CC53" i="24"/>
  <c r="BO54" i="24"/>
  <c r="BU54" i="24"/>
  <c r="BW54" i="24"/>
  <c r="BX54" i="24"/>
  <c r="BY54" i="24"/>
  <c r="CC54" i="24"/>
  <c r="BO55" i="24"/>
  <c r="BU55" i="24"/>
  <c r="BW55" i="24"/>
  <c r="BX55" i="24"/>
  <c r="BY55" i="24"/>
  <c r="CC55" i="24"/>
  <c r="BO56" i="24"/>
  <c r="BU56" i="24"/>
  <c r="BW56" i="24"/>
  <c r="BX56" i="24"/>
  <c r="BY56" i="24"/>
  <c r="CC56" i="24"/>
  <c r="BO57" i="24"/>
  <c r="BU57" i="24"/>
  <c r="BW57" i="24"/>
  <c r="BX57" i="24"/>
  <c r="BY57" i="24"/>
  <c r="CC57" i="24"/>
  <c r="BO58" i="24"/>
  <c r="BU58" i="24"/>
  <c r="BW58" i="24"/>
  <c r="BX58" i="24"/>
  <c r="BY58" i="24"/>
  <c r="CC58" i="24"/>
  <c r="BO59" i="24"/>
  <c r="BU59" i="24"/>
  <c r="BW59" i="24"/>
  <c r="BX59" i="24"/>
  <c r="BY59" i="24"/>
  <c r="CC59" i="24"/>
  <c r="BO60" i="24"/>
  <c r="BU60" i="24"/>
  <c r="BW60" i="24"/>
  <c r="BX60" i="24"/>
  <c r="BY60" i="24"/>
  <c r="CC60" i="24"/>
  <c r="BO61" i="24"/>
  <c r="BU61" i="24"/>
  <c r="BW61" i="24"/>
  <c r="BX61" i="24"/>
  <c r="BY61" i="24"/>
  <c r="CC61" i="24"/>
  <c r="BO62" i="24"/>
  <c r="BU62" i="24"/>
  <c r="BW62" i="24"/>
  <c r="BX62" i="24"/>
  <c r="BY62" i="24"/>
  <c r="CC62" i="24"/>
  <c r="BO63" i="24"/>
  <c r="BU63" i="24"/>
  <c r="BW63" i="24"/>
  <c r="BX63" i="24"/>
  <c r="BY63" i="24"/>
  <c r="CC63" i="24"/>
  <c r="BO64" i="24"/>
  <c r="BU64" i="24"/>
  <c r="BW64" i="24"/>
  <c r="BX64" i="24"/>
  <c r="BY64" i="24"/>
  <c r="CC64" i="24"/>
  <c r="BO65" i="24"/>
  <c r="BU65" i="24"/>
  <c r="BW65" i="24"/>
  <c r="BX65" i="24"/>
  <c r="BY65" i="24"/>
  <c r="CC65" i="24"/>
  <c r="BO66" i="24"/>
  <c r="BR96" i="24"/>
  <c r="BU66" i="24"/>
  <c r="BW66" i="24"/>
  <c r="BX66" i="24"/>
  <c r="BY66" i="24"/>
  <c r="CC66" i="24"/>
  <c r="BO67" i="24"/>
  <c r="BU67" i="24"/>
  <c r="BW67" i="24"/>
  <c r="BX67" i="24"/>
  <c r="BY67" i="24"/>
  <c r="CC67" i="24"/>
  <c r="BO68" i="24"/>
  <c r="BU68" i="24"/>
  <c r="BW68" i="24"/>
  <c r="BX68" i="24"/>
  <c r="BY68" i="24"/>
  <c r="CC68" i="24"/>
  <c r="BO69" i="24"/>
  <c r="BU69" i="24"/>
  <c r="BW69" i="24"/>
  <c r="BX69" i="24"/>
  <c r="BY69" i="24"/>
  <c r="CC69" i="24"/>
  <c r="BO70" i="24"/>
  <c r="BU70" i="24"/>
  <c r="BW70" i="24"/>
  <c r="BX70" i="24"/>
  <c r="BY70" i="24"/>
  <c r="CC70" i="24"/>
  <c r="BO71" i="24"/>
  <c r="BU71" i="24"/>
  <c r="BW71" i="24"/>
  <c r="BX71" i="24"/>
  <c r="BY71" i="24"/>
  <c r="CC71" i="24"/>
  <c r="BO72" i="24"/>
  <c r="BU72" i="24"/>
  <c r="BW72" i="24"/>
  <c r="BX72" i="24"/>
  <c r="BY72" i="24"/>
  <c r="CC72" i="24"/>
  <c r="BO73" i="24"/>
  <c r="BU73" i="24"/>
  <c r="BW73" i="24"/>
  <c r="BX73" i="24"/>
  <c r="BY73" i="24"/>
  <c r="CC73" i="24"/>
  <c r="BO74" i="24"/>
  <c r="BU74" i="24"/>
  <c r="BW74" i="24"/>
  <c r="BX74" i="24"/>
  <c r="BY74" i="24"/>
  <c r="CC74" i="24"/>
  <c r="BO75" i="24"/>
  <c r="BU75" i="24"/>
  <c r="BW75" i="24"/>
  <c r="BX75" i="24"/>
  <c r="BY75" i="24"/>
  <c r="CC75" i="24"/>
  <c r="BO76" i="24"/>
  <c r="BU76" i="24"/>
  <c r="BU97" i="24" s="1"/>
  <c r="BW76" i="24"/>
  <c r="BX76" i="24"/>
  <c r="BY76" i="24"/>
  <c r="CC76" i="24"/>
  <c r="BO77" i="24"/>
  <c r="BU77" i="24"/>
  <c r="BW77" i="24"/>
  <c r="BX77" i="24"/>
  <c r="BY77" i="24"/>
  <c r="CC77" i="24"/>
  <c r="BO78" i="24"/>
  <c r="BU78" i="24"/>
  <c r="BW78" i="24"/>
  <c r="BX78" i="24"/>
  <c r="BY78" i="24"/>
  <c r="BY95" i="24" s="1"/>
  <c r="CC78" i="24"/>
  <c r="BO79" i="24"/>
  <c r="BU79" i="24"/>
  <c r="BW79" i="24"/>
  <c r="BX79" i="24"/>
  <c r="BY79" i="24"/>
  <c r="CC79" i="24"/>
  <c r="BO80" i="24"/>
  <c r="DY80" i="24"/>
  <c r="BU80" i="24"/>
  <c r="BW80" i="24"/>
  <c r="BX80" i="24"/>
  <c r="BY80" i="24"/>
  <c r="CC80" i="24"/>
  <c r="BO81" i="24"/>
  <c r="BU81" i="24"/>
  <c r="BW81" i="24"/>
  <c r="BX81" i="24"/>
  <c r="BY81" i="24"/>
  <c r="CC81" i="24"/>
  <c r="BO82" i="24"/>
  <c r="BU82" i="24"/>
  <c r="BW82" i="24"/>
  <c r="BX82" i="24"/>
  <c r="BY82" i="24"/>
  <c r="CC82" i="24"/>
  <c r="BO83" i="24"/>
  <c r="BU83" i="24"/>
  <c r="BW83" i="24"/>
  <c r="BX83" i="24"/>
  <c r="BY83" i="24"/>
  <c r="CC83" i="24"/>
  <c r="BN93" i="24"/>
  <c r="BO93" i="24"/>
  <c r="BP93" i="24"/>
  <c r="BQ93" i="24"/>
  <c r="BS93" i="24"/>
  <c r="BT93" i="24"/>
  <c r="BZ93" i="24"/>
  <c r="CA93" i="24"/>
  <c r="CB93" i="24"/>
  <c r="BN94" i="24"/>
  <c r="BO94" i="24"/>
  <c r="BP94" i="24"/>
  <c r="BQ94" i="24"/>
  <c r="BS94" i="24"/>
  <c r="BT94" i="24"/>
  <c r="BY94" i="24"/>
  <c r="BZ94" i="24"/>
  <c r="CA94" i="24"/>
  <c r="CB94" i="24"/>
  <c r="BN95" i="24"/>
  <c r="BP95" i="24"/>
  <c r="BQ95" i="24"/>
  <c r="BS95" i="24"/>
  <c r="BT95" i="24"/>
  <c r="BU95" i="24"/>
  <c r="BZ95" i="24"/>
  <c r="CA95" i="24"/>
  <c r="CB95" i="24"/>
  <c r="BN96" i="24"/>
  <c r="BP96" i="24"/>
  <c r="BQ96" i="24"/>
  <c r="BS96" i="24"/>
  <c r="BT96" i="24"/>
  <c r="BZ96" i="24"/>
  <c r="CA96" i="24"/>
  <c r="CB96" i="24"/>
  <c r="BN97" i="24"/>
  <c r="BP97" i="24"/>
  <c r="BQ97" i="24"/>
  <c r="BS97" i="24"/>
  <c r="BT97" i="24"/>
  <c r="BW97" i="24"/>
  <c r="BZ97" i="24"/>
  <c r="CA97" i="24"/>
  <c r="CB97" i="24"/>
  <c r="DU105" i="24"/>
  <c r="DT105" i="24"/>
  <c r="DS105" i="24"/>
  <c r="DR105" i="24"/>
  <c r="DQ105" i="24"/>
  <c r="DP105" i="24"/>
  <c r="DO105" i="24"/>
  <c r="DN105" i="24"/>
  <c r="DM105" i="24"/>
  <c r="DL105" i="24"/>
  <c r="DK105" i="24"/>
  <c r="DJ105" i="24"/>
  <c r="DI105" i="24"/>
  <c r="DG105" i="24"/>
  <c r="DF105" i="24"/>
  <c r="DE105" i="24"/>
  <c r="DD105" i="24"/>
  <c r="DC105" i="24"/>
  <c r="DB105" i="24"/>
  <c r="DA105" i="24"/>
  <c r="CZ105" i="24"/>
  <c r="CY105" i="24"/>
  <c r="CX105" i="24"/>
  <c r="CW105" i="24"/>
  <c r="CV105" i="24"/>
  <c r="CU105" i="24"/>
  <c r="CS105" i="24"/>
  <c r="CR105" i="24"/>
  <c r="CQ105" i="24"/>
  <c r="CO105" i="24"/>
  <c r="CN105" i="24"/>
  <c r="CM105" i="24"/>
  <c r="CL105" i="24"/>
  <c r="CK105" i="24"/>
  <c r="CI105" i="24"/>
  <c r="CF105" i="24"/>
  <c r="CD105" i="24"/>
  <c r="CC105" i="24"/>
  <c r="CB105" i="24"/>
  <c r="CA105" i="24"/>
  <c r="BZ105" i="24"/>
  <c r="BY105" i="24"/>
  <c r="BX105" i="24"/>
  <c r="BU105" i="24"/>
  <c r="BT105" i="24"/>
  <c r="BS105" i="24"/>
  <c r="BQ105" i="24"/>
  <c r="BP105" i="24"/>
  <c r="BO105" i="24"/>
  <c r="BN105" i="24"/>
  <c r="BM105" i="24"/>
  <c r="BK105" i="24"/>
  <c r="BJ105" i="24"/>
  <c r="BI105" i="24"/>
  <c r="BH105" i="24"/>
  <c r="BG105" i="24"/>
  <c r="BF105" i="24"/>
  <c r="BE105" i="24"/>
  <c r="BD105" i="24"/>
  <c r="BC105" i="24"/>
  <c r="BB105" i="24"/>
  <c r="AZ105" i="24"/>
  <c r="AX105" i="24"/>
  <c r="AW105" i="24"/>
  <c r="AV105" i="24"/>
  <c r="AU105" i="24"/>
  <c r="AT105" i="24"/>
  <c r="AS105" i="24"/>
  <c r="AR105" i="24"/>
  <c r="AP105" i="24"/>
  <c r="AN105" i="24"/>
  <c r="AM105" i="24"/>
  <c r="AL105" i="24"/>
  <c r="AK105" i="24"/>
  <c r="AH105" i="24"/>
  <c r="AG105" i="24"/>
  <c r="AF105" i="24"/>
  <c r="AE105" i="24"/>
  <c r="AD105" i="24"/>
  <c r="AC105" i="24"/>
  <c r="AB105" i="24"/>
  <c r="V105" i="24"/>
  <c r="U105" i="24"/>
  <c r="T105" i="24"/>
  <c r="S105" i="24"/>
  <c r="Q105" i="24"/>
  <c r="P105" i="24"/>
  <c r="O105" i="24"/>
  <c r="N105" i="24"/>
  <c r="K105" i="24"/>
  <c r="J105" i="24"/>
  <c r="I105" i="24"/>
  <c r="G105" i="24"/>
  <c r="F105" i="24"/>
  <c r="DL100" i="24"/>
  <c r="DK100" i="24"/>
  <c r="DJ100" i="24"/>
  <c r="DI100" i="24"/>
  <c r="DG100" i="24"/>
  <c r="DF100" i="24"/>
  <c r="DE100" i="24"/>
  <c r="DD100" i="24"/>
  <c r="DC100" i="24"/>
  <c r="DB100" i="24"/>
  <c r="DA100" i="24"/>
  <c r="CZ100" i="24"/>
  <c r="CY100" i="24"/>
  <c r="CX100" i="24"/>
  <c r="CW100" i="24"/>
  <c r="CV100" i="24"/>
  <c r="CU100" i="24"/>
  <c r="CR100" i="24"/>
  <c r="CQ100" i="24"/>
  <c r="CO100" i="24"/>
  <c r="CN100" i="24"/>
  <c r="CM100" i="24"/>
  <c r="CL100" i="24"/>
  <c r="CK100" i="24"/>
  <c r="CF100" i="24"/>
  <c r="CE100" i="24"/>
  <c r="CD100" i="24"/>
  <c r="CB100" i="24"/>
  <c r="CA100" i="24"/>
  <c r="BZ100" i="24"/>
  <c r="BW100" i="24"/>
  <c r="BT100" i="24"/>
  <c r="BS100" i="24"/>
  <c r="BQ100" i="24"/>
  <c r="BP100" i="24"/>
  <c r="BN100" i="24"/>
  <c r="BM100" i="24"/>
  <c r="BK100" i="24"/>
  <c r="BJ100" i="24"/>
  <c r="BI100" i="24"/>
  <c r="BH100" i="24"/>
  <c r="BG100" i="24"/>
  <c r="BF100" i="24"/>
  <c r="BE100" i="24"/>
  <c r="BD100" i="24"/>
  <c r="BC100" i="24"/>
  <c r="BB100" i="24"/>
  <c r="AZ100" i="24"/>
  <c r="AX100" i="24"/>
  <c r="AW100" i="24"/>
  <c r="AV100" i="24"/>
  <c r="AU100" i="24"/>
  <c r="AT100" i="24"/>
  <c r="AS100" i="24"/>
  <c r="AR100" i="24"/>
  <c r="AP100" i="24"/>
  <c r="AN100" i="24"/>
  <c r="AM100" i="24"/>
  <c r="AL100" i="24"/>
  <c r="AK100" i="24"/>
  <c r="AH100" i="24"/>
  <c r="AG100" i="24"/>
  <c r="AF100" i="24"/>
  <c r="AE100" i="24"/>
  <c r="AD100" i="24"/>
  <c r="AC100" i="24"/>
  <c r="AB100" i="24"/>
  <c r="V100" i="24"/>
  <c r="U100" i="24"/>
  <c r="T100" i="24"/>
  <c r="S100" i="24"/>
  <c r="Q100" i="24"/>
  <c r="P100" i="24"/>
  <c r="O100" i="24"/>
  <c r="N100" i="24"/>
  <c r="K100" i="24"/>
  <c r="J100" i="24"/>
  <c r="I100" i="24"/>
  <c r="G100" i="24"/>
  <c r="F100" i="24"/>
  <c r="E100" i="24"/>
  <c r="D100" i="24"/>
  <c r="C100" i="24"/>
  <c r="DL99" i="24"/>
  <c r="DK99" i="24"/>
  <c r="DJ99" i="24"/>
  <c r="DI99" i="24"/>
  <c r="DG99" i="24"/>
  <c r="DF99" i="24"/>
  <c r="DE99" i="24"/>
  <c r="DD99" i="24"/>
  <c r="DC99" i="24"/>
  <c r="DB99" i="24"/>
  <c r="DA99" i="24"/>
  <c r="CZ99" i="24"/>
  <c r="CY99" i="24"/>
  <c r="CX99" i="24"/>
  <c r="CW99" i="24"/>
  <c r="CV99" i="24"/>
  <c r="CU99" i="24"/>
  <c r="CR99" i="24"/>
  <c r="CQ99" i="24"/>
  <c r="CO99" i="24"/>
  <c r="CN99" i="24"/>
  <c r="CM99" i="24"/>
  <c r="CL99" i="24"/>
  <c r="CK99" i="24"/>
  <c r="CF99" i="24"/>
  <c r="CE99" i="24"/>
  <c r="CD99" i="24"/>
  <c r="CB99" i="24"/>
  <c r="CA99" i="24"/>
  <c r="BZ99" i="24"/>
  <c r="BX99" i="24"/>
  <c r="BW99" i="24"/>
  <c r="BT99" i="24"/>
  <c r="BS99" i="24"/>
  <c r="BQ99" i="24"/>
  <c r="BP99" i="24"/>
  <c r="BN99" i="24"/>
  <c r="BM99" i="24"/>
  <c r="BK99" i="24"/>
  <c r="BJ99" i="24"/>
  <c r="BI99" i="24"/>
  <c r="BH99" i="24"/>
  <c r="BG99" i="24"/>
  <c r="BF99" i="24"/>
  <c r="BE99" i="24"/>
  <c r="BD99" i="24"/>
  <c r="BC99" i="24"/>
  <c r="BB99" i="24"/>
  <c r="AZ99" i="24"/>
  <c r="AX99" i="24"/>
  <c r="AW99" i="24"/>
  <c r="AV99" i="24"/>
  <c r="AU99" i="24"/>
  <c r="AT99" i="24"/>
  <c r="AS99" i="24"/>
  <c r="AR99" i="24"/>
  <c r="AP99" i="24"/>
  <c r="AN99" i="24"/>
  <c r="AM99" i="24"/>
  <c r="AL99" i="24"/>
  <c r="AK99" i="24"/>
  <c r="AH99" i="24"/>
  <c r="AG99" i="24"/>
  <c r="AF99" i="24"/>
  <c r="AE99" i="24"/>
  <c r="AD99" i="24"/>
  <c r="AC99" i="24"/>
  <c r="AB99" i="24"/>
  <c r="V99" i="24"/>
  <c r="U99" i="24"/>
  <c r="T99" i="24"/>
  <c r="S99" i="24"/>
  <c r="Q99" i="24"/>
  <c r="P99" i="24"/>
  <c r="O99" i="24"/>
  <c r="N99" i="24"/>
  <c r="K99" i="24"/>
  <c r="J99" i="24"/>
  <c r="I99" i="24"/>
  <c r="G99" i="24"/>
  <c r="F99" i="24"/>
  <c r="E99" i="24"/>
  <c r="D99" i="24"/>
  <c r="C99" i="24"/>
  <c r="DL98" i="24"/>
  <c r="DK98" i="24"/>
  <c r="DJ98" i="24"/>
  <c r="DI98" i="24"/>
  <c r="DG98" i="24"/>
  <c r="DF98" i="24"/>
  <c r="DE98" i="24"/>
  <c r="DD98" i="24"/>
  <c r="DC98" i="24"/>
  <c r="DB98" i="24"/>
  <c r="DA98" i="24"/>
  <c r="CZ98" i="24"/>
  <c r="CY98" i="24"/>
  <c r="CX98" i="24"/>
  <c r="CW98" i="24"/>
  <c r="CV98" i="24"/>
  <c r="CU98" i="24"/>
  <c r="CR98" i="24"/>
  <c r="CQ98" i="24"/>
  <c r="CO98" i="24"/>
  <c r="CN98" i="24"/>
  <c r="CM98" i="24"/>
  <c r="CL98" i="24"/>
  <c r="CK98" i="24"/>
  <c r="CF98" i="24"/>
  <c r="CE98" i="24"/>
  <c r="CD98" i="24"/>
  <c r="CB98" i="24"/>
  <c r="CA98" i="24"/>
  <c r="BZ98" i="24"/>
  <c r="BT98" i="24"/>
  <c r="BS98" i="24"/>
  <c r="BQ98" i="24"/>
  <c r="BP98" i="24"/>
  <c r="BN98" i="24"/>
  <c r="BM98" i="24"/>
  <c r="BK98" i="24"/>
  <c r="BJ98" i="24"/>
  <c r="BI98" i="24"/>
  <c r="BH98" i="24"/>
  <c r="BG98" i="24"/>
  <c r="BF98" i="24"/>
  <c r="BE98" i="24"/>
  <c r="BD98" i="24"/>
  <c r="BC98" i="24"/>
  <c r="BB98" i="24"/>
  <c r="AZ98" i="24"/>
  <c r="AX98" i="24"/>
  <c r="AW98" i="24"/>
  <c r="AV98" i="24"/>
  <c r="AU98" i="24"/>
  <c r="AT98" i="24"/>
  <c r="AS98" i="24"/>
  <c r="AR98" i="24"/>
  <c r="AP98" i="24"/>
  <c r="AN98" i="24"/>
  <c r="AM98" i="24"/>
  <c r="AL98" i="24"/>
  <c r="AK98" i="24"/>
  <c r="AH98" i="24"/>
  <c r="AG98" i="24"/>
  <c r="AF98" i="24"/>
  <c r="AE98" i="24"/>
  <c r="AD98" i="24"/>
  <c r="AC98" i="24"/>
  <c r="AB98" i="24"/>
  <c r="V98" i="24"/>
  <c r="U98" i="24"/>
  <c r="T98" i="24"/>
  <c r="S98" i="24"/>
  <c r="Q98" i="24"/>
  <c r="P98" i="24"/>
  <c r="O98" i="24"/>
  <c r="N98" i="24"/>
  <c r="K98" i="24"/>
  <c r="J98" i="24"/>
  <c r="I98" i="24"/>
  <c r="G98" i="24"/>
  <c r="F98" i="24"/>
  <c r="E98" i="24"/>
  <c r="D98" i="24"/>
  <c r="C98" i="24"/>
  <c r="DL97" i="24"/>
  <c r="DK97" i="24"/>
  <c r="DJ97" i="24"/>
  <c r="DI97" i="24"/>
  <c r="DG97" i="24"/>
  <c r="DF97" i="24"/>
  <c r="DE97" i="24"/>
  <c r="DD97" i="24"/>
  <c r="DC97" i="24"/>
  <c r="DB97" i="24"/>
  <c r="DA97" i="24"/>
  <c r="CZ97" i="24"/>
  <c r="CY97" i="24"/>
  <c r="CX97" i="24"/>
  <c r="CW97" i="24"/>
  <c r="CV97" i="24"/>
  <c r="CU97" i="24"/>
  <c r="CR97" i="24"/>
  <c r="CQ97" i="24"/>
  <c r="CO97" i="24"/>
  <c r="CN97" i="24"/>
  <c r="CM97" i="24"/>
  <c r="CL97" i="24"/>
  <c r="CK97" i="24"/>
  <c r="CF97" i="24"/>
  <c r="CE97" i="24"/>
  <c r="CD97" i="24"/>
  <c r="BM97" i="24"/>
  <c r="BK97" i="24"/>
  <c r="BJ97" i="24"/>
  <c r="BI97" i="24"/>
  <c r="BH97" i="24"/>
  <c r="BG97" i="24"/>
  <c r="BF97" i="24"/>
  <c r="BE97" i="24"/>
  <c r="BD97" i="24"/>
  <c r="BC97" i="24"/>
  <c r="BB97" i="24"/>
  <c r="AZ97" i="24"/>
  <c r="AX97" i="24"/>
  <c r="AW97" i="24"/>
  <c r="AV97" i="24"/>
  <c r="AU97" i="24"/>
  <c r="AT97" i="24"/>
  <c r="AS97" i="24"/>
  <c r="AR97" i="24"/>
  <c r="AP97" i="24"/>
  <c r="AN97" i="24"/>
  <c r="AM97" i="24"/>
  <c r="AL97" i="24"/>
  <c r="AK97" i="24"/>
  <c r="AH97" i="24"/>
  <c r="AG97" i="24"/>
  <c r="AF97" i="24"/>
  <c r="AE97" i="24"/>
  <c r="AD97" i="24"/>
  <c r="AC97" i="24"/>
  <c r="AB97" i="24"/>
  <c r="V97" i="24"/>
  <c r="U97" i="24"/>
  <c r="T97" i="24"/>
  <c r="S97" i="24"/>
  <c r="Q97" i="24"/>
  <c r="P97" i="24"/>
  <c r="O97" i="24"/>
  <c r="N97" i="24"/>
  <c r="K97" i="24"/>
  <c r="J97" i="24"/>
  <c r="I97" i="24"/>
  <c r="G97" i="24"/>
  <c r="F97" i="24"/>
  <c r="E97" i="24"/>
  <c r="D97" i="24"/>
  <c r="C97" i="24"/>
  <c r="DL96" i="24"/>
  <c r="DK96" i="24"/>
  <c r="DJ96" i="24"/>
  <c r="DI96" i="24"/>
  <c r="DG96" i="24"/>
  <c r="DF96" i="24"/>
  <c r="DE96" i="24"/>
  <c r="DD96" i="24"/>
  <c r="DC96" i="24"/>
  <c r="DB96" i="24"/>
  <c r="DA96" i="24"/>
  <c r="CZ96" i="24"/>
  <c r="CY96" i="24"/>
  <c r="CX96" i="24"/>
  <c r="CW96" i="24"/>
  <c r="CV96" i="24"/>
  <c r="CU96" i="24"/>
  <c r="CR96" i="24"/>
  <c r="CQ96" i="24"/>
  <c r="CO96" i="24"/>
  <c r="CN96" i="24"/>
  <c r="CM96" i="24"/>
  <c r="CL96" i="24"/>
  <c r="CK96" i="24"/>
  <c r="CF96" i="24"/>
  <c r="CE96" i="24"/>
  <c r="CD96" i="24"/>
  <c r="BM96" i="24"/>
  <c r="BK96" i="24"/>
  <c r="BJ96" i="24"/>
  <c r="BI96" i="24"/>
  <c r="BH96" i="24"/>
  <c r="BG96" i="24"/>
  <c r="BF96" i="24"/>
  <c r="BE96" i="24"/>
  <c r="BD96" i="24"/>
  <c r="BC96" i="24"/>
  <c r="BB96" i="24"/>
  <c r="AZ96" i="24"/>
  <c r="AX96" i="24"/>
  <c r="AW96" i="24"/>
  <c r="AV96" i="24"/>
  <c r="AU96" i="24"/>
  <c r="AT96" i="24"/>
  <c r="AS96" i="24"/>
  <c r="AR96" i="24"/>
  <c r="AP96" i="24"/>
  <c r="AN96" i="24"/>
  <c r="AM96" i="24"/>
  <c r="AL96" i="24"/>
  <c r="AK96" i="24"/>
  <c r="AH96" i="24"/>
  <c r="AG96" i="24"/>
  <c r="AF96" i="24"/>
  <c r="AE96" i="24"/>
  <c r="AD96" i="24"/>
  <c r="AC96" i="24"/>
  <c r="AB96" i="24"/>
  <c r="V96" i="24"/>
  <c r="U96" i="24"/>
  <c r="T96" i="24"/>
  <c r="S96" i="24"/>
  <c r="Q96" i="24"/>
  <c r="P96" i="24"/>
  <c r="O96" i="24"/>
  <c r="N96" i="24"/>
  <c r="K96" i="24"/>
  <c r="J96" i="24"/>
  <c r="I96" i="24"/>
  <c r="G96" i="24"/>
  <c r="F96" i="24"/>
  <c r="E96" i="24"/>
  <c r="D96" i="24"/>
  <c r="C96" i="24"/>
  <c r="DL95" i="24"/>
  <c r="DK95" i="24"/>
  <c r="DJ95" i="24"/>
  <c r="DI95" i="24"/>
  <c r="DG95" i="24"/>
  <c r="DF95" i="24"/>
  <c r="DE95" i="24"/>
  <c r="DD95" i="24"/>
  <c r="DC95" i="24"/>
  <c r="DB95" i="24"/>
  <c r="DA95" i="24"/>
  <c r="CZ95" i="24"/>
  <c r="CY95" i="24"/>
  <c r="CX95" i="24"/>
  <c r="CW95" i="24"/>
  <c r="CV95" i="24"/>
  <c r="CU95" i="24"/>
  <c r="CR95" i="24"/>
  <c r="CQ95" i="24"/>
  <c r="CO95" i="24"/>
  <c r="CN95" i="24"/>
  <c r="CM95" i="24"/>
  <c r="CL95" i="24"/>
  <c r="CK95" i="24"/>
  <c r="CF95" i="24"/>
  <c r="CE95" i="24"/>
  <c r="CD95" i="24"/>
  <c r="BM95" i="24"/>
  <c r="BK95" i="24"/>
  <c r="BJ95" i="24"/>
  <c r="BI95" i="24"/>
  <c r="BH95" i="24"/>
  <c r="BG95" i="24"/>
  <c r="BF95" i="24"/>
  <c r="BE95" i="24"/>
  <c r="BD95" i="24"/>
  <c r="BC95" i="24"/>
  <c r="BB95" i="24"/>
  <c r="AZ95" i="24"/>
  <c r="AX95" i="24"/>
  <c r="AW95" i="24"/>
  <c r="AV95" i="24"/>
  <c r="AU95" i="24"/>
  <c r="AT95" i="24"/>
  <c r="AS95" i="24"/>
  <c r="AR95" i="24"/>
  <c r="AP95" i="24"/>
  <c r="AN95" i="24"/>
  <c r="AM95" i="24"/>
  <c r="AL95" i="24"/>
  <c r="AK95" i="24"/>
  <c r="AH95" i="24"/>
  <c r="AG95" i="24"/>
  <c r="AF95" i="24"/>
  <c r="AE95" i="24"/>
  <c r="AD95" i="24"/>
  <c r="AC95" i="24"/>
  <c r="AB95" i="24"/>
  <c r="V95" i="24"/>
  <c r="U95" i="24"/>
  <c r="T95" i="24"/>
  <c r="S95" i="24"/>
  <c r="Q95" i="24"/>
  <c r="P95" i="24"/>
  <c r="O95" i="24"/>
  <c r="N95" i="24"/>
  <c r="K95" i="24"/>
  <c r="J95" i="24"/>
  <c r="I95" i="24"/>
  <c r="G95" i="24"/>
  <c r="F95" i="24"/>
  <c r="E95" i="24"/>
  <c r="D95" i="24"/>
  <c r="C95" i="24"/>
  <c r="DL94" i="24"/>
  <c r="DK94" i="24"/>
  <c r="DJ94" i="24"/>
  <c r="DI94" i="24"/>
  <c r="DG94" i="24"/>
  <c r="DF94" i="24"/>
  <c r="DE94" i="24"/>
  <c r="DD94" i="24"/>
  <c r="DC94" i="24"/>
  <c r="DB94" i="24"/>
  <c r="DA94" i="24"/>
  <c r="CZ94" i="24"/>
  <c r="CY94" i="24"/>
  <c r="CX94" i="24"/>
  <c r="CW94" i="24"/>
  <c r="CV94" i="24"/>
  <c r="CU94" i="24"/>
  <c r="CR94" i="24"/>
  <c r="CQ94" i="24"/>
  <c r="CO94" i="24"/>
  <c r="CN94" i="24"/>
  <c r="CM94" i="24"/>
  <c r="CL94" i="24"/>
  <c r="CK94" i="24"/>
  <c r="CF94" i="24"/>
  <c r="CE94" i="24"/>
  <c r="CD94" i="24"/>
  <c r="BM94" i="24"/>
  <c r="BK94" i="24"/>
  <c r="BJ94" i="24"/>
  <c r="BI94" i="24"/>
  <c r="BH94" i="24"/>
  <c r="BG94" i="24"/>
  <c r="BF94" i="24"/>
  <c r="BE94" i="24"/>
  <c r="BD94" i="24"/>
  <c r="BC94" i="24"/>
  <c r="BB94" i="24"/>
  <c r="AZ94" i="24"/>
  <c r="AX94" i="24"/>
  <c r="AW94" i="24"/>
  <c r="AV94" i="24"/>
  <c r="AU94" i="24"/>
  <c r="AT94" i="24"/>
  <c r="AS94" i="24"/>
  <c r="AR94" i="24"/>
  <c r="AP94" i="24"/>
  <c r="AN94" i="24"/>
  <c r="AM94" i="24"/>
  <c r="AL94" i="24"/>
  <c r="AK94" i="24"/>
  <c r="AH94" i="24"/>
  <c r="AG94" i="24"/>
  <c r="AF94" i="24"/>
  <c r="AE94" i="24"/>
  <c r="AD94" i="24"/>
  <c r="AC94" i="24"/>
  <c r="AB94" i="24"/>
  <c r="V94" i="24"/>
  <c r="U94" i="24"/>
  <c r="T94" i="24"/>
  <c r="S94" i="24"/>
  <c r="Q94" i="24"/>
  <c r="P94" i="24"/>
  <c r="O94" i="24"/>
  <c r="N94" i="24"/>
  <c r="K94" i="24"/>
  <c r="J94" i="24"/>
  <c r="I94" i="24"/>
  <c r="G94" i="24"/>
  <c r="F94" i="24"/>
  <c r="E94" i="24"/>
  <c r="D94" i="24"/>
  <c r="C94" i="24"/>
  <c r="DL93" i="24"/>
  <c r="DK93" i="24"/>
  <c r="DJ93" i="24"/>
  <c r="DI93" i="24"/>
  <c r="DG93" i="24"/>
  <c r="DF93" i="24"/>
  <c r="DE93" i="24"/>
  <c r="DD93" i="24"/>
  <c r="DC93" i="24"/>
  <c r="DB93" i="24"/>
  <c r="DA93" i="24"/>
  <c r="CZ93" i="24"/>
  <c r="CY93" i="24"/>
  <c r="CX93" i="24"/>
  <c r="CW93" i="24"/>
  <c r="CV93" i="24"/>
  <c r="CU93" i="24"/>
  <c r="CR93" i="24"/>
  <c r="CQ93" i="24"/>
  <c r="CP93" i="24"/>
  <c r="CO93" i="24"/>
  <c r="CN93" i="24"/>
  <c r="CM93" i="24"/>
  <c r="CL93" i="24"/>
  <c r="CK93" i="24"/>
  <c r="CF93" i="24"/>
  <c r="CE93" i="24"/>
  <c r="CD93" i="24"/>
  <c r="BM93" i="24"/>
  <c r="BK93" i="24"/>
  <c r="BJ93" i="24"/>
  <c r="BI93" i="24"/>
  <c r="BH93" i="24"/>
  <c r="BG93" i="24"/>
  <c r="BF93" i="24"/>
  <c r="BE93" i="24"/>
  <c r="BD93" i="24"/>
  <c r="BC93" i="24"/>
  <c r="BB93" i="24"/>
  <c r="AZ93" i="24"/>
  <c r="AX93" i="24"/>
  <c r="AW93" i="24"/>
  <c r="AV93" i="24"/>
  <c r="AU93" i="24"/>
  <c r="AT93" i="24"/>
  <c r="AS93" i="24"/>
  <c r="AR93" i="24"/>
  <c r="AP93" i="24"/>
  <c r="AN93" i="24"/>
  <c r="AM93" i="24"/>
  <c r="AL93" i="24"/>
  <c r="AK93" i="24"/>
  <c r="AH93" i="24"/>
  <c r="AG93" i="24"/>
  <c r="AF93" i="24"/>
  <c r="AE93" i="24"/>
  <c r="AD93" i="24"/>
  <c r="AC93" i="24"/>
  <c r="AB93" i="24"/>
  <c r="V93" i="24"/>
  <c r="U93" i="24"/>
  <c r="T93" i="24"/>
  <c r="S93" i="24"/>
  <c r="Q93" i="24"/>
  <c r="P93" i="24"/>
  <c r="O93" i="24"/>
  <c r="N93" i="24"/>
  <c r="K93" i="24"/>
  <c r="J93" i="24"/>
  <c r="I93" i="24"/>
  <c r="G93" i="24"/>
  <c r="F93" i="24"/>
  <c r="E93" i="24"/>
  <c r="C93" i="24"/>
  <c r="BW118" i="24" l="1"/>
  <c r="BW107" i="24"/>
  <c r="BO87" i="24"/>
  <c r="BX87" i="24"/>
  <c r="BW98" i="24"/>
  <c r="BO97" i="24"/>
  <c r="BY96" i="24"/>
  <c r="BY97" i="24"/>
  <c r="BU117" i="24"/>
  <c r="BW119" i="24"/>
  <c r="BU87" i="24"/>
  <c r="BY87" i="24"/>
  <c r="CC95" i="24"/>
  <c r="CC96" i="24"/>
  <c r="BX98" i="24"/>
  <c r="CC116" i="24"/>
  <c r="BW116" i="24"/>
  <c r="BU118" i="24"/>
  <c r="BY118" i="24"/>
  <c r="BO119" i="24"/>
  <c r="BX119" i="24"/>
  <c r="BW120" i="24"/>
  <c r="BU107" i="24"/>
  <c r="BY107" i="24"/>
  <c r="BW105" i="24"/>
  <c r="BO96" i="24"/>
  <c r="BW96" i="24"/>
  <c r="BO116" i="24"/>
  <c r="BX116" i="24"/>
  <c r="BW117" i="24"/>
  <c r="CC98" i="24"/>
  <c r="CC100" i="24"/>
  <c r="CC94" i="24"/>
  <c r="CC107" i="24"/>
  <c r="CC99" i="24"/>
  <c r="CC119" i="24"/>
  <c r="CC87" i="24"/>
  <c r="CC118" i="24"/>
  <c r="CC120" i="24"/>
  <c r="CC97" i="24"/>
  <c r="CC117" i="24"/>
  <c r="BR107" i="24"/>
  <c r="BR100" i="24"/>
  <c r="BR98" i="24"/>
  <c r="BR116" i="24"/>
  <c r="BR99" i="24"/>
  <c r="BR119" i="24"/>
  <c r="BR120" i="24"/>
  <c r="BR97" i="24"/>
  <c r="BR117" i="24"/>
  <c r="BR118" i="24"/>
  <c r="BX96" i="24"/>
  <c r="BX100" i="24"/>
  <c r="BX97" i="24"/>
  <c r="BX95" i="24"/>
  <c r="BO95" i="24"/>
  <c r="L3" i="24" l="1"/>
  <c r="L4" i="24"/>
  <c r="L5" i="24"/>
  <c r="L6" i="24"/>
  <c r="L7" i="24"/>
  <c r="L8" i="24"/>
  <c r="L9" i="24"/>
  <c r="L10" i="24"/>
  <c r="L11" i="24"/>
  <c r="L12" i="24"/>
  <c r="L13" i="24"/>
  <c r="L14" i="24"/>
  <c r="L15" i="24"/>
  <c r="L16" i="24"/>
  <c r="L17" i="24"/>
  <c r="L18" i="24"/>
  <c r="L19" i="24"/>
  <c r="L20" i="24"/>
  <c r="L21" i="24"/>
  <c r="L22" i="24"/>
  <c r="L23" i="24"/>
  <c r="L24" i="24"/>
  <c r="L25" i="24"/>
  <c r="L26" i="24"/>
  <c r="L27" i="24"/>
  <c r="L28" i="24"/>
  <c r="L29" i="24"/>
  <c r="L30" i="24"/>
  <c r="L31" i="24"/>
  <c r="L93" i="24" s="1"/>
  <c r="L32" i="24"/>
  <c r="L33" i="24"/>
  <c r="L34" i="24"/>
  <c r="L35" i="24"/>
  <c r="L36" i="24"/>
  <c r="L94" i="24" s="1"/>
  <c r="L37" i="24"/>
  <c r="L38" i="24"/>
  <c r="L39" i="24"/>
  <c r="L40" i="24"/>
  <c r="L41" i="24"/>
  <c r="L42" i="24"/>
  <c r="L43" i="24"/>
  <c r="L44" i="24"/>
  <c r="L45" i="24"/>
  <c r="L46" i="24"/>
  <c r="L47" i="24"/>
  <c r="L48" i="24"/>
  <c r="L49" i="24"/>
  <c r="L50" i="24"/>
  <c r="L95" i="24" s="1"/>
  <c r="L51" i="24"/>
  <c r="L52" i="24"/>
  <c r="L53" i="24"/>
  <c r="L54" i="24"/>
  <c r="L55" i="24"/>
  <c r="L56" i="24"/>
  <c r="L57" i="24"/>
  <c r="L58" i="24"/>
  <c r="L59" i="24"/>
  <c r="L60" i="24"/>
  <c r="L61" i="24"/>
  <c r="L62" i="24"/>
  <c r="L63" i="24"/>
  <c r="L64" i="24"/>
  <c r="L65" i="24"/>
  <c r="L66" i="24"/>
  <c r="L67" i="24"/>
  <c r="L68" i="24"/>
  <c r="L69" i="24"/>
  <c r="L70" i="24"/>
  <c r="L71" i="24"/>
  <c r="L72" i="24"/>
  <c r="L73" i="24"/>
  <c r="L74" i="24"/>
  <c r="L75" i="24"/>
  <c r="L76" i="24"/>
  <c r="L77" i="24"/>
  <c r="L78" i="24"/>
  <c r="L79" i="24"/>
  <c r="L80" i="24"/>
  <c r="L81" i="24"/>
  <c r="L82" i="24"/>
  <c r="L83" i="24"/>
  <c r="L2" i="24"/>
  <c r="L96" i="24" l="1"/>
  <c r="L99" i="24"/>
  <c r="L119" i="24"/>
  <c r="L118" i="24"/>
  <c r="L87" i="24"/>
  <c r="L117" i="24"/>
  <c r="L105" i="24"/>
  <c r="L107" i="24"/>
  <c r="L120" i="24"/>
  <c r="L116" i="24"/>
  <c r="L97" i="24"/>
  <c r="L100" i="24"/>
  <c r="L98" i="24"/>
  <c r="C53" i="25" l="1"/>
  <c r="DH3" i="24"/>
  <c r="DH4" i="24"/>
  <c r="DH5" i="24"/>
  <c r="DH6" i="24"/>
  <c r="DH7" i="24"/>
  <c r="DH8" i="24"/>
  <c r="DH9" i="24"/>
  <c r="DH10" i="24"/>
  <c r="DH11" i="24"/>
  <c r="DH12" i="24"/>
  <c r="DH13" i="24"/>
  <c r="DH14" i="24"/>
  <c r="DH15" i="24"/>
  <c r="DH16" i="24"/>
  <c r="DH17" i="24"/>
  <c r="DH18" i="24"/>
  <c r="DH19" i="24"/>
  <c r="DH20" i="24"/>
  <c r="DH21" i="24"/>
  <c r="DH22" i="24"/>
  <c r="DH23" i="24"/>
  <c r="DH24" i="24"/>
  <c r="DH25" i="24"/>
  <c r="DH26" i="24"/>
  <c r="DH27" i="24"/>
  <c r="DH28" i="24"/>
  <c r="DH29" i="24"/>
  <c r="DH30" i="24"/>
  <c r="DH31" i="24"/>
  <c r="DH93" i="24" s="1"/>
  <c r="DH32" i="24"/>
  <c r="DH33" i="24"/>
  <c r="DH34" i="24"/>
  <c r="DH35" i="24"/>
  <c r="DH36" i="24"/>
  <c r="DH94" i="24" s="1"/>
  <c r="DH37" i="24"/>
  <c r="DH38" i="24"/>
  <c r="DH39" i="24"/>
  <c r="DH40" i="24"/>
  <c r="DH41" i="24"/>
  <c r="DH42" i="24"/>
  <c r="DH43" i="24"/>
  <c r="DH44" i="24"/>
  <c r="DH45" i="24"/>
  <c r="DH46" i="24"/>
  <c r="DH47" i="24"/>
  <c r="DH48" i="24"/>
  <c r="DH49" i="24"/>
  <c r="DH50" i="24"/>
  <c r="DH95" i="24" s="1"/>
  <c r="DH51" i="24"/>
  <c r="DH52" i="24"/>
  <c r="DH53" i="24"/>
  <c r="DH54" i="24"/>
  <c r="DH55" i="24"/>
  <c r="DH56" i="24"/>
  <c r="DH57" i="24"/>
  <c r="DH58" i="24"/>
  <c r="DH59" i="24"/>
  <c r="DH60" i="24"/>
  <c r="DH61" i="24"/>
  <c r="DH62" i="24"/>
  <c r="DH63" i="24"/>
  <c r="DH64" i="24"/>
  <c r="DH65" i="24"/>
  <c r="DH66" i="24"/>
  <c r="DH67" i="24"/>
  <c r="DH68" i="24"/>
  <c r="DH69" i="24"/>
  <c r="DH70" i="24"/>
  <c r="DH71" i="24"/>
  <c r="DH72" i="24"/>
  <c r="DH73" i="24"/>
  <c r="DH74" i="24"/>
  <c r="DH75" i="24"/>
  <c r="DH76" i="24"/>
  <c r="DH77" i="24"/>
  <c r="DH78" i="24"/>
  <c r="DH79" i="24"/>
  <c r="DH80" i="24"/>
  <c r="DH81" i="24"/>
  <c r="DH82" i="24"/>
  <c r="DH83" i="24"/>
  <c r="DH2" i="24"/>
  <c r="DH120" i="24" l="1"/>
  <c r="DH116" i="24"/>
  <c r="DH119" i="24"/>
  <c r="DH118" i="24"/>
  <c r="DH105" i="24"/>
  <c r="DH87" i="24"/>
  <c r="DH107" i="24"/>
  <c r="DH117" i="24"/>
  <c r="DH96" i="24"/>
  <c r="DH97" i="24"/>
  <c r="DH99" i="24"/>
  <c r="DH100" i="24"/>
  <c r="DH98" i="24"/>
  <c r="EB2" i="24"/>
  <c r="EB83" i="24" l="1"/>
  <c r="EB82" i="24"/>
  <c r="EB81" i="24"/>
  <c r="EB80" i="24"/>
  <c r="EB79" i="24"/>
  <c r="EB78" i="24"/>
  <c r="EB77" i="24"/>
  <c r="EB76" i="24"/>
  <c r="EB75" i="24"/>
  <c r="EB73" i="24"/>
  <c r="EB72" i="24"/>
  <c r="EB69" i="24"/>
  <c r="EB68" i="24"/>
  <c r="EB67" i="24"/>
  <c r="EB65" i="24"/>
  <c r="EB64" i="24"/>
  <c r="EB62" i="24"/>
  <c r="EB61" i="24"/>
  <c r="EB60" i="24"/>
  <c r="EB59" i="24"/>
  <c r="EB58" i="24"/>
  <c r="EB57" i="24"/>
  <c r="EB56" i="24"/>
  <c r="EB55" i="24"/>
  <c r="EB53" i="24"/>
  <c r="EB52" i="24"/>
  <c r="EB51" i="24"/>
  <c r="EB50" i="24"/>
  <c r="EB49" i="24"/>
  <c r="EB48" i="24"/>
  <c r="EB47" i="24"/>
  <c r="EB46" i="24"/>
  <c r="EB44" i="24"/>
  <c r="EB43" i="24"/>
  <c r="EB42" i="24"/>
  <c r="EB41" i="24"/>
  <c r="EB40" i="24"/>
  <c r="EB39" i="24"/>
  <c r="EB38" i="24"/>
  <c r="EB36" i="24"/>
  <c r="EB35" i="24"/>
  <c r="EB34" i="24"/>
  <c r="EB33" i="24"/>
  <c r="EB32" i="24"/>
  <c r="EB31" i="24"/>
  <c r="EB30" i="24"/>
  <c r="EB29" i="24"/>
  <c r="EB27" i="24"/>
  <c r="EB26" i="24"/>
  <c r="EB25" i="24"/>
  <c r="EB24" i="24"/>
  <c r="EB23" i="24"/>
  <c r="EB22" i="24"/>
  <c r="EB21" i="24"/>
  <c r="EB20" i="24"/>
  <c r="EB19" i="24"/>
  <c r="EB18" i="24"/>
  <c r="EB16" i="24"/>
  <c r="EB14" i="24"/>
  <c r="EB13" i="24"/>
  <c r="EB12" i="24"/>
  <c r="EB11" i="24"/>
  <c r="EB10" i="24"/>
  <c r="EB9" i="24"/>
  <c r="EB7" i="24"/>
  <c r="EB5" i="24"/>
  <c r="EB4" i="24"/>
  <c r="EB3" i="24"/>
  <c r="CP83" i="24"/>
  <c r="CP82" i="24"/>
  <c r="CP81" i="24"/>
  <c r="CP80" i="24"/>
  <c r="CP79" i="24"/>
  <c r="CP78" i="24"/>
  <c r="CP76" i="24"/>
  <c r="CP75" i="24"/>
  <c r="CP73" i="24"/>
  <c r="CP69" i="24"/>
  <c r="CP95" i="24" s="1"/>
  <c r="CP68" i="24"/>
  <c r="CP65" i="24"/>
  <c r="CP62" i="24"/>
  <c r="CP61" i="24"/>
  <c r="CP60" i="24"/>
  <c r="CP59" i="24"/>
  <c r="CP55" i="24"/>
  <c r="CP47" i="24"/>
  <c r="CP46" i="24"/>
  <c r="CP45" i="24"/>
  <c r="A6" i="16"/>
  <c r="EB120" i="24" l="1"/>
  <c r="EB117" i="24"/>
  <c r="EB105" i="24"/>
  <c r="EB116" i="24"/>
  <c r="EB118" i="24"/>
  <c r="EB87" i="24"/>
  <c r="EB119" i="24"/>
  <c r="EB107" i="24"/>
  <c r="F56" i="25"/>
  <c r="F55" i="25"/>
  <c r="F54" i="25"/>
  <c r="F53" i="25"/>
  <c r="F50" i="25"/>
  <c r="F49" i="25"/>
  <c r="F43" i="25"/>
  <c r="F42" i="25"/>
  <c r="F40" i="25"/>
  <c r="F39" i="25"/>
  <c r="F38" i="25"/>
  <c r="F25" i="25"/>
  <c r="F22" i="25"/>
  <c r="F24" i="25"/>
  <c r="F21" i="25"/>
  <c r="F20" i="25"/>
  <c r="F19" i="25"/>
  <c r="F18" i="25"/>
  <c r="F13" i="25"/>
  <c r="F12" i="25"/>
  <c r="F11" i="25"/>
  <c r="F8" i="25"/>
  <c r="F10" i="25"/>
  <c r="F7" i="25"/>
  <c r="F9" i="25"/>
  <c r="F6" i="25"/>
  <c r="F5" i="25"/>
  <c r="C51" i="25"/>
  <c r="C43" i="25"/>
  <c r="C42" i="25"/>
  <c r="C41" i="25"/>
  <c r="C40" i="25"/>
  <c r="C39" i="25"/>
  <c r="C37" i="25"/>
  <c r="C36" i="25"/>
  <c r="C33" i="25"/>
  <c r="C32" i="25"/>
  <c r="C31" i="25"/>
  <c r="C29" i="25"/>
  <c r="C22" i="25"/>
  <c r="C21" i="25"/>
  <c r="C19" i="25"/>
  <c r="C18" i="25"/>
  <c r="C15" i="25"/>
  <c r="C17" i="25"/>
  <c r="C14" i="25"/>
  <c r="C10" i="25"/>
  <c r="C9" i="25"/>
  <c r="C8" i="25"/>
  <c r="C7" i="25"/>
  <c r="C6" i="25"/>
  <c r="B6" i="18"/>
  <c r="B2" i="25"/>
  <c r="BC121" i="24"/>
  <c r="EA3" i="24" l="1"/>
  <c r="EA4" i="24"/>
  <c r="EA5" i="24"/>
  <c r="EA6" i="24"/>
  <c r="EA7" i="24"/>
  <c r="EA8" i="24"/>
  <c r="EA9" i="24"/>
  <c r="EA10" i="24"/>
  <c r="EA11" i="24"/>
  <c r="EA12" i="24"/>
  <c r="EA13" i="24"/>
  <c r="EA14" i="24"/>
  <c r="EA15" i="24"/>
  <c r="EA16" i="24"/>
  <c r="EA17" i="24"/>
  <c r="EA18" i="24"/>
  <c r="EA19" i="24"/>
  <c r="EA20" i="24"/>
  <c r="EA21" i="24"/>
  <c r="EA22" i="24"/>
  <c r="EA23" i="24"/>
  <c r="EA24" i="24"/>
  <c r="EA25" i="24"/>
  <c r="EA26" i="24"/>
  <c r="EA27" i="24"/>
  <c r="EA28" i="24"/>
  <c r="EA29" i="24"/>
  <c r="EA30" i="24"/>
  <c r="EA31" i="24"/>
  <c r="EA32" i="24"/>
  <c r="EA33" i="24"/>
  <c r="EA34" i="24"/>
  <c r="EA35" i="24"/>
  <c r="EA36" i="24"/>
  <c r="EA37" i="24"/>
  <c r="EA38" i="24"/>
  <c r="EA39" i="24"/>
  <c r="EA40" i="24"/>
  <c r="EA41" i="24"/>
  <c r="EA42" i="24"/>
  <c r="EA43" i="24"/>
  <c r="EA44" i="24"/>
  <c r="EA45" i="24"/>
  <c r="EA46" i="24"/>
  <c r="EA47" i="24"/>
  <c r="EA48" i="24"/>
  <c r="EA49" i="24"/>
  <c r="EA50" i="24"/>
  <c r="EA51" i="24"/>
  <c r="EA52" i="24"/>
  <c r="EA53" i="24"/>
  <c r="EA54" i="24"/>
  <c r="EA55" i="24"/>
  <c r="EA56" i="24"/>
  <c r="EA57" i="24"/>
  <c r="EA58" i="24"/>
  <c r="EA59" i="24"/>
  <c r="EA60" i="24"/>
  <c r="EA61" i="24"/>
  <c r="EA62" i="24"/>
  <c r="EA63" i="24"/>
  <c r="EA64" i="24"/>
  <c r="EA65" i="24"/>
  <c r="EA66" i="24"/>
  <c r="EA67" i="24"/>
  <c r="EA68" i="24"/>
  <c r="EA69" i="24"/>
  <c r="EA70" i="24"/>
  <c r="EA71" i="24"/>
  <c r="EA72" i="24"/>
  <c r="EA73" i="24"/>
  <c r="EA74" i="24"/>
  <c r="EA75" i="24"/>
  <c r="EA76" i="24"/>
  <c r="EA77" i="24"/>
  <c r="EA78" i="24"/>
  <c r="EA79" i="24"/>
  <c r="EA80" i="24"/>
  <c r="EA81" i="24"/>
  <c r="EA82" i="24"/>
  <c r="EA83" i="24"/>
  <c r="EA2" i="24"/>
  <c r="EA120" i="24" l="1"/>
  <c r="EA107" i="24"/>
  <c r="EA87" i="24"/>
  <c r="EA118" i="24"/>
  <c r="EA119" i="24"/>
  <c r="EA117" i="24"/>
  <c r="EA105" i="24"/>
  <c r="EA116" i="24"/>
  <c r="EB98" i="24"/>
  <c r="EB94" i="24"/>
  <c r="EA93" i="24"/>
  <c r="EB95" i="24"/>
  <c r="EA98" i="24"/>
  <c r="EA94" i="24"/>
  <c r="EA97" i="24"/>
  <c r="EA121" i="24"/>
  <c r="EA100" i="24"/>
  <c r="EB121" i="24"/>
  <c r="EB96" i="24"/>
  <c r="EB100" i="24"/>
  <c r="EA95" i="24"/>
  <c r="EB97" i="24"/>
  <c r="EA96" i="24"/>
  <c r="EB93" i="24"/>
  <c r="EB99" i="24"/>
  <c r="EA99" i="24"/>
  <c r="BC106" i="24"/>
  <c r="C5" i="25"/>
  <c r="AG107" i="24"/>
  <c r="AF107" i="24"/>
  <c r="DK107" i="24"/>
  <c r="CI106" i="24" l="1"/>
  <c r="EA106" i="24"/>
  <c r="EB106" i="24"/>
  <c r="CP10" i="24"/>
  <c r="CP26" i="24"/>
  <c r="CP34" i="24"/>
  <c r="CP7" i="24"/>
  <c r="CP13" i="24"/>
  <c r="CP23" i="24"/>
  <c r="CP4" i="24"/>
  <c r="CP5" i="24"/>
  <c r="CP6" i="24"/>
  <c r="CP11" i="24"/>
  <c r="CP100" i="24" s="1"/>
  <c r="CP12" i="24"/>
  <c r="CP14" i="24"/>
  <c r="CP18" i="24"/>
  <c r="CP20" i="24"/>
  <c r="CP21" i="24"/>
  <c r="CP22" i="24"/>
  <c r="CP24" i="24"/>
  <c r="CP25" i="24"/>
  <c r="CP27" i="24"/>
  <c r="CP29" i="24"/>
  <c r="CP32" i="24"/>
  <c r="CP33" i="24"/>
  <c r="CP35" i="24"/>
  <c r="CP36" i="24"/>
  <c r="CP94" i="24" s="1"/>
  <c r="CP38" i="24"/>
  <c r="CP96" i="24" s="1"/>
  <c r="CP39" i="24"/>
  <c r="CP40" i="24"/>
  <c r="CP42" i="24"/>
  <c r="CP43" i="24"/>
  <c r="AY2" i="24"/>
  <c r="AY120" i="24" l="1"/>
  <c r="AY116" i="24"/>
  <c r="AY119" i="24"/>
  <c r="AY118" i="24"/>
  <c r="AY117" i="24"/>
  <c r="AY105" i="24"/>
  <c r="CP98" i="24"/>
  <c r="CP97" i="24"/>
  <c r="DF121" i="24"/>
  <c r="DC121" i="24"/>
  <c r="H3" i="24"/>
  <c r="H4" i="24"/>
  <c r="H5" i="24"/>
  <c r="H7" i="24"/>
  <c r="H8" i="24"/>
  <c r="H9" i="24"/>
  <c r="H10" i="24"/>
  <c r="H13" i="24"/>
  <c r="H15" i="24"/>
  <c r="H16" i="24"/>
  <c r="H17" i="24"/>
  <c r="H19" i="24"/>
  <c r="H20" i="24"/>
  <c r="H21" i="24"/>
  <c r="H22" i="24"/>
  <c r="H24" i="24"/>
  <c r="H25" i="24"/>
  <c r="H27" i="24"/>
  <c r="H28" i="24"/>
  <c r="H29" i="24"/>
  <c r="H30" i="24"/>
  <c r="H31" i="24"/>
  <c r="H93" i="24" s="1"/>
  <c r="H32" i="24"/>
  <c r="H34" i="24"/>
  <c r="H36" i="24"/>
  <c r="H37" i="24"/>
  <c r="H38" i="24"/>
  <c r="H39" i="24"/>
  <c r="H40" i="24"/>
  <c r="H41" i="24"/>
  <c r="H42" i="24"/>
  <c r="H43" i="24"/>
  <c r="H44" i="24"/>
  <c r="H45" i="24"/>
  <c r="H46" i="24"/>
  <c r="H47" i="24"/>
  <c r="H48" i="24"/>
  <c r="H49" i="24"/>
  <c r="H51" i="24"/>
  <c r="H52" i="24"/>
  <c r="H53" i="24"/>
  <c r="H54" i="24"/>
  <c r="H55" i="24"/>
  <c r="H56" i="24"/>
  <c r="H57" i="24"/>
  <c r="H58" i="24"/>
  <c r="H62" i="24"/>
  <c r="H63" i="24"/>
  <c r="H64" i="24"/>
  <c r="H65" i="24"/>
  <c r="H66" i="24"/>
  <c r="H67" i="24"/>
  <c r="H68" i="24"/>
  <c r="H70" i="24"/>
  <c r="H71" i="24"/>
  <c r="H72" i="24"/>
  <c r="H73" i="24"/>
  <c r="H74" i="24"/>
  <c r="H75" i="24"/>
  <c r="H76" i="24"/>
  <c r="H77" i="24"/>
  <c r="H79" i="24"/>
  <c r="H80" i="24"/>
  <c r="H81" i="24"/>
  <c r="H82" i="24"/>
  <c r="H83" i="24"/>
  <c r="H78" i="24"/>
  <c r="H69" i="24"/>
  <c r="H61" i="24"/>
  <c r="H60" i="24"/>
  <c r="H59" i="24"/>
  <c r="H50" i="24"/>
  <c r="H35" i="24"/>
  <c r="H33" i="24"/>
  <c r="H26" i="24"/>
  <c r="H23" i="24"/>
  <c r="H18" i="24"/>
  <c r="H14" i="24"/>
  <c r="H12" i="24"/>
  <c r="H11" i="24"/>
  <c r="H6" i="24"/>
  <c r="H2" i="24"/>
  <c r="BV5" i="24"/>
  <c r="BV7" i="24"/>
  <c r="BV8" i="24"/>
  <c r="BV9" i="24"/>
  <c r="BV10" i="24"/>
  <c r="BV12" i="24"/>
  <c r="BV13" i="24"/>
  <c r="BV14" i="24"/>
  <c r="BV15" i="24"/>
  <c r="BV17" i="24"/>
  <c r="BV18" i="24"/>
  <c r="BV19" i="24"/>
  <c r="BV20" i="24"/>
  <c r="BV21" i="24"/>
  <c r="BV22" i="24"/>
  <c r="BV23" i="24"/>
  <c r="BV24" i="24"/>
  <c r="BV25" i="24"/>
  <c r="BV26" i="24"/>
  <c r="BV28" i="24"/>
  <c r="BV29" i="24"/>
  <c r="BV30" i="24"/>
  <c r="BV32" i="24"/>
  <c r="BV33" i="24"/>
  <c r="BV34" i="24"/>
  <c r="BV35" i="24"/>
  <c r="BV38" i="24"/>
  <c r="BV39" i="24"/>
  <c r="BV40" i="24"/>
  <c r="BV41" i="24"/>
  <c r="BV42" i="24"/>
  <c r="BV43" i="24"/>
  <c r="BV44" i="24"/>
  <c r="BV45" i="24"/>
  <c r="BV46" i="24"/>
  <c r="BV47" i="24"/>
  <c r="BV48" i="24"/>
  <c r="BV49" i="24"/>
  <c r="BV51" i="24"/>
  <c r="BV52" i="24"/>
  <c r="BV53" i="24"/>
  <c r="BV54" i="24"/>
  <c r="BV55" i="24"/>
  <c r="BV56" i="24"/>
  <c r="BV57" i="24"/>
  <c r="BV58" i="24"/>
  <c r="BV59" i="24"/>
  <c r="BV60" i="24"/>
  <c r="BV61" i="24"/>
  <c r="BV62" i="24"/>
  <c r="BV63" i="24"/>
  <c r="BV64" i="24"/>
  <c r="BV65" i="24"/>
  <c r="BV66" i="24"/>
  <c r="BV67" i="24"/>
  <c r="BV68" i="24"/>
  <c r="BV69" i="24"/>
  <c r="BV70" i="24"/>
  <c r="CT72" i="24"/>
  <c r="BV73" i="24"/>
  <c r="CG2" i="24"/>
  <c r="CG3" i="24"/>
  <c r="CG4" i="24"/>
  <c r="CG5" i="24"/>
  <c r="CG6" i="24"/>
  <c r="CG7" i="24"/>
  <c r="CG8" i="24"/>
  <c r="CG9" i="24"/>
  <c r="CG10" i="24"/>
  <c r="CG11" i="24"/>
  <c r="CG12" i="24"/>
  <c r="CG13" i="24"/>
  <c r="CG14" i="24"/>
  <c r="CG15" i="24"/>
  <c r="CG16" i="24"/>
  <c r="CG17" i="24"/>
  <c r="CG18" i="24"/>
  <c r="CG19" i="24"/>
  <c r="CG20" i="24"/>
  <c r="CG21" i="24"/>
  <c r="CG22" i="24"/>
  <c r="CG23" i="24"/>
  <c r="CG24" i="24"/>
  <c r="CG25" i="24"/>
  <c r="CG26" i="24"/>
  <c r="CG27" i="24"/>
  <c r="CG28" i="24"/>
  <c r="CG29" i="24"/>
  <c r="CG30" i="24"/>
  <c r="CG31" i="24"/>
  <c r="CG93" i="24" s="1"/>
  <c r="CG32" i="24"/>
  <c r="CG33" i="24"/>
  <c r="CG34" i="24"/>
  <c r="CG35" i="24"/>
  <c r="CG36" i="24"/>
  <c r="CG37" i="24"/>
  <c r="CG38" i="24"/>
  <c r="CG39" i="24"/>
  <c r="CG40" i="24"/>
  <c r="CG41" i="24"/>
  <c r="CG42" i="24"/>
  <c r="CG43" i="24"/>
  <c r="CG44" i="24"/>
  <c r="CG45" i="24"/>
  <c r="CG46" i="24"/>
  <c r="CG47" i="24"/>
  <c r="CG48" i="24"/>
  <c r="CG49" i="24"/>
  <c r="CG50" i="24"/>
  <c r="CG51" i="24"/>
  <c r="CG52" i="24"/>
  <c r="CG53" i="24"/>
  <c r="CG54" i="24"/>
  <c r="CG55" i="24"/>
  <c r="CG56" i="24"/>
  <c r="CG57" i="24"/>
  <c r="CG58" i="24"/>
  <c r="CG59" i="24"/>
  <c r="CG60" i="24"/>
  <c r="CG61" i="24"/>
  <c r="CG62" i="24"/>
  <c r="CG63" i="24"/>
  <c r="CG64" i="24"/>
  <c r="CG65" i="24"/>
  <c r="CG66" i="24"/>
  <c r="CG67" i="24"/>
  <c r="CG68" i="24"/>
  <c r="CG69" i="24"/>
  <c r="CG70" i="24"/>
  <c r="CG71" i="24"/>
  <c r="CG72" i="24"/>
  <c r="CG73" i="24"/>
  <c r="CG74" i="24"/>
  <c r="CG75" i="24"/>
  <c r="CG76" i="24"/>
  <c r="CG77" i="24"/>
  <c r="CG78" i="24"/>
  <c r="CG79" i="24"/>
  <c r="CG80" i="24"/>
  <c r="CG81" i="24"/>
  <c r="CG82" i="24"/>
  <c r="CG83" i="24"/>
  <c r="BL2" i="24"/>
  <c r="BL3" i="24"/>
  <c r="BL4" i="24"/>
  <c r="BL5" i="24"/>
  <c r="BL6" i="24"/>
  <c r="BL7" i="24"/>
  <c r="BL8" i="24"/>
  <c r="BL9" i="24"/>
  <c r="BL10" i="24"/>
  <c r="BL11" i="24"/>
  <c r="BL12" i="24"/>
  <c r="BL13" i="24"/>
  <c r="BL14" i="24"/>
  <c r="BL15" i="24"/>
  <c r="BL16" i="24"/>
  <c r="BL17" i="24"/>
  <c r="BL18" i="24"/>
  <c r="BL19" i="24"/>
  <c r="BL20" i="24"/>
  <c r="BL21" i="24"/>
  <c r="BL22" i="24"/>
  <c r="BL23" i="24"/>
  <c r="BL24" i="24"/>
  <c r="BL25" i="24"/>
  <c r="BL26" i="24"/>
  <c r="BL27" i="24"/>
  <c r="BL28" i="24"/>
  <c r="BL29" i="24"/>
  <c r="BL30" i="24"/>
  <c r="BL31" i="24"/>
  <c r="BL93" i="24" s="1"/>
  <c r="BL32" i="24"/>
  <c r="BL33" i="24"/>
  <c r="BL34" i="24"/>
  <c r="BL35" i="24"/>
  <c r="BL36" i="24"/>
  <c r="BL37" i="24"/>
  <c r="BL38" i="24"/>
  <c r="BL39" i="24"/>
  <c r="BL40" i="24"/>
  <c r="BL41" i="24"/>
  <c r="BL42" i="24"/>
  <c r="BL43" i="24"/>
  <c r="BL44" i="24"/>
  <c r="BL45" i="24"/>
  <c r="BL46" i="24"/>
  <c r="BL47" i="24"/>
  <c r="BL48" i="24"/>
  <c r="BL49" i="24"/>
  <c r="BL50" i="24"/>
  <c r="BL51" i="24"/>
  <c r="BL52" i="24"/>
  <c r="BL53" i="24"/>
  <c r="BL54" i="24"/>
  <c r="BL55" i="24"/>
  <c r="BL56" i="24"/>
  <c r="BL57" i="24"/>
  <c r="BL58" i="24"/>
  <c r="BL59" i="24"/>
  <c r="BL60" i="24"/>
  <c r="BL61" i="24"/>
  <c r="BL62" i="24"/>
  <c r="BL63" i="24"/>
  <c r="BL64" i="24"/>
  <c r="BL65" i="24"/>
  <c r="BL66" i="24"/>
  <c r="BL67" i="24"/>
  <c r="BL68" i="24"/>
  <c r="BL69" i="24"/>
  <c r="BL70" i="24"/>
  <c r="BL71" i="24"/>
  <c r="BL72" i="24"/>
  <c r="BL73" i="24"/>
  <c r="BL74" i="24"/>
  <c r="BL75" i="24"/>
  <c r="BL76" i="24"/>
  <c r="BL77" i="24"/>
  <c r="BL78" i="24"/>
  <c r="BL79" i="24"/>
  <c r="BL80" i="24"/>
  <c r="BL81" i="24"/>
  <c r="BL82" i="24"/>
  <c r="BL83" i="24"/>
  <c r="AY3" i="24"/>
  <c r="AY98" i="24" s="1"/>
  <c r="AY4" i="24"/>
  <c r="AY5" i="24"/>
  <c r="AY99" i="24" s="1"/>
  <c r="AY6" i="24"/>
  <c r="AY7" i="24"/>
  <c r="AY8" i="24"/>
  <c r="AY9" i="24"/>
  <c r="AY10" i="24"/>
  <c r="AY11" i="24"/>
  <c r="AY100" i="24" s="1"/>
  <c r="AY12" i="24"/>
  <c r="AY13" i="24"/>
  <c r="AY14" i="24"/>
  <c r="AY15" i="24"/>
  <c r="AY16" i="24"/>
  <c r="AY17" i="24"/>
  <c r="AY18" i="24"/>
  <c r="AY19" i="24"/>
  <c r="AY20" i="24"/>
  <c r="AY21" i="24"/>
  <c r="AY22" i="24"/>
  <c r="AY23" i="24"/>
  <c r="AY24" i="24"/>
  <c r="AY25" i="24"/>
  <c r="AY26" i="24"/>
  <c r="AY27" i="24"/>
  <c r="AY28" i="24"/>
  <c r="AY29" i="24"/>
  <c r="AY30" i="24"/>
  <c r="AY31" i="24"/>
  <c r="AY93" i="24" s="1"/>
  <c r="AY32" i="24"/>
  <c r="AY33" i="24"/>
  <c r="AY34" i="24"/>
  <c r="AY35" i="24"/>
  <c r="AY36" i="24"/>
  <c r="AY37" i="24"/>
  <c r="AY38" i="24"/>
  <c r="AY39" i="24"/>
  <c r="AY40" i="24"/>
  <c r="AY41" i="24"/>
  <c r="AY42" i="24"/>
  <c r="AY43" i="24"/>
  <c r="AY44" i="24"/>
  <c r="AY45" i="24"/>
  <c r="AY46" i="24"/>
  <c r="AY47" i="24"/>
  <c r="AY48" i="24"/>
  <c r="AY49" i="24"/>
  <c r="AY50" i="24"/>
  <c r="AY51" i="24"/>
  <c r="AY52" i="24"/>
  <c r="AY53" i="24"/>
  <c r="AY54" i="24"/>
  <c r="AY55" i="24"/>
  <c r="AY56" i="24"/>
  <c r="AY57" i="24"/>
  <c r="AY58" i="24"/>
  <c r="AY59" i="24"/>
  <c r="AY60" i="24"/>
  <c r="AY61" i="24"/>
  <c r="AY62" i="24"/>
  <c r="AY63" i="24"/>
  <c r="AY64" i="24"/>
  <c r="AY65" i="24"/>
  <c r="AY66" i="24"/>
  <c r="AY67" i="24"/>
  <c r="AY68" i="24"/>
  <c r="AY69" i="24"/>
  <c r="AY70" i="24"/>
  <c r="AY71" i="24"/>
  <c r="AY72" i="24"/>
  <c r="AY73" i="24"/>
  <c r="AY74" i="24"/>
  <c r="AY75" i="24"/>
  <c r="AY76" i="24"/>
  <c r="AY77" i="24"/>
  <c r="AY78" i="24"/>
  <c r="AY79" i="24"/>
  <c r="AY80" i="24"/>
  <c r="AY81" i="24"/>
  <c r="AY82" i="24"/>
  <c r="AY83" i="24"/>
  <c r="AO2" i="24"/>
  <c r="AO3" i="24"/>
  <c r="AO4" i="24"/>
  <c r="AO5" i="24"/>
  <c r="AO6" i="24"/>
  <c r="AO7" i="24"/>
  <c r="AO8" i="24"/>
  <c r="AO9" i="24"/>
  <c r="AO10" i="24"/>
  <c r="AO11" i="24"/>
  <c r="AO12" i="24"/>
  <c r="AO13" i="24"/>
  <c r="AO14" i="24"/>
  <c r="AO15" i="24"/>
  <c r="AO16" i="24"/>
  <c r="AO17" i="24"/>
  <c r="AO18" i="24"/>
  <c r="AO19" i="24"/>
  <c r="AO20" i="24"/>
  <c r="AO21" i="24"/>
  <c r="AO22" i="24"/>
  <c r="AO23" i="24"/>
  <c r="AO24" i="24"/>
  <c r="AO25" i="24"/>
  <c r="AO26" i="24"/>
  <c r="AO27" i="24"/>
  <c r="AO28" i="24"/>
  <c r="AO29" i="24"/>
  <c r="AO30" i="24"/>
  <c r="AO31" i="24"/>
  <c r="AO93" i="24" s="1"/>
  <c r="AO32" i="24"/>
  <c r="AO33" i="24"/>
  <c r="AO34" i="24"/>
  <c r="AO35" i="24"/>
  <c r="AO36" i="24"/>
  <c r="AO37" i="24"/>
  <c r="AO38" i="24"/>
  <c r="AO39" i="24"/>
  <c r="AO40" i="24"/>
  <c r="AO41" i="24"/>
  <c r="AO42" i="24"/>
  <c r="AO43" i="24"/>
  <c r="AO44" i="24"/>
  <c r="AO45" i="24"/>
  <c r="AO46" i="24"/>
  <c r="AO47" i="24"/>
  <c r="AO48" i="24"/>
  <c r="AO49" i="24"/>
  <c r="AO50" i="24"/>
  <c r="AO51" i="24"/>
  <c r="AO52" i="24"/>
  <c r="AO53" i="24"/>
  <c r="AO54" i="24"/>
  <c r="AO55" i="24"/>
  <c r="AO56" i="24"/>
  <c r="AO57" i="24"/>
  <c r="AO58" i="24"/>
  <c r="AO59" i="24"/>
  <c r="AO60" i="24"/>
  <c r="AO61" i="24"/>
  <c r="AO62" i="24"/>
  <c r="AO63" i="24"/>
  <c r="AO64" i="24"/>
  <c r="AO65" i="24"/>
  <c r="AO66" i="24"/>
  <c r="AO67" i="24"/>
  <c r="AO68" i="24"/>
  <c r="AO69" i="24"/>
  <c r="AO70" i="24"/>
  <c r="AO71" i="24"/>
  <c r="AO72" i="24"/>
  <c r="AO73" i="24"/>
  <c r="AO74" i="24"/>
  <c r="AO75" i="24"/>
  <c r="AO76" i="24"/>
  <c r="AO77" i="24"/>
  <c r="AO78" i="24"/>
  <c r="AO79" i="24"/>
  <c r="AO80" i="24"/>
  <c r="AO81" i="24"/>
  <c r="AO82" i="24"/>
  <c r="AO83" i="24"/>
  <c r="AI2" i="24"/>
  <c r="AI3" i="24"/>
  <c r="AI4" i="24"/>
  <c r="AI5" i="24"/>
  <c r="AI6" i="24"/>
  <c r="AJ6" i="24" s="1"/>
  <c r="AI7" i="24"/>
  <c r="AJ7" i="24" s="1"/>
  <c r="AI8" i="24"/>
  <c r="AI9" i="24"/>
  <c r="AJ9" i="24" s="1"/>
  <c r="AI10" i="24"/>
  <c r="AJ10" i="24" s="1"/>
  <c r="AI11" i="24"/>
  <c r="AI12" i="24"/>
  <c r="AJ12" i="24" s="1"/>
  <c r="AI13" i="24"/>
  <c r="AI14" i="24"/>
  <c r="AI15" i="24"/>
  <c r="AJ15" i="24" s="1"/>
  <c r="AI16" i="24"/>
  <c r="AI17" i="24"/>
  <c r="AJ17" i="24" s="1"/>
  <c r="AI18" i="24"/>
  <c r="AI19" i="24"/>
  <c r="AI20" i="24"/>
  <c r="AJ20" i="24" s="1"/>
  <c r="AI21" i="24"/>
  <c r="AJ21" i="24" s="1"/>
  <c r="AI22" i="24"/>
  <c r="AJ22" i="24" s="1"/>
  <c r="AI23" i="24"/>
  <c r="AJ23" i="24" s="1"/>
  <c r="AI24" i="24"/>
  <c r="AJ24" i="24" s="1"/>
  <c r="AI25" i="24"/>
  <c r="AJ25" i="24" s="1"/>
  <c r="AI26" i="24"/>
  <c r="AJ26" i="24" s="1"/>
  <c r="AI27" i="24"/>
  <c r="AJ27" i="24" s="1"/>
  <c r="AI28" i="24"/>
  <c r="AJ28" i="24" s="1"/>
  <c r="AI29" i="24"/>
  <c r="AJ29" i="24" s="1"/>
  <c r="AI30" i="24"/>
  <c r="AJ30" i="24" s="1"/>
  <c r="AI31" i="24"/>
  <c r="AI32" i="24"/>
  <c r="AJ32" i="24" s="1"/>
  <c r="AI33" i="24"/>
  <c r="AJ33" i="24" s="1"/>
  <c r="AI34" i="24"/>
  <c r="AI35" i="24"/>
  <c r="AJ35" i="24" s="1"/>
  <c r="AI36" i="24"/>
  <c r="AI37" i="24"/>
  <c r="AJ37" i="24" s="1"/>
  <c r="AI38" i="24"/>
  <c r="AJ38" i="24" s="1"/>
  <c r="AI39" i="24"/>
  <c r="AJ39" i="24" s="1"/>
  <c r="AI40" i="24"/>
  <c r="AJ40" i="24" s="1"/>
  <c r="AI41" i="24"/>
  <c r="AJ41" i="24" s="1"/>
  <c r="AI42" i="24"/>
  <c r="AJ42" i="24" s="1"/>
  <c r="AI43" i="24"/>
  <c r="AJ43" i="24" s="1"/>
  <c r="AI44" i="24"/>
  <c r="AJ44" i="24" s="1"/>
  <c r="AI45" i="24"/>
  <c r="AJ45" i="24" s="1"/>
  <c r="AI46" i="24"/>
  <c r="AJ46" i="24" s="1"/>
  <c r="AI47" i="24"/>
  <c r="AJ47" i="24" s="1"/>
  <c r="AI48" i="24"/>
  <c r="AJ48" i="24" s="1"/>
  <c r="AI49" i="24"/>
  <c r="AJ49" i="24" s="1"/>
  <c r="AI50" i="24"/>
  <c r="AI51" i="24"/>
  <c r="AJ51" i="24" s="1"/>
  <c r="AI52" i="24"/>
  <c r="AJ52" i="24" s="1"/>
  <c r="AI53" i="24"/>
  <c r="AJ53" i="24" s="1"/>
  <c r="AI54" i="24"/>
  <c r="AJ54" i="24" s="1"/>
  <c r="AI55" i="24"/>
  <c r="AJ55" i="24" s="1"/>
  <c r="AI56" i="24"/>
  <c r="AJ56" i="24" s="1"/>
  <c r="AI57" i="24"/>
  <c r="AJ57" i="24" s="1"/>
  <c r="AI58" i="24"/>
  <c r="AJ58" i="24" s="1"/>
  <c r="AI59" i="24"/>
  <c r="AJ59" i="24" s="1"/>
  <c r="AI60" i="24"/>
  <c r="AJ60" i="24" s="1"/>
  <c r="AI61" i="24"/>
  <c r="AJ61" i="24" s="1"/>
  <c r="AI62" i="24"/>
  <c r="AJ62" i="24" s="1"/>
  <c r="AI63" i="24"/>
  <c r="AJ63" i="24" s="1"/>
  <c r="AI64" i="24"/>
  <c r="AJ64" i="24" s="1"/>
  <c r="AI65" i="24"/>
  <c r="AJ65" i="24" s="1"/>
  <c r="AI66" i="24"/>
  <c r="AJ66" i="24" s="1"/>
  <c r="AI67" i="24"/>
  <c r="AJ67" i="24" s="1"/>
  <c r="AI68" i="24"/>
  <c r="AJ68" i="24" s="1"/>
  <c r="AI69" i="24"/>
  <c r="AJ69" i="24" s="1"/>
  <c r="AI70" i="24"/>
  <c r="AJ70" i="24" s="1"/>
  <c r="AI71" i="24"/>
  <c r="AJ71" i="24" s="1"/>
  <c r="AI72" i="24"/>
  <c r="AJ72" i="24" s="1"/>
  <c r="AI73" i="24"/>
  <c r="AJ73" i="24" s="1"/>
  <c r="AI74" i="24"/>
  <c r="AJ74" i="24" s="1"/>
  <c r="AI75" i="24"/>
  <c r="AJ75" i="24" s="1"/>
  <c r="AI76" i="24"/>
  <c r="AJ76" i="24" s="1"/>
  <c r="AI77" i="24"/>
  <c r="AJ77" i="24" s="1"/>
  <c r="AI78" i="24"/>
  <c r="AJ78" i="24" s="1"/>
  <c r="AI79" i="24"/>
  <c r="AJ79" i="24" s="1"/>
  <c r="AI80" i="24"/>
  <c r="AJ80" i="24" s="1"/>
  <c r="AI81" i="24"/>
  <c r="AJ81" i="24" s="1"/>
  <c r="AI82" i="24"/>
  <c r="AJ82" i="24" s="1"/>
  <c r="AI83" i="24"/>
  <c r="AJ83" i="24" s="1"/>
  <c r="DB121" i="24"/>
  <c r="AI120" i="24" l="1"/>
  <c r="AI116" i="24"/>
  <c r="AI119" i="24"/>
  <c r="AI107" i="24"/>
  <c r="AI118" i="24"/>
  <c r="AI87" i="24"/>
  <c r="AI117" i="24"/>
  <c r="AI105" i="24"/>
  <c r="AY95" i="24"/>
  <c r="AY87" i="24"/>
  <c r="AO100" i="24"/>
  <c r="AO98" i="24"/>
  <c r="BL119" i="24"/>
  <c r="BL107" i="24"/>
  <c r="BL118" i="24"/>
  <c r="BL87" i="24"/>
  <c r="BL117" i="24"/>
  <c r="BL105" i="24"/>
  <c r="BL120" i="24"/>
  <c r="BL116" i="24"/>
  <c r="H94" i="24"/>
  <c r="AO95" i="24"/>
  <c r="AO107" i="24"/>
  <c r="AO118" i="24"/>
  <c r="AO87" i="24"/>
  <c r="AO117" i="24"/>
  <c r="AO105" i="24"/>
  <c r="AO120" i="24"/>
  <c r="AO116" i="24"/>
  <c r="AO119" i="24"/>
  <c r="AY94" i="24"/>
  <c r="AY96" i="24"/>
  <c r="AY97" i="24"/>
  <c r="AY107" i="24"/>
  <c r="CG100" i="24"/>
  <c r="CG118" i="24"/>
  <c r="CE118" i="24"/>
  <c r="CG119" i="24"/>
  <c r="CE119" i="24"/>
  <c r="CG94" i="24"/>
  <c r="CG95" i="24"/>
  <c r="CG87" i="24"/>
  <c r="CG107" i="24"/>
  <c r="CG99" i="24"/>
  <c r="CG117" i="24"/>
  <c r="CE117" i="24"/>
  <c r="CG97" i="24"/>
  <c r="CG105" i="24"/>
  <c r="CE105" i="24"/>
  <c r="CG98" i="24"/>
  <c r="CG116" i="24"/>
  <c r="CE116" i="24"/>
  <c r="CG120" i="24"/>
  <c r="CE120" i="24"/>
  <c r="CG96" i="24"/>
  <c r="H119" i="24"/>
  <c r="H118" i="24"/>
  <c r="H107" i="24"/>
  <c r="H99" i="24"/>
  <c r="H87" i="24"/>
  <c r="H100" i="24"/>
  <c r="H120" i="24"/>
  <c r="H117" i="24"/>
  <c r="H97" i="24"/>
  <c r="H116" i="24"/>
  <c r="H98" i="24"/>
  <c r="H105" i="24"/>
  <c r="H96" i="24"/>
  <c r="H95" i="24"/>
  <c r="CT76" i="24"/>
  <c r="BV76" i="24"/>
  <c r="CT83" i="24"/>
  <c r="BV83" i="24"/>
  <c r="CT75" i="24"/>
  <c r="BV75" i="24"/>
  <c r="BV27" i="24"/>
  <c r="CS100" i="24"/>
  <c r="BV11" i="24"/>
  <c r="CS98" i="24"/>
  <c r="BV3" i="24"/>
  <c r="CT82" i="24"/>
  <c r="BV82" i="24"/>
  <c r="CT74" i="24"/>
  <c r="BV74" i="24"/>
  <c r="CS95" i="24"/>
  <c r="BV50" i="24"/>
  <c r="BV2" i="24"/>
  <c r="CS99" i="24"/>
  <c r="CT81" i="24"/>
  <c r="BV81" i="24"/>
  <c r="CT80" i="24"/>
  <c r="BV80" i="24"/>
  <c r="CS96" i="24"/>
  <c r="BV16" i="24"/>
  <c r="CT79" i="24"/>
  <c r="BV79" i="24"/>
  <c r="CT71" i="24"/>
  <c r="BV71" i="24"/>
  <c r="CS93" i="24"/>
  <c r="BV31" i="24"/>
  <c r="BV93" i="24" s="1"/>
  <c r="CT78" i="24"/>
  <c r="BV78" i="24"/>
  <c r="BV6" i="24"/>
  <c r="CT77" i="24"/>
  <c r="BV77" i="24"/>
  <c r="CS94" i="24"/>
  <c r="BV36" i="24"/>
  <c r="BV94" i="24" s="1"/>
  <c r="CS97" i="24"/>
  <c r="BV4" i="24"/>
  <c r="BL96" i="24"/>
  <c r="BY100" i="24"/>
  <c r="BL94" i="24"/>
  <c r="BY98" i="24"/>
  <c r="BY99" i="24"/>
  <c r="BL95" i="24"/>
  <c r="AO99" i="24"/>
  <c r="AO96" i="24"/>
  <c r="AO94" i="24"/>
  <c r="AO97" i="24"/>
  <c r="AJ16" i="24"/>
  <c r="AJ96" i="24" s="1"/>
  <c r="AI96" i="24"/>
  <c r="AJ36" i="24"/>
  <c r="AI94" i="24"/>
  <c r="AI97" i="24"/>
  <c r="AJ11" i="24"/>
  <c r="AI100" i="24"/>
  <c r="AI98" i="24"/>
  <c r="AJ31" i="24"/>
  <c r="AJ93" i="24" s="1"/>
  <c r="AI93" i="24"/>
  <c r="AJ50" i="24"/>
  <c r="AI95" i="24"/>
  <c r="AI99" i="24"/>
  <c r="BL97" i="24"/>
  <c r="AJ94" i="24"/>
  <c r="BL100" i="24"/>
  <c r="BL98" i="24"/>
  <c r="BL99" i="24"/>
  <c r="AJ95" i="24"/>
  <c r="C16" i="25"/>
  <c r="C20" i="25"/>
  <c r="C47" i="25"/>
  <c r="C38" i="25"/>
  <c r="F32" i="25"/>
  <c r="F27" i="25"/>
  <c r="F41" i="25"/>
  <c r="F26" i="25"/>
  <c r="F15" i="25"/>
  <c r="AJ14" i="24"/>
  <c r="AJ13" i="24"/>
  <c r="AJ5" i="24"/>
  <c r="AJ4" i="24"/>
  <c r="AJ19" i="24"/>
  <c r="AJ34" i="24"/>
  <c r="AJ18" i="24"/>
  <c r="AJ2" i="24"/>
  <c r="AJ8" i="24"/>
  <c r="AJ3" i="24"/>
  <c r="CT73" i="24"/>
  <c r="BV107" i="24" l="1"/>
  <c r="BV118" i="24"/>
  <c r="BV87" i="24"/>
  <c r="BV117" i="24"/>
  <c r="BV105" i="24"/>
  <c r="BV120" i="24"/>
  <c r="BV116" i="24"/>
  <c r="BV119" i="24"/>
  <c r="AJ119" i="24"/>
  <c r="AJ107" i="24"/>
  <c r="AJ118" i="24"/>
  <c r="AJ87" i="24"/>
  <c r="AJ117" i="24"/>
  <c r="AJ105" i="24"/>
  <c r="AJ120" i="24"/>
  <c r="AJ116" i="24"/>
  <c r="BV97" i="24"/>
  <c r="BV98" i="24"/>
  <c r="BV99" i="24"/>
  <c r="BV96" i="24"/>
  <c r="BV95" i="24"/>
  <c r="BV100" i="24"/>
  <c r="AJ99" i="24"/>
  <c r="AJ100" i="24"/>
  <c r="AJ97" i="24"/>
  <c r="AJ98" i="24"/>
  <c r="C52" i="25"/>
  <c r="C44" i="25"/>
  <c r="DZ83" i="24"/>
  <c r="DY83" i="24"/>
  <c r="DX83" i="24"/>
  <c r="DW83" i="24"/>
  <c r="CJ83" i="24"/>
  <c r="CH83" i="24"/>
  <c r="BA83" i="24"/>
  <c r="AQ83" i="24"/>
  <c r="AA83" i="24"/>
  <c r="Z83" i="24"/>
  <c r="Y83" i="24"/>
  <c r="X83" i="24"/>
  <c r="W83" i="24"/>
  <c r="R83" i="24"/>
  <c r="M83" i="24"/>
  <c r="DZ82" i="24"/>
  <c r="DY82" i="24"/>
  <c r="DX82" i="24"/>
  <c r="DW82" i="24"/>
  <c r="CJ82" i="24"/>
  <c r="CH82" i="24"/>
  <c r="BA82" i="24"/>
  <c r="AQ82" i="24"/>
  <c r="AA82" i="24"/>
  <c r="Z82" i="24"/>
  <c r="Y82" i="24"/>
  <c r="X82" i="24"/>
  <c r="W82" i="24"/>
  <c r="R82" i="24"/>
  <c r="M82" i="24"/>
  <c r="DZ81" i="24"/>
  <c r="DY81" i="24"/>
  <c r="DX81" i="24"/>
  <c r="DW81" i="24"/>
  <c r="CJ81" i="24"/>
  <c r="CH81" i="24"/>
  <c r="BA81" i="24"/>
  <c r="AQ81" i="24"/>
  <c r="AA81" i="24"/>
  <c r="Z81" i="24"/>
  <c r="Y81" i="24"/>
  <c r="X81" i="24"/>
  <c r="W81" i="24"/>
  <c r="R81" i="24"/>
  <c r="M81" i="24"/>
  <c r="DZ80" i="24"/>
  <c r="DX80" i="24"/>
  <c r="DW80" i="24"/>
  <c r="CJ80" i="24"/>
  <c r="CH80" i="24"/>
  <c r="BA80" i="24"/>
  <c r="AQ80" i="24"/>
  <c r="AA80" i="24"/>
  <c r="Z80" i="24"/>
  <c r="Y80" i="24"/>
  <c r="X80" i="24"/>
  <c r="W80" i="24"/>
  <c r="R80" i="24"/>
  <c r="M80" i="24"/>
  <c r="DZ79" i="24"/>
  <c r="DY79" i="24"/>
  <c r="DX79" i="24"/>
  <c r="DW79" i="24"/>
  <c r="CJ79" i="24"/>
  <c r="CH79" i="24"/>
  <c r="BA79" i="24"/>
  <c r="AQ79" i="24"/>
  <c r="AA79" i="24"/>
  <c r="Z79" i="24"/>
  <c r="Y79" i="24"/>
  <c r="X79" i="24"/>
  <c r="W79" i="24"/>
  <c r="R79" i="24"/>
  <c r="M79" i="24"/>
  <c r="DZ78" i="24"/>
  <c r="DY78" i="24"/>
  <c r="DX78" i="24"/>
  <c r="DW78" i="24"/>
  <c r="CJ78" i="24"/>
  <c r="CH78" i="24"/>
  <c r="BA78" i="24"/>
  <c r="AQ78" i="24"/>
  <c r="AA78" i="24"/>
  <c r="Z78" i="24"/>
  <c r="Y78" i="24"/>
  <c r="X78" i="24"/>
  <c r="W78" i="24"/>
  <c r="R78" i="24"/>
  <c r="M78" i="24"/>
  <c r="DZ77" i="24"/>
  <c r="DY77" i="24"/>
  <c r="DX77" i="24"/>
  <c r="DW77" i="24"/>
  <c r="CJ77" i="24"/>
  <c r="CH77" i="24"/>
  <c r="BA77" i="24"/>
  <c r="AQ77" i="24"/>
  <c r="AA77" i="24"/>
  <c r="Z77" i="24"/>
  <c r="Y77" i="24"/>
  <c r="X77" i="24"/>
  <c r="W77" i="24"/>
  <c r="R77" i="24"/>
  <c r="M77" i="24"/>
  <c r="DZ76" i="24"/>
  <c r="DY76" i="24"/>
  <c r="DX76" i="24"/>
  <c r="DW76" i="24"/>
  <c r="CJ76" i="24"/>
  <c r="CH76" i="24"/>
  <c r="BA76" i="24"/>
  <c r="AQ76" i="24"/>
  <c r="AA76" i="24"/>
  <c r="Z76" i="24"/>
  <c r="Y76" i="24"/>
  <c r="X76" i="24"/>
  <c r="W76" i="24"/>
  <c r="R76" i="24"/>
  <c r="M76" i="24"/>
  <c r="DZ75" i="24"/>
  <c r="DY75" i="24"/>
  <c r="DX75" i="24"/>
  <c r="DW75" i="24"/>
  <c r="CJ75" i="24"/>
  <c r="CH75" i="24"/>
  <c r="BA75" i="24"/>
  <c r="AQ75" i="24"/>
  <c r="AA75" i="24"/>
  <c r="Z75" i="24"/>
  <c r="Y75" i="24"/>
  <c r="X75" i="24"/>
  <c r="W75" i="24"/>
  <c r="R75" i="24"/>
  <c r="M75" i="24"/>
  <c r="DZ74" i="24"/>
  <c r="DY74" i="24"/>
  <c r="DX74" i="24"/>
  <c r="DW74" i="24"/>
  <c r="CJ74" i="24"/>
  <c r="CH74" i="24"/>
  <c r="BA74" i="24"/>
  <c r="AQ74" i="24"/>
  <c r="AA74" i="24"/>
  <c r="Z74" i="24"/>
  <c r="Y74" i="24"/>
  <c r="X74" i="24"/>
  <c r="W74" i="24"/>
  <c r="R74" i="24"/>
  <c r="M74" i="24"/>
  <c r="DZ73" i="24"/>
  <c r="DY73" i="24"/>
  <c r="DX73" i="24"/>
  <c r="DW73" i="24"/>
  <c r="CJ73" i="24"/>
  <c r="CH73" i="24"/>
  <c r="BA73" i="24"/>
  <c r="AQ73" i="24"/>
  <c r="AA73" i="24"/>
  <c r="Z73" i="24"/>
  <c r="Y73" i="24"/>
  <c r="X73" i="24"/>
  <c r="W73" i="24"/>
  <c r="R73" i="24"/>
  <c r="M73" i="24"/>
  <c r="DZ72" i="24"/>
  <c r="DY72" i="24"/>
  <c r="DX72" i="24"/>
  <c r="DW72" i="24"/>
  <c r="CJ72" i="24"/>
  <c r="CH72" i="24"/>
  <c r="BA72" i="24"/>
  <c r="AQ72" i="24"/>
  <c r="AA72" i="24"/>
  <c r="Z72" i="24"/>
  <c r="Y72" i="24"/>
  <c r="X72" i="24"/>
  <c r="W72" i="24"/>
  <c r="R72" i="24"/>
  <c r="M72" i="24"/>
  <c r="DZ71" i="24"/>
  <c r="DY71" i="24"/>
  <c r="DX71" i="24"/>
  <c r="DW71" i="24"/>
  <c r="CJ71" i="24"/>
  <c r="CH71" i="24"/>
  <c r="BA71" i="24"/>
  <c r="AQ71" i="24"/>
  <c r="AA71" i="24"/>
  <c r="Z71" i="24"/>
  <c r="Y71" i="24"/>
  <c r="X71" i="24"/>
  <c r="W71" i="24"/>
  <c r="R71" i="24"/>
  <c r="M71" i="24"/>
  <c r="DZ70" i="24"/>
  <c r="DY70" i="24"/>
  <c r="DX70" i="24"/>
  <c r="DW70" i="24"/>
  <c r="CT70" i="24"/>
  <c r="CJ70" i="24"/>
  <c r="CH70" i="24"/>
  <c r="BA70" i="24"/>
  <c r="AQ70" i="24"/>
  <c r="AA70" i="24"/>
  <c r="Z70" i="24"/>
  <c r="Y70" i="24"/>
  <c r="X70" i="24"/>
  <c r="W70" i="24"/>
  <c r="R70" i="24"/>
  <c r="M70" i="24"/>
  <c r="DZ69" i="24"/>
  <c r="DY69" i="24"/>
  <c r="DX69" i="24"/>
  <c r="DW69" i="24"/>
  <c r="CT69" i="24"/>
  <c r="CJ69" i="24"/>
  <c r="CH69" i="24"/>
  <c r="BA69" i="24"/>
  <c r="AQ69" i="24"/>
  <c r="AA69" i="24"/>
  <c r="Z69" i="24"/>
  <c r="Y69" i="24"/>
  <c r="X69" i="24"/>
  <c r="W69" i="24"/>
  <c r="R69" i="24"/>
  <c r="M69" i="24"/>
  <c r="DZ68" i="24"/>
  <c r="DY68" i="24"/>
  <c r="DX68" i="24"/>
  <c r="DW68" i="24"/>
  <c r="CT68" i="24"/>
  <c r="CJ68" i="24"/>
  <c r="CH68" i="24"/>
  <c r="BA68" i="24"/>
  <c r="AQ68" i="24"/>
  <c r="AA68" i="24"/>
  <c r="Z68" i="24"/>
  <c r="Y68" i="24"/>
  <c r="X68" i="24"/>
  <c r="W68" i="24"/>
  <c r="R68" i="24"/>
  <c r="M68" i="24"/>
  <c r="DZ67" i="24"/>
  <c r="DY67" i="24"/>
  <c r="DX67" i="24"/>
  <c r="DW67" i="24"/>
  <c r="CT67" i="24"/>
  <c r="CJ67" i="24"/>
  <c r="CH67" i="24"/>
  <c r="BA67" i="24"/>
  <c r="AQ67" i="24"/>
  <c r="AA67" i="24"/>
  <c r="Z67" i="24"/>
  <c r="Y67" i="24"/>
  <c r="X67" i="24"/>
  <c r="W67" i="24"/>
  <c r="R67" i="24"/>
  <c r="M67" i="24"/>
  <c r="DZ66" i="24"/>
  <c r="DY66" i="24"/>
  <c r="DX66" i="24"/>
  <c r="DW66" i="24"/>
  <c r="CT66" i="24"/>
  <c r="CJ66" i="24"/>
  <c r="CH66" i="24"/>
  <c r="BA66" i="24"/>
  <c r="AQ66" i="24"/>
  <c r="AA66" i="24"/>
  <c r="Z66" i="24"/>
  <c r="Y66" i="24"/>
  <c r="X66" i="24"/>
  <c r="W66" i="24"/>
  <c r="R66" i="24"/>
  <c r="M66" i="24"/>
  <c r="DZ65" i="24"/>
  <c r="DY65" i="24"/>
  <c r="DX65" i="24"/>
  <c r="DW65" i="24"/>
  <c r="CT65" i="24"/>
  <c r="CJ65" i="24"/>
  <c r="CH65" i="24"/>
  <c r="BA65" i="24"/>
  <c r="AQ65" i="24"/>
  <c r="AA65" i="24"/>
  <c r="Z65" i="24"/>
  <c r="Y65" i="24"/>
  <c r="X65" i="24"/>
  <c r="W65" i="24"/>
  <c r="R65" i="24"/>
  <c r="M65" i="24"/>
  <c r="DZ64" i="24"/>
  <c r="DY64" i="24"/>
  <c r="DX64" i="24"/>
  <c r="DW64" i="24"/>
  <c r="CT64" i="24"/>
  <c r="CJ64" i="24"/>
  <c r="CH64" i="24"/>
  <c r="BA64" i="24"/>
  <c r="AQ64" i="24"/>
  <c r="AA64" i="24"/>
  <c r="Z64" i="24"/>
  <c r="Y64" i="24"/>
  <c r="X64" i="24"/>
  <c r="W64" i="24"/>
  <c r="R64" i="24"/>
  <c r="M64" i="24"/>
  <c r="DZ63" i="24"/>
  <c r="DY63" i="24"/>
  <c r="DX63" i="24"/>
  <c r="DW63" i="24"/>
  <c r="CT63" i="24"/>
  <c r="CJ63" i="24"/>
  <c r="CH63" i="24"/>
  <c r="BA63" i="24"/>
  <c r="AQ63" i="24"/>
  <c r="AA63" i="24"/>
  <c r="Z63" i="24"/>
  <c r="Y63" i="24"/>
  <c r="X63" i="24"/>
  <c r="W63" i="24"/>
  <c r="R63" i="24"/>
  <c r="M63" i="24"/>
  <c r="DZ62" i="24"/>
  <c r="DY62" i="24"/>
  <c r="DX62" i="24"/>
  <c r="DW62" i="24"/>
  <c r="CT62" i="24"/>
  <c r="CJ62" i="24"/>
  <c r="CH62" i="24"/>
  <c r="BA62" i="24"/>
  <c r="AQ62" i="24"/>
  <c r="AA62" i="24"/>
  <c r="Z62" i="24"/>
  <c r="Y62" i="24"/>
  <c r="X62" i="24"/>
  <c r="W62" i="24"/>
  <c r="R62" i="24"/>
  <c r="M62" i="24"/>
  <c r="DZ61" i="24"/>
  <c r="DY61" i="24"/>
  <c r="DX61" i="24"/>
  <c r="DW61" i="24"/>
  <c r="CT61" i="24"/>
  <c r="CJ61" i="24"/>
  <c r="CH61" i="24"/>
  <c r="BA61" i="24"/>
  <c r="AQ61" i="24"/>
  <c r="AA61" i="24"/>
  <c r="Z61" i="24"/>
  <c r="Y61" i="24"/>
  <c r="X61" i="24"/>
  <c r="W61" i="24"/>
  <c r="R61" i="24"/>
  <c r="M61" i="24"/>
  <c r="DZ60" i="24"/>
  <c r="DY60" i="24"/>
  <c r="DX60" i="24"/>
  <c r="DW60" i="24"/>
  <c r="CT60" i="24"/>
  <c r="CJ60" i="24"/>
  <c r="CH60" i="24"/>
  <c r="BA60" i="24"/>
  <c r="AQ60" i="24"/>
  <c r="AA60" i="24"/>
  <c r="Z60" i="24"/>
  <c r="Y60" i="24"/>
  <c r="X60" i="24"/>
  <c r="W60" i="24"/>
  <c r="R60" i="24"/>
  <c r="M60" i="24"/>
  <c r="DZ59" i="24"/>
  <c r="DY59" i="24"/>
  <c r="DX59" i="24"/>
  <c r="DW59" i="24"/>
  <c r="CT59" i="24"/>
  <c r="CJ59" i="24"/>
  <c r="CH59" i="24"/>
  <c r="BA59" i="24"/>
  <c r="AQ59" i="24"/>
  <c r="AA59" i="24"/>
  <c r="Z59" i="24"/>
  <c r="Y59" i="24"/>
  <c r="X59" i="24"/>
  <c r="W59" i="24"/>
  <c r="R59" i="24"/>
  <c r="M59" i="24"/>
  <c r="DZ58" i="24"/>
  <c r="DY58" i="24"/>
  <c r="DX58" i="24"/>
  <c r="DW58" i="24"/>
  <c r="CT58" i="24"/>
  <c r="CJ58" i="24"/>
  <c r="CH58" i="24"/>
  <c r="BA58" i="24"/>
  <c r="AQ58" i="24"/>
  <c r="AA58" i="24"/>
  <c r="Z58" i="24"/>
  <c r="Y58" i="24"/>
  <c r="X58" i="24"/>
  <c r="W58" i="24"/>
  <c r="R58" i="24"/>
  <c r="M58" i="24"/>
  <c r="DZ57" i="24"/>
  <c r="DY57" i="24"/>
  <c r="DX57" i="24"/>
  <c r="DW57" i="24"/>
  <c r="CT57" i="24"/>
  <c r="CJ57" i="24"/>
  <c r="CH57" i="24"/>
  <c r="BA57" i="24"/>
  <c r="AQ57" i="24"/>
  <c r="AA57" i="24"/>
  <c r="Z57" i="24"/>
  <c r="Y57" i="24"/>
  <c r="X57" i="24"/>
  <c r="W57" i="24"/>
  <c r="R57" i="24"/>
  <c r="M57" i="24"/>
  <c r="DZ56" i="24"/>
  <c r="DY56" i="24"/>
  <c r="DX56" i="24"/>
  <c r="DW56" i="24"/>
  <c r="CT56" i="24"/>
  <c r="CJ56" i="24"/>
  <c r="CH56" i="24"/>
  <c r="BA56" i="24"/>
  <c r="AQ56" i="24"/>
  <c r="AA56" i="24"/>
  <c r="Z56" i="24"/>
  <c r="Y56" i="24"/>
  <c r="X56" i="24"/>
  <c r="W56" i="24"/>
  <c r="R56" i="24"/>
  <c r="M56" i="24"/>
  <c r="DZ55" i="24"/>
  <c r="DY55" i="24"/>
  <c r="DX55" i="24"/>
  <c r="DW55" i="24"/>
  <c r="CT55" i="24"/>
  <c r="CJ55" i="24"/>
  <c r="CH55" i="24"/>
  <c r="BA55" i="24"/>
  <c r="AQ55" i="24"/>
  <c r="AA55" i="24"/>
  <c r="Z55" i="24"/>
  <c r="Y55" i="24"/>
  <c r="X55" i="24"/>
  <c r="W55" i="24"/>
  <c r="R55" i="24"/>
  <c r="M55" i="24"/>
  <c r="DZ54" i="24"/>
  <c r="DY54" i="24"/>
  <c r="DX54" i="24"/>
  <c r="DW54" i="24"/>
  <c r="CT54" i="24"/>
  <c r="CJ54" i="24"/>
  <c r="CH54" i="24"/>
  <c r="BA54" i="24"/>
  <c r="AQ54" i="24"/>
  <c r="AA54" i="24"/>
  <c r="Z54" i="24"/>
  <c r="Y54" i="24"/>
  <c r="X54" i="24"/>
  <c r="W54" i="24"/>
  <c r="R54" i="24"/>
  <c r="M54" i="24"/>
  <c r="DZ53" i="24"/>
  <c r="DY53" i="24"/>
  <c r="DX53" i="24"/>
  <c r="DW53" i="24"/>
  <c r="CT53" i="24"/>
  <c r="CJ53" i="24"/>
  <c r="CH53" i="24"/>
  <c r="BA53" i="24"/>
  <c r="AQ53" i="24"/>
  <c r="AA53" i="24"/>
  <c r="Z53" i="24"/>
  <c r="Y53" i="24"/>
  <c r="X53" i="24"/>
  <c r="W53" i="24"/>
  <c r="R53" i="24"/>
  <c r="M53" i="24"/>
  <c r="DZ52" i="24"/>
  <c r="DY52" i="24"/>
  <c r="DX52" i="24"/>
  <c r="DW52" i="24"/>
  <c r="CT52" i="24"/>
  <c r="CJ52" i="24"/>
  <c r="CH52" i="24"/>
  <c r="BA52" i="24"/>
  <c r="AQ52" i="24"/>
  <c r="AA52" i="24"/>
  <c r="Z52" i="24"/>
  <c r="Y52" i="24"/>
  <c r="X52" i="24"/>
  <c r="W52" i="24"/>
  <c r="R52" i="24"/>
  <c r="M52" i="24"/>
  <c r="DZ51" i="24"/>
  <c r="DY51" i="24"/>
  <c r="DX51" i="24"/>
  <c r="DW51" i="24"/>
  <c r="CT51" i="24"/>
  <c r="CJ51" i="24"/>
  <c r="CH51" i="24"/>
  <c r="BA51" i="24"/>
  <c r="AQ51" i="24"/>
  <c r="AA51" i="24"/>
  <c r="Z51" i="24"/>
  <c r="Y51" i="24"/>
  <c r="X51" i="24"/>
  <c r="W51" i="24"/>
  <c r="R51" i="24"/>
  <c r="M51" i="24"/>
  <c r="DZ50" i="24"/>
  <c r="DY50" i="24"/>
  <c r="DX50" i="24"/>
  <c r="DW50" i="24"/>
  <c r="CT50" i="24"/>
  <c r="CT95" i="24" s="1"/>
  <c r="CJ50" i="24"/>
  <c r="CJ95" i="24" s="1"/>
  <c r="CH50" i="24"/>
  <c r="CH95" i="24" s="1"/>
  <c r="BA50" i="24"/>
  <c r="AQ50" i="24"/>
  <c r="AA50" i="24"/>
  <c r="Z50" i="24"/>
  <c r="Z95" i="24" s="1"/>
  <c r="Y50" i="24"/>
  <c r="X50" i="24"/>
  <c r="X95" i="24" s="1"/>
  <c r="W50" i="24"/>
  <c r="R50" i="24"/>
  <c r="M50" i="24"/>
  <c r="DZ49" i="24"/>
  <c r="DY49" i="24"/>
  <c r="DX49" i="24"/>
  <c r="DW49" i="24"/>
  <c r="CT49" i="24"/>
  <c r="CJ49" i="24"/>
  <c r="CH49" i="24"/>
  <c r="BA49" i="24"/>
  <c r="AQ49" i="24"/>
  <c r="AA49" i="24"/>
  <c r="Z49" i="24"/>
  <c r="Y49" i="24"/>
  <c r="X49" i="24"/>
  <c r="W49" i="24"/>
  <c r="R49" i="24"/>
  <c r="M49" i="24"/>
  <c r="DZ48" i="24"/>
  <c r="DY48" i="24"/>
  <c r="DX48" i="24"/>
  <c r="DW48" i="24"/>
  <c r="CT48" i="24"/>
  <c r="CJ48" i="24"/>
  <c r="CH48" i="24"/>
  <c r="BA48" i="24"/>
  <c r="AQ48" i="24"/>
  <c r="AA48" i="24"/>
  <c r="Z48" i="24"/>
  <c r="Y48" i="24"/>
  <c r="X48" i="24"/>
  <c r="W48" i="24"/>
  <c r="R48" i="24"/>
  <c r="M48" i="24"/>
  <c r="DZ47" i="24"/>
  <c r="DY47" i="24"/>
  <c r="DX47" i="24"/>
  <c r="DW47" i="24"/>
  <c r="CT47" i="24"/>
  <c r="CJ47" i="24"/>
  <c r="CH47" i="24"/>
  <c r="BA47" i="24"/>
  <c r="AQ47" i="24"/>
  <c r="AA47" i="24"/>
  <c r="Z47" i="24"/>
  <c r="Y47" i="24"/>
  <c r="X47" i="24"/>
  <c r="W47" i="24"/>
  <c r="R47" i="24"/>
  <c r="M47" i="24"/>
  <c r="DZ46" i="24"/>
  <c r="DY46" i="24"/>
  <c r="DX46" i="24"/>
  <c r="DW46" i="24"/>
  <c r="CT46" i="24"/>
  <c r="CJ46" i="24"/>
  <c r="CH46" i="24"/>
  <c r="BA46" i="24"/>
  <c r="AQ46" i="24"/>
  <c r="AA46" i="24"/>
  <c r="Z46" i="24"/>
  <c r="Y46" i="24"/>
  <c r="X46" i="24"/>
  <c r="W46" i="24"/>
  <c r="R46" i="24"/>
  <c r="M46" i="24"/>
  <c r="DZ45" i="24"/>
  <c r="DY45" i="24"/>
  <c r="DX45" i="24"/>
  <c r="DW45" i="24"/>
  <c r="CT45" i="24"/>
  <c r="CJ45" i="24"/>
  <c r="CH45" i="24"/>
  <c r="BA45" i="24"/>
  <c r="AQ45" i="24"/>
  <c r="AA45" i="24"/>
  <c r="Z45" i="24"/>
  <c r="Y45" i="24"/>
  <c r="X45" i="24"/>
  <c r="W45" i="24"/>
  <c r="R45" i="24"/>
  <c r="M45" i="24"/>
  <c r="DZ44" i="24"/>
  <c r="DY44" i="24"/>
  <c r="DX44" i="24"/>
  <c r="DW44" i="24"/>
  <c r="CT44" i="24"/>
  <c r="CJ44" i="24"/>
  <c r="CH44" i="24"/>
  <c r="BA44" i="24"/>
  <c r="AQ44" i="24"/>
  <c r="AA44" i="24"/>
  <c r="Z44" i="24"/>
  <c r="Y44" i="24"/>
  <c r="X44" i="24"/>
  <c r="W44" i="24"/>
  <c r="R44" i="24"/>
  <c r="M44" i="24"/>
  <c r="DZ43" i="24"/>
  <c r="DY43" i="24"/>
  <c r="DX43" i="24"/>
  <c r="DW43" i="24"/>
  <c r="CT43" i="24"/>
  <c r="CJ43" i="24"/>
  <c r="CH43" i="24"/>
  <c r="BA43" i="24"/>
  <c r="AQ43" i="24"/>
  <c r="AA43" i="24"/>
  <c r="Z43" i="24"/>
  <c r="Y43" i="24"/>
  <c r="X43" i="24"/>
  <c r="W43" i="24"/>
  <c r="R43" i="24"/>
  <c r="M43" i="24"/>
  <c r="DZ42" i="24"/>
  <c r="DY42" i="24"/>
  <c r="DX42" i="24"/>
  <c r="DW42" i="24"/>
  <c r="CT42" i="24"/>
  <c r="CJ42" i="24"/>
  <c r="CH42" i="24"/>
  <c r="BA42" i="24"/>
  <c r="AQ42" i="24"/>
  <c r="AA42" i="24"/>
  <c r="Z42" i="24"/>
  <c r="Y42" i="24"/>
  <c r="X42" i="24"/>
  <c r="W42" i="24"/>
  <c r="R42" i="24"/>
  <c r="M42" i="24"/>
  <c r="DZ41" i="24"/>
  <c r="DY41" i="24"/>
  <c r="DX41" i="24"/>
  <c r="DW41" i="24"/>
  <c r="CT41" i="24"/>
  <c r="CJ41" i="24"/>
  <c r="CH41" i="24"/>
  <c r="BA41" i="24"/>
  <c r="AQ41" i="24"/>
  <c r="AA41" i="24"/>
  <c r="Z41" i="24"/>
  <c r="Y41" i="24"/>
  <c r="X41" i="24"/>
  <c r="W41" i="24"/>
  <c r="R41" i="24"/>
  <c r="M41" i="24"/>
  <c r="DZ40" i="24"/>
  <c r="DY40" i="24"/>
  <c r="DX40" i="24"/>
  <c r="DW40" i="24"/>
  <c r="CT40" i="24"/>
  <c r="CJ40" i="24"/>
  <c r="CH40" i="24"/>
  <c r="BA40" i="24"/>
  <c r="AQ40" i="24"/>
  <c r="AA40" i="24"/>
  <c r="Z40" i="24"/>
  <c r="Y40" i="24"/>
  <c r="X40" i="24"/>
  <c r="W40" i="24"/>
  <c r="R40" i="24"/>
  <c r="M40" i="24"/>
  <c r="DZ39" i="24"/>
  <c r="DY39" i="24"/>
  <c r="DX39" i="24"/>
  <c r="DW39" i="24"/>
  <c r="CT39" i="24"/>
  <c r="CJ39" i="24"/>
  <c r="CH39" i="24"/>
  <c r="BA39" i="24"/>
  <c r="AQ39" i="24"/>
  <c r="AA39" i="24"/>
  <c r="Z39" i="24"/>
  <c r="Y39" i="24"/>
  <c r="X39" i="24"/>
  <c r="W39" i="24"/>
  <c r="R39" i="24"/>
  <c r="M39" i="24"/>
  <c r="DZ38" i="24"/>
  <c r="DY38" i="24"/>
  <c r="DX38" i="24"/>
  <c r="DW38" i="24"/>
  <c r="CT38" i="24"/>
  <c r="CJ38" i="24"/>
  <c r="CH38" i="24"/>
  <c r="BA38" i="24"/>
  <c r="AQ38" i="24"/>
  <c r="AA38" i="24"/>
  <c r="Z38" i="24"/>
  <c r="Y38" i="24"/>
  <c r="X38" i="24"/>
  <c r="W38" i="24"/>
  <c r="R38" i="24"/>
  <c r="M38" i="24"/>
  <c r="DZ37" i="24"/>
  <c r="DY37" i="24"/>
  <c r="DX37" i="24"/>
  <c r="DW37" i="24"/>
  <c r="CJ37" i="24"/>
  <c r="CH37" i="24"/>
  <c r="BA37" i="24"/>
  <c r="AQ37" i="24"/>
  <c r="AA37" i="24"/>
  <c r="Z37" i="24"/>
  <c r="Y37" i="24"/>
  <c r="X37" i="24"/>
  <c r="W37" i="24"/>
  <c r="R37" i="24"/>
  <c r="M37" i="24"/>
  <c r="DZ36" i="24"/>
  <c r="DY36" i="24"/>
  <c r="DX36" i="24"/>
  <c r="DW36" i="24"/>
  <c r="CT36" i="24"/>
  <c r="CJ36" i="24"/>
  <c r="CH36" i="24"/>
  <c r="BA36" i="24"/>
  <c r="AQ36" i="24"/>
  <c r="AA36" i="24"/>
  <c r="Z36" i="24"/>
  <c r="Y36" i="24"/>
  <c r="X36" i="24"/>
  <c r="W36" i="24"/>
  <c r="R36" i="24"/>
  <c r="M36" i="24"/>
  <c r="DZ35" i="24"/>
  <c r="DY35" i="24"/>
  <c r="DX35" i="24"/>
  <c r="DW35" i="24"/>
  <c r="CT35" i="24"/>
  <c r="CJ35" i="24"/>
  <c r="CH35" i="24"/>
  <c r="BA35" i="24"/>
  <c r="AQ35" i="24"/>
  <c r="AA35" i="24"/>
  <c r="Z35" i="24"/>
  <c r="Y35" i="24"/>
  <c r="X35" i="24"/>
  <c r="W35" i="24"/>
  <c r="R35" i="24"/>
  <c r="M35" i="24"/>
  <c r="DZ34" i="24"/>
  <c r="DY34" i="24"/>
  <c r="DX34" i="24"/>
  <c r="DW34" i="24"/>
  <c r="CT34" i="24"/>
  <c r="CJ34" i="24"/>
  <c r="CH34" i="24"/>
  <c r="BA34" i="24"/>
  <c r="AQ34" i="24"/>
  <c r="AA34" i="24"/>
  <c r="Z34" i="24"/>
  <c r="Y34" i="24"/>
  <c r="X34" i="24"/>
  <c r="W34" i="24"/>
  <c r="R34" i="24"/>
  <c r="M34" i="24"/>
  <c r="DZ33" i="24"/>
  <c r="DY33" i="24"/>
  <c r="DX33" i="24"/>
  <c r="DW33" i="24"/>
  <c r="CT33" i="24"/>
  <c r="CJ33" i="24"/>
  <c r="CH33" i="24"/>
  <c r="BA33" i="24"/>
  <c r="AQ33" i="24"/>
  <c r="AA33" i="24"/>
  <c r="Z33" i="24"/>
  <c r="Y33" i="24"/>
  <c r="X33" i="24"/>
  <c r="W33" i="24"/>
  <c r="R33" i="24"/>
  <c r="M33" i="24"/>
  <c r="DZ32" i="24"/>
  <c r="DY32" i="24"/>
  <c r="DX32" i="24"/>
  <c r="DW32" i="24"/>
  <c r="CT32" i="24"/>
  <c r="CJ32" i="24"/>
  <c r="CH32" i="24"/>
  <c r="BA32" i="24"/>
  <c r="AQ32" i="24"/>
  <c r="AA32" i="24"/>
  <c r="Z32" i="24"/>
  <c r="Y32" i="24"/>
  <c r="X32" i="24"/>
  <c r="W32" i="24"/>
  <c r="R32" i="24"/>
  <c r="M32" i="24"/>
  <c r="DZ31" i="24"/>
  <c r="DY31" i="24"/>
  <c r="DX31" i="24"/>
  <c r="DW31" i="24"/>
  <c r="CT31" i="24"/>
  <c r="CT93" i="24" s="1"/>
  <c r="CJ31" i="24"/>
  <c r="CJ93" i="24" s="1"/>
  <c r="CH31" i="24"/>
  <c r="CH93" i="24" s="1"/>
  <c r="BA31" i="24"/>
  <c r="BA93" i="24" s="1"/>
  <c r="AQ31" i="24"/>
  <c r="AQ93" i="24" s="1"/>
  <c r="AA31" i="24"/>
  <c r="AA93" i="24" s="1"/>
  <c r="Z31" i="24"/>
  <c r="Z93" i="24" s="1"/>
  <c r="Y31" i="24"/>
  <c r="Y93" i="24" s="1"/>
  <c r="X31" i="24"/>
  <c r="X93" i="24" s="1"/>
  <c r="W31" i="24"/>
  <c r="W93" i="24" s="1"/>
  <c r="R31" i="24"/>
  <c r="R93" i="24" s="1"/>
  <c r="M31" i="24"/>
  <c r="M93" i="24" s="1"/>
  <c r="DZ30" i="24"/>
  <c r="DY30" i="24"/>
  <c r="DX30" i="24"/>
  <c r="DW30" i="24"/>
  <c r="CT30" i="24"/>
  <c r="CJ30" i="24"/>
  <c r="CH30" i="24"/>
  <c r="BA30" i="24"/>
  <c r="AQ30" i="24"/>
  <c r="AA30" i="24"/>
  <c r="Z30" i="24"/>
  <c r="Y30" i="24"/>
  <c r="X30" i="24"/>
  <c r="W30" i="24"/>
  <c r="R30" i="24"/>
  <c r="M30" i="24"/>
  <c r="DZ29" i="24"/>
  <c r="DY29" i="24"/>
  <c r="DX29" i="24"/>
  <c r="DW29" i="24"/>
  <c r="CT29" i="24"/>
  <c r="CJ29" i="24"/>
  <c r="CH29" i="24"/>
  <c r="BA29" i="24"/>
  <c r="AQ29" i="24"/>
  <c r="AA29" i="24"/>
  <c r="Z29" i="24"/>
  <c r="Y29" i="24"/>
  <c r="X29" i="24"/>
  <c r="W29" i="24"/>
  <c r="R29" i="24"/>
  <c r="M29" i="24"/>
  <c r="DZ28" i="24"/>
  <c r="DY28" i="24"/>
  <c r="DX28" i="24"/>
  <c r="DW28" i="24"/>
  <c r="CT28" i="24"/>
  <c r="CJ28" i="24"/>
  <c r="CH28" i="24"/>
  <c r="BA28" i="24"/>
  <c r="AQ28" i="24"/>
  <c r="AA28" i="24"/>
  <c r="Z28" i="24"/>
  <c r="Y28" i="24"/>
  <c r="X28" i="24"/>
  <c r="W28" i="24"/>
  <c r="R28" i="24"/>
  <c r="M28" i="24"/>
  <c r="DZ27" i="24"/>
  <c r="DY27" i="24"/>
  <c r="DX27" i="24"/>
  <c r="DW27" i="24"/>
  <c r="CT27" i="24"/>
  <c r="CJ27" i="24"/>
  <c r="CH27" i="24"/>
  <c r="BA27" i="24"/>
  <c r="AQ27" i="24"/>
  <c r="AA27" i="24"/>
  <c r="Z27" i="24"/>
  <c r="Y27" i="24"/>
  <c r="X27" i="24"/>
  <c r="W27" i="24"/>
  <c r="R27" i="24"/>
  <c r="M27" i="24"/>
  <c r="DZ26" i="24"/>
  <c r="DY26" i="24"/>
  <c r="DX26" i="24"/>
  <c r="DW26" i="24"/>
  <c r="CT26" i="24"/>
  <c r="CJ26" i="24"/>
  <c r="CH26" i="24"/>
  <c r="BA26" i="24"/>
  <c r="AQ26" i="24"/>
  <c r="AA26" i="24"/>
  <c r="Z26" i="24"/>
  <c r="Y26" i="24"/>
  <c r="X26" i="24"/>
  <c r="W26" i="24"/>
  <c r="R26" i="24"/>
  <c r="M26" i="24"/>
  <c r="DZ25" i="24"/>
  <c r="DY25" i="24"/>
  <c r="DX25" i="24"/>
  <c r="DW25" i="24"/>
  <c r="CT25" i="24"/>
  <c r="CJ25" i="24"/>
  <c r="CH25" i="24"/>
  <c r="BA25" i="24"/>
  <c r="AQ25" i="24"/>
  <c r="AA25" i="24"/>
  <c r="Z25" i="24"/>
  <c r="Y25" i="24"/>
  <c r="X25" i="24"/>
  <c r="W25" i="24"/>
  <c r="R25" i="24"/>
  <c r="M25" i="24"/>
  <c r="DZ24" i="24"/>
  <c r="DY24" i="24"/>
  <c r="DX24" i="24"/>
  <c r="DW24" i="24"/>
  <c r="CT24" i="24"/>
  <c r="CJ24" i="24"/>
  <c r="CH24" i="24"/>
  <c r="BA24" i="24"/>
  <c r="AQ24" i="24"/>
  <c r="AA24" i="24"/>
  <c r="Z24" i="24"/>
  <c r="Y24" i="24"/>
  <c r="X24" i="24"/>
  <c r="W24" i="24"/>
  <c r="R24" i="24"/>
  <c r="M24" i="24"/>
  <c r="DZ23" i="24"/>
  <c r="DY23" i="24"/>
  <c r="DX23" i="24"/>
  <c r="DW23" i="24"/>
  <c r="CT23" i="24"/>
  <c r="CJ23" i="24"/>
  <c r="CH23" i="24"/>
  <c r="BA23" i="24"/>
  <c r="AQ23" i="24"/>
  <c r="AA23" i="24"/>
  <c r="Z23" i="24"/>
  <c r="Y23" i="24"/>
  <c r="X23" i="24"/>
  <c r="W23" i="24"/>
  <c r="R23" i="24"/>
  <c r="M23" i="24"/>
  <c r="DZ22" i="24"/>
  <c r="DY22" i="24"/>
  <c r="DX22" i="24"/>
  <c r="DW22" i="24"/>
  <c r="CT22" i="24"/>
  <c r="CJ22" i="24"/>
  <c r="CH22" i="24"/>
  <c r="BA22" i="24"/>
  <c r="AQ22" i="24"/>
  <c r="AA22" i="24"/>
  <c r="Z22" i="24"/>
  <c r="Y22" i="24"/>
  <c r="X22" i="24"/>
  <c r="W22" i="24"/>
  <c r="R22" i="24"/>
  <c r="M22" i="24"/>
  <c r="DZ21" i="24"/>
  <c r="DY21" i="24"/>
  <c r="DX21" i="24"/>
  <c r="DW21" i="24"/>
  <c r="CT21" i="24"/>
  <c r="CJ21" i="24"/>
  <c r="CH21" i="24"/>
  <c r="BA21" i="24"/>
  <c r="AQ21" i="24"/>
  <c r="AA21" i="24"/>
  <c r="Z21" i="24"/>
  <c r="Y21" i="24"/>
  <c r="X21" i="24"/>
  <c r="W21" i="24"/>
  <c r="R21" i="24"/>
  <c r="M21" i="24"/>
  <c r="DZ20" i="24"/>
  <c r="DY20" i="24"/>
  <c r="DX20" i="24"/>
  <c r="DW20" i="24"/>
  <c r="CT20" i="24"/>
  <c r="CJ20" i="24"/>
  <c r="CH20" i="24"/>
  <c r="BA20" i="24"/>
  <c r="AQ20" i="24"/>
  <c r="AA20" i="24"/>
  <c r="Z20" i="24"/>
  <c r="Y20" i="24"/>
  <c r="X20" i="24"/>
  <c r="W20" i="24"/>
  <c r="R20" i="24"/>
  <c r="M20" i="24"/>
  <c r="DZ19" i="24"/>
  <c r="DY19" i="24"/>
  <c r="DX19" i="24"/>
  <c r="DW19" i="24"/>
  <c r="CT19" i="24"/>
  <c r="CJ19" i="24"/>
  <c r="CH19" i="24"/>
  <c r="BA19" i="24"/>
  <c r="AQ19" i="24"/>
  <c r="AA19" i="24"/>
  <c r="Z19" i="24"/>
  <c r="Y19" i="24"/>
  <c r="X19" i="24"/>
  <c r="W19" i="24"/>
  <c r="R19" i="24"/>
  <c r="M19" i="24"/>
  <c r="DZ18" i="24"/>
  <c r="DY18" i="24"/>
  <c r="DX18" i="24"/>
  <c r="DW18" i="24"/>
  <c r="CT18" i="24"/>
  <c r="CJ18" i="24"/>
  <c r="CH18" i="24"/>
  <c r="BA18" i="24"/>
  <c r="AQ18" i="24"/>
  <c r="AA18" i="24"/>
  <c r="Z18" i="24"/>
  <c r="Y18" i="24"/>
  <c r="X18" i="24"/>
  <c r="W18" i="24"/>
  <c r="R18" i="24"/>
  <c r="M18" i="24"/>
  <c r="DZ17" i="24"/>
  <c r="DY17" i="24"/>
  <c r="DX17" i="24"/>
  <c r="DW17" i="24"/>
  <c r="CT17" i="24"/>
  <c r="CJ17" i="24"/>
  <c r="CH17" i="24"/>
  <c r="BA17" i="24"/>
  <c r="AQ17" i="24"/>
  <c r="AA17" i="24"/>
  <c r="Z17" i="24"/>
  <c r="Y17" i="24"/>
  <c r="X17" i="24"/>
  <c r="W17" i="24"/>
  <c r="R17" i="24"/>
  <c r="M17" i="24"/>
  <c r="DZ16" i="24"/>
  <c r="DY16" i="24"/>
  <c r="DX16" i="24"/>
  <c r="DW16" i="24"/>
  <c r="CT16" i="24"/>
  <c r="CJ16" i="24"/>
  <c r="CH16" i="24"/>
  <c r="BA16" i="24"/>
  <c r="AQ16" i="24"/>
  <c r="AA16" i="24"/>
  <c r="Z16" i="24"/>
  <c r="Y16" i="24"/>
  <c r="X16" i="24"/>
  <c r="W16" i="24"/>
  <c r="R16" i="24"/>
  <c r="M16" i="24"/>
  <c r="DZ15" i="24"/>
  <c r="DY15" i="24"/>
  <c r="DX15" i="24"/>
  <c r="DW15" i="24"/>
  <c r="CT15" i="24"/>
  <c r="CJ15" i="24"/>
  <c r="CH15" i="24"/>
  <c r="BA15" i="24"/>
  <c r="AQ15" i="24"/>
  <c r="AA15" i="24"/>
  <c r="Z15" i="24"/>
  <c r="Y15" i="24"/>
  <c r="X15" i="24"/>
  <c r="W15" i="24"/>
  <c r="R15" i="24"/>
  <c r="M15" i="24"/>
  <c r="DZ14" i="24"/>
  <c r="DY14" i="24"/>
  <c r="DX14" i="24"/>
  <c r="DW14" i="24"/>
  <c r="CT14" i="24"/>
  <c r="CJ14" i="24"/>
  <c r="CH14" i="24"/>
  <c r="BA14" i="24"/>
  <c r="AQ14" i="24"/>
  <c r="AA14" i="24"/>
  <c r="Z14" i="24"/>
  <c r="Y14" i="24"/>
  <c r="X14" i="24"/>
  <c r="W14" i="24"/>
  <c r="R14" i="24"/>
  <c r="M14" i="24"/>
  <c r="DZ13" i="24"/>
  <c r="DY13" i="24"/>
  <c r="DX13" i="24"/>
  <c r="DW13" i="24"/>
  <c r="CT13" i="24"/>
  <c r="CJ13" i="24"/>
  <c r="CH13" i="24"/>
  <c r="BA13" i="24"/>
  <c r="AQ13" i="24"/>
  <c r="AA13" i="24"/>
  <c r="Z13" i="24"/>
  <c r="Y13" i="24"/>
  <c r="X13" i="24"/>
  <c r="W13" i="24"/>
  <c r="R13" i="24"/>
  <c r="M13" i="24"/>
  <c r="DZ12" i="24"/>
  <c r="DY12" i="24"/>
  <c r="DX12" i="24"/>
  <c r="DW12" i="24"/>
  <c r="CT12" i="24"/>
  <c r="CJ12" i="24"/>
  <c r="CH12" i="24"/>
  <c r="BA12" i="24"/>
  <c r="AQ12" i="24"/>
  <c r="AA12" i="24"/>
  <c r="Z12" i="24"/>
  <c r="Y12" i="24"/>
  <c r="X12" i="24"/>
  <c r="W12" i="24"/>
  <c r="R12" i="24"/>
  <c r="M12" i="24"/>
  <c r="DZ11" i="24"/>
  <c r="DY11" i="24"/>
  <c r="DX11" i="24"/>
  <c r="DW11" i="24"/>
  <c r="CT11" i="24"/>
  <c r="CJ11" i="24"/>
  <c r="CH11" i="24"/>
  <c r="BU100" i="24"/>
  <c r="BA11" i="24"/>
  <c r="AQ11" i="24"/>
  <c r="AA11" i="24"/>
  <c r="Z11" i="24"/>
  <c r="Y11" i="24"/>
  <c r="X11" i="24"/>
  <c r="W11" i="24"/>
  <c r="R11" i="24"/>
  <c r="M11" i="24"/>
  <c r="DZ10" i="24"/>
  <c r="DY10" i="24"/>
  <c r="DX10" i="24"/>
  <c r="DW10" i="24"/>
  <c r="CT10" i="24"/>
  <c r="CJ10" i="24"/>
  <c r="CH10" i="24"/>
  <c r="BA10" i="24"/>
  <c r="AQ10" i="24"/>
  <c r="AA10" i="24"/>
  <c r="Z10" i="24"/>
  <c r="Y10" i="24"/>
  <c r="X10" i="24"/>
  <c r="W10" i="24"/>
  <c r="R10" i="24"/>
  <c r="M10" i="24"/>
  <c r="DZ9" i="24"/>
  <c r="DY9" i="24"/>
  <c r="DX9" i="24"/>
  <c r="DW9" i="24"/>
  <c r="CT9" i="24"/>
  <c r="CJ9" i="24"/>
  <c r="CH9" i="24"/>
  <c r="BA9" i="24"/>
  <c r="AQ9" i="24"/>
  <c r="AA9" i="24"/>
  <c r="Z9" i="24"/>
  <c r="Y9" i="24"/>
  <c r="X9" i="24"/>
  <c r="W9" i="24"/>
  <c r="R9" i="24"/>
  <c r="M9" i="24"/>
  <c r="DZ8" i="24"/>
  <c r="DY8" i="24"/>
  <c r="DX8" i="24"/>
  <c r="DW8" i="24"/>
  <c r="CT8" i="24"/>
  <c r="CJ8" i="24"/>
  <c r="CH8" i="24"/>
  <c r="BA8" i="24"/>
  <c r="AQ8" i="24"/>
  <c r="AA8" i="24"/>
  <c r="Z8" i="24"/>
  <c r="Y8" i="24"/>
  <c r="X8" i="24"/>
  <c r="W8" i="24"/>
  <c r="R8" i="24"/>
  <c r="M8" i="24"/>
  <c r="DZ7" i="24"/>
  <c r="DY7" i="24"/>
  <c r="DX7" i="24"/>
  <c r="DW7" i="24"/>
  <c r="CT7" i="24"/>
  <c r="CJ7" i="24"/>
  <c r="CH7" i="24"/>
  <c r="BA7" i="24"/>
  <c r="AQ7" i="24"/>
  <c r="AA7" i="24"/>
  <c r="Z7" i="24"/>
  <c r="Y7" i="24"/>
  <c r="X7" i="24"/>
  <c r="W7" i="24"/>
  <c r="R7" i="24"/>
  <c r="M7" i="24"/>
  <c r="DZ6" i="24"/>
  <c r="DY6" i="24"/>
  <c r="DX6" i="24"/>
  <c r="DW6" i="24"/>
  <c r="CT6" i="24"/>
  <c r="CJ6" i="24"/>
  <c r="CH6" i="24"/>
  <c r="BA6" i="24"/>
  <c r="AQ6" i="24"/>
  <c r="AA6" i="24"/>
  <c r="Z6" i="24"/>
  <c r="Y6" i="24"/>
  <c r="X6" i="24"/>
  <c r="W6" i="24"/>
  <c r="R6" i="24"/>
  <c r="M6" i="24"/>
  <c r="DZ5" i="24"/>
  <c r="DY5" i="24"/>
  <c r="DX5" i="24"/>
  <c r="DW5" i="24"/>
  <c r="CT5" i="24"/>
  <c r="CJ5" i="24"/>
  <c r="CH5" i="24"/>
  <c r="BA5" i="24"/>
  <c r="AQ5" i="24"/>
  <c r="AA5" i="24"/>
  <c r="Z5" i="24"/>
  <c r="Y5" i="24"/>
  <c r="X5" i="24"/>
  <c r="W5" i="24"/>
  <c r="R5" i="24"/>
  <c r="M5" i="24"/>
  <c r="DZ4" i="24"/>
  <c r="DY4" i="24"/>
  <c r="DX4" i="24"/>
  <c r="DW4" i="24"/>
  <c r="CT4" i="24"/>
  <c r="CJ4" i="24"/>
  <c r="CH4" i="24"/>
  <c r="BA4" i="24"/>
  <c r="BA97" i="24" s="1"/>
  <c r="AQ4" i="24"/>
  <c r="AA4" i="24"/>
  <c r="Z4" i="24"/>
  <c r="Y4" i="24"/>
  <c r="X4" i="24"/>
  <c r="W4" i="24"/>
  <c r="R4" i="24"/>
  <c r="M4" i="24"/>
  <c r="M97" i="24" s="1"/>
  <c r="DZ3" i="24"/>
  <c r="DY3" i="24"/>
  <c r="DX3" i="24"/>
  <c r="DW3" i="24"/>
  <c r="CT3" i="24"/>
  <c r="CJ3" i="24"/>
  <c r="CH3" i="24"/>
  <c r="BU98" i="24"/>
  <c r="BA3" i="24"/>
  <c r="AQ3" i="24"/>
  <c r="AA3" i="24"/>
  <c r="Z3" i="24"/>
  <c r="Y3" i="24"/>
  <c r="X3" i="24"/>
  <c r="W3" i="24"/>
  <c r="R3" i="24"/>
  <c r="M3" i="24"/>
  <c r="DZ2" i="24"/>
  <c r="DY2" i="24"/>
  <c r="DX2" i="24"/>
  <c r="DW2" i="24"/>
  <c r="CT2" i="24"/>
  <c r="CP2" i="24"/>
  <c r="CJ2" i="24"/>
  <c r="CH2" i="24"/>
  <c r="BU99" i="24"/>
  <c r="BA2" i="24"/>
  <c r="AQ2" i="24"/>
  <c r="AA2" i="24"/>
  <c r="Z2" i="24"/>
  <c r="Y2" i="24"/>
  <c r="X2" i="24"/>
  <c r="W2" i="24"/>
  <c r="R2" i="24"/>
  <c r="M2" i="24"/>
  <c r="AQ120" i="24" l="1"/>
  <c r="AQ116" i="24"/>
  <c r="AQ119" i="24"/>
  <c r="AQ107" i="24"/>
  <c r="AQ118" i="24"/>
  <c r="AQ87" i="24"/>
  <c r="AQ117" i="24"/>
  <c r="AQ105" i="24"/>
  <c r="DX87" i="24"/>
  <c r="DX120" i="24"/>
  <c r="DX116" i="24"/>
  <c r="DX119" i="24"/>
  <c r="DX107" i="24"/>
  <c r="DX118" i="24"/>
  <c r="DX117" i="24"/>
  <c r="DX105" i="24"/>
  <c r="CP118" i="24"/>
  <c r="CP105" i="24"/>
  <c r="CP87" i="24"/>
  <c r="CP117" i="24"/>
  <c r="CP120" i="24"/>
  <c r="CP116" i="24"/>
  <c r="CP107" i="24"/>
  <c r="CP119" i="24"/>
  <c r="CT118" i="24"/>
  <c r="CT105" i="24"/>
  <c r="CT87" i="24"/>
  <c r="CT117" i="24"/>
  <c r="CT120" i="24"/>
  <c r="CT116" i="24"/>
  <c r="CT107" i="24"/>
  <c r="CT119" i="24"/>
  <c r="R94" i="24"/>
  <c r="Y118" i="24"/>
  <c r="Y87" i="24"/>
  <c r="Y117" i="24"/>
  <c r="Y105" i="24"/>
  <c r="Y107" i="24"/>
  <c r="Y120" i="24"/>
  <c r="Y116" i="24"/>
  <c r="Y119" i="24"/>
  <c r="R87" i="24"/>
  <c r="R117" i="24"/>
  <c r="R105" i="24"/>
  <c r="R107" i="24"/>
  <c r="R120" i="24"/>
  <c r="R116" i="24"/>
  <c r="R119" i="24"/>
  <c r="R118" i="24"/>
  <c r="Z87" i="24"/>
  <c r="Z117" i="24"/>
  <c r="Z105" i="24"/>
  <c r="Z107" i="24"/>
  <c r="Z120" i="24"/>
  <c r="Z116" i="24"/>
  <c r="Z119" i="24"/>
  <c r="Z118" i="24"/>
  <c r="W107" i="24"/>
  <c r="W120" i="24"/>
  <c r="W116" i="24"/>
  <c r="W119" i="24"/>
  <c r="W118" i="24"/>
  <c r="W87" i="24"/>
  <c r="W117" i="24"/>
  <c r="W105" i="24"/>
  <c r="AA107" i="24"/>
  <c r="AA120" i="24"/>
  <c r="AA116" i="24"/>
  <c r="AA119" i="24"/>
  <c r="AA118" i="24"/>
  <c r="AA87" i="24"/>
  <c r="AA117" i="24"/>
  <c r="AA105" i="24"/>
  <c r="DW117" i="24"/>
  <c r="DW105" i="24"/>
  <c r="DW87" i="24"/>
  <c r="DW120" i="24"/>
  <c r="DW116" i="24"/>
  <c r="DW119" i="24"/>
  <c r="DW107" i="24"/>
  <c r="DW118" i="24"/>
  <c r="X119" i="24"/>
  <c r="X118" i="24"/>
  <c r="X87" i="24"/>
  <c r="X117" i="24"/>
  <c r="X105" i="24"/>
  <c r="X107" i="24"/>
  <c r="X120" i="24"/>
  <c r="X116" i="24"/>
  <c r="CJ120" i="24"/>
  <c r="CJ116" i="24"/>
  <c r="CJ119" i="24"/>
  <c r="CJ107" i="24"/>
  <c r="CJ118" i="24"/>
  <c r="CJ105" i="24"/>
  <c r="CJ87" i="24"/>
  <c r="CJ117" i="24"/>
  <c r="M118" i="24"/>
  <c r="M87" i="24"/>
  <c r="M117" i="24"/>
  <c r="M105" i="24"/>
  <c r="M107" i="24"/>
  <c r="M120" i="24"/>
  <c r="M116" i="24"/>
  <c r="M119" i="24"/>
  <c r="BA107" i="24"/>
  <c r="BA118" i="24"/>
  <c r="BA87" i="24"/>
  <c r="BA117" i="24"/>
  <c r="BA105" i="24"/>
  <c r="BA120" i="24"/>
  <c r="BA116" i="24"/>
  <c r="BA119" i="24"/>
  <c r="CH99" i="24"/>
  <c r="CH87" i="24"/>
  <c r="CH107" i="24"/>
  <c r="CH105" i="24"/>
  <c r="CH116" i="24"/>
  <c r="CH118" i="24"/>
  <c r="CH119" i="24"/>
  <c r="CH120" i="24"/>
  <c r="CH97" i="24"/>
  <c r="CH117" i="24"/>
  <c r="CH94" i="24"/>
  <c r="DZ107" i="24"/>
  <c r="DZ87" i="24"/>
  <c r="DY116" i="24"/>
  <c r="DY105" i="24"/>
  <c r="DY117" i="24"/>
  <c r="DY118" i="24"/>
  <c r="DZ116" i="24"/>
  <c r="DZ105" i="24"/>
  <c r="DZ117" i="24"/>
  <c r="DZ118" i="24"/>
  <c r="DY119" i="24"/>
  <c r="DY120" i="24"/>
  <c r="DZ119" i="24"/>
  <c r="DZ120" i="24"/>
  <c r="DY87" i="24"/>
  <c r="DY107" i="24"/>
  <c r="CT99" i="24"/>
  <c r="CT100" i="24"/>
  <c r="CJ94" i="24"/>
  <c r="CJ96" i="24"/>
  <c r="CJ100" i="24"/>
  <c r="CJ97" i="24"/>
  <c r="BA95" i="24"/>
  <c r="AQ100" i="24"/>
  <c r="AQ95" i="24"/>
  <c r="AQ99" i="24"/>
  <c r="W98" i="24"/>
  <c r="W100" i="24"/>
  <c r="AA94" i="24"/>
  <c r="W95" i="24"/>
  <c r="Y98" i="24"/>
  <c r="Y96" i="24"/>
  <c r="Y95" i="24"/>
  <c r="X100" i="24"/>
  <c r="X98" i="24"/>
  <c r="Y100" i="24"/>
  <c r="Z98" i="24"/>
  <c r="AA98" i="24"/>
  <c r="Z96" i="24"/>
  <c r="AA96" i="24"/>
  <c r="W94" i="24"/>
  <c r="AA95" i="24"/>
  <c r="AA97" i="24"/>
  <c r="X96" i="24"/>
  <c r="W99" i="24"/>
  <c r="AA100" i="24"/>
  <c r="W96" i="24"/>
  <c r="Z100" i="24"/>
  <c r="AA99" i="24"/>
  <c r="Z97" i="24"/>
  <c r="Z94" i="24"/>
  <c r="Z99" i="24"/>
  <c r="R96" i="24"/>
  <c r="R95" i="24"/>
  <c r="Y99" i="24"/>
  <c r="Y97" i="24"/>
  <c r="Y94" i="24"/>
  <c r="X94" i="24"/>
  <c r="X99" i="24"/>
  <c r="X97" i="24"/>
  <c r="M95" i="24"/>
  <c r="M99" i="24"/>
  <c r="BA99" i="24"/>
  <c r="R99" i="24"/>
  <c r="BO99" i="24"/>
  <c r="AQ97" i="24"/>
  <c r="CT97" i="24"/>
  <c r="AQ94" i="24"/>
  <c r="CT94" i="24"/>
  <c r="M94" i="24"/>
  <c r="BA94" i="24"/>
  <c r="CH100" i="24"/>
  <c r="R97" i="24"/>
  <c r="CT98" i="24"/>
  <c r="CH98" i="24"/>
  <c r="CJ98" i="24"/>
  <c r="CH96" i="24"/>
  <c r="AQ98" i="24"/>
  <c r="M98" i="24"/>
  <c r="M100" i="24"/>
  <c r="BA100" i="24"/>
  <c r="AQ96" i="24"/>
  <c r="CT96" i="24"/>
  <c r="W97" i="24"/>
  <c r="CJ99" i="24"/>
  <c r="BA98" i="24"/>
  <c r="CP99" i="24"/>
  <c r="R98" i="24"/>
  <c r="BO98" i="24"/>
  <c r="R100" i="24"/>
  <c r="BO100" i="24"/>
  <c r="M96" i="24"/>
  <c r="BA96" i="24"/>
  <c r="F44" i="25"/>
  <c r="F45" i="25"/>
  <c r="C26" i="25"/>
  <c r="F29" i="25"/>
  <c r="C25" i="25"/>
  <c r="C28" i="25"/>
  <c r="C27" i="25"/>
  <c r="C24" i="25"/>
  <c r="F31" i="25"/>
  <c r="F30" i="25"/>
  <c r="F14" i="25"/>
  <c r="F28" i="25"/>
  <c r="F33" i="25"/>
  <c r="F34" i="25"/>
  <c r="F35" i="25"/>
  <c r="DW94" i="24"/>
  <c r="DX97" i="24"/>
  <c r="DW95" i="24"/>
  <c r="DX94" i="24"/>
  <c r="DW96" i="24"/>
  <c r="DW99" i="24"/>
  <c r="DW93" i="24"/>
  <c r="DX99" i="24"/>
  <c r="DY95" i="24"/>
  <c r="DZ94" i="24"/>
  <c r="DY96" i="24"/>
  <c r="DX98" i="24"/>
  <c r="DZ95" i="24"/>
  <c r="DZ96" i="24"/>
  <c r="DY98" i="24"/>
  <c r="DY99" i="24"/>
  <c r="DZ99" i="24"/>
  <c r="DX93" i="24"/>
  <c r="DZ98" i="24"/>
  <c r="DY93" i="24"/>
  <c r="DW97" i="24"/>
  <c r="DZ93" i="24"/>
  <c r="C45" i="25"/>
  <c r="DY97" i="24"/>
  <c r="C23" i="25"/>
  <c r="DZ97" i="24"/>
  <c r="DX95" i="24"/>
  <c r="DY94" i="24"/>
  <c r="DX96" i="24"/>
  <c r="DW98" i="24"/>
  <c r="DZ100" i="24"/>
  <c r="DY100" i="24"/>
  <c r="DX100" i="24"/>
  <c r="DW100" i="24"/>
  <c r="DW121" i="24" l="1"/>
  <c r="DX121" i="24"/>
  <c r="DY121" i="24"/>
  <c r="DZ121" i="24"/>
  <c r="DX106" i="24"/>
  <c r="DY106" i="24"/>
  <c r="DZ106" i="24"/>
  <c r="DL121" i="24"/>
  <c r="DE121" i="24"/>
  <c r="DG121" i="24"/>
  <c r="DH121" i="24"/>
  <c r="DI121" i="24"/>
  <c r="DJ121" i="24"/>
  <c r="DK121" i="24"/>
  <c r="CZ121" i="24"/>
  <c r="DA121" i="24"/>
  <c r="DD121" i="24"/>
  <c r="CW121" i="24"/>
  <c r="CQ121" i="24"/>
  <c r="CR121" i="24"/>
  <c r="CS121" i="24"/>
  <c r="CU121" i="24"/>
  <c r="CV121" i="24"/>
  <c r="CK121" i="24"/>
  <c r="CO121" i="24"/>
  <c r="CB121" i="24"/>
  <c r="CC121" i="24"/>
  <c r="CD121" i="24"/>
  <c r="CE121" i="24"/>
  <c r="CF121" i="24"/>
  <c r="CG121" i="24"/>
  <c r="BZ121" i="24"/>
  <c r="CA121" i="24"/>
  <c r="BP121" i="24"/>
  <c r="BQ121" i="24"/>
  <c r="BR121" i="24"/>
  <c r="BS121" i="24"/>
  <c r="BT121" i="24"/>
  <c r="BM121" i="24"/>
  <c r="BN121" i="24"/>
  <c r="BD121" i="24"/>
  <c r="BE121" i="24"/>
  <c r="BF121" i="24"/>
  <c r="BG121" i="24"/>
  <c r="BH121" i="24"/>
  <c r="BI121" i="24"/>
  <c r="BJ121" i="24"/>
  <c r="BK121" i="24"/>
  <c r="AZ121" i="24"/>
  <c r="BB121" i="24"/>
  <c r="AT121" i="24"/>
  <c r="AU121" i="24"/>
  <c r="AV121" i="24"/>
  <c r="AW121" i="24"/>
  <c r="AX121" i="24"/>
  <c r="AY121" i="24"/>
  <c r="AM121" i="24"/>
  <c r="AN121" i="24"/>
  <c r="AO121" i="24"/>
  <c r="AP121" i="24"/>
  <c r="AR121" i="24"/>
  <c r="AS121" i="24"/>
  <c r="AH121" i="24"/>
  <c r="AI121" i="24"/>
  <c r="AK121" i="24"/>
  <c r="AL121" i="24"/>
  <c r="AB121" i="24"/>
  <c r="AC121" i="24"/>
  <c r="AD121" i="24"/>
  <c r="AE121" i="24"/>
  <c r="AF121" i="24"/>
  <c r="AG121" i="24"/>
  <c r="U121" i="24"/>
  <c r="V121" i="24"/>
  <c r="Q121" i="24"/>
  <c r="S121" i="24"/>
  <c r="T121" i="24"/>
  <c r="K121" i="24"/>
  <c r="L121" i="24"/>
  <c r="N121" i="24"/>
  <c r="O121" i="24"/>
  <c r="P121" i="24"/>
  <c r="J121" i="24"/>
  <c r="G121" i="24"/>
  <c r="F121" i="24"/>
  <c r="E121" i="24"/>
  <c r="D121" i="24"/>
  <c r="C121" i="24"/>
  <c r="DF106" i="24"/>
  <c r="DW106" i="24" l="1"/>
  <c r="CY106" i="24"/>
  <c r="CL106" i="24"/>
  <c r="CN106" i="24"/>
  <c r="DB106" i="24"/>
  <c r="CX106" i="24"/>
  <c r="CM106" i="24"/>
  <c r="DC106" i="24"/>
  <c r="AB101" i="24" l="1"/>
  <c r="DK106" i="24"/>
  <c r="DI106" i="24"/>
  <c r="DG106" i="24"/>
  <c r="CZ106" i="24"/>
  <c r="CV106" i="24"/>
  <c r="CS106" i="24"/>
  <c r="CQ106" i="24"/>
  <c r="CK106" i="24"/>
  <c r="CG106" i="24"/>
  <c r="CE106" i="24"/>
  <c r="CC106" i="24"/>
  <c r="CA106" i="24"/>
  <c r="BT106" i="24"/>
  <c r="BR106" i="24"/>
  <c r="BP106" i="24"/>
  <c r="BK106" i="24"/>
  <c r="BJ106" i="24"/>
  <c r="BH106" i="24"/>
  <c r="BF106" i="24"/>
  <c r="BD106" i="24"/>
  <c r="AX106" i="24"/>
  <c r="AV106" i="24"/>
  <c r="AU106" i="24"/>
  <c r="AS106" i="24"/>
  <c r="AP106" i="24"/>
  <c r="AN106" i="24"/>
  <c r="AI106" i="24"/>
  <c r="AG106" i="24"/>
  <c r="AE106" i="24"/>
  <c r="AC106" i="24"/>
  <c r="V106" i="24"/>
  <c r="T106" i="24"/>
  <c r="Q106" i="24"/>
  <c r="O106" i="24"/>
  <c r="L106" i="24"/>
  <c r="J106" i="24"/>
  <c r="F106" i="24"/>
  <c r="D106" i="24"/>
  <c r="DL106" i="24"/>
  <c r="DJ106" i="24"/>
  <c r="DH106" i="24"/>
  <c r="DE106" i="24"/>
  <c r="DD106" i="24"/>
  <c r="DA106" i="24"/>
  <c r="CW106" i="24"/>
  <c r="CU106" i="24"/>
  <c r="CR106" i="24"/>
  <c r="CO106" i="24"/>
  <c r="CF106" i="24"/>
  <c r="CD106" i="24"/>
  <c r="CB106" i="24"/>
  <c r="BZ106" i="24"/>
  <c r="BS106" i="24"/>
  <c r="BQ106" i="24"/>
  <c r="BN106" i="24"/>
  <c r="BM106" i="24"/>
  <c r="BI106" i="24"/>
  <c r="BG106" i="24"/>
  <c r="BE106" i="24"/>
  <c r="BB106" i="24"/>
  <c r="AZ106" i="24"/>
  <c r="AY106" i="24"/>
  <c r="AW106" i="24"/>
  <c r="AT106" i="24"/>
  <c r="AR106" i="24"/>
  <c r="AO106" i="24"/>
  <c r="AM106" i="24"/>
  <c r="AL106" i="24"/>
  <c r="AK106" i="24"/>
  <c r="AH106" i="24"/>
  <c r="AF106" i="24"/>
  <c r="AD106" i="24"/>
  <c r="AB106" i="24"/>
  <c r="U106" i="24"/>
  <c r="S106" i="24"/>
  <c r="P106" i="24"/>
  <c r="N106" i="24"/>
  <c r="K106" i="24"/>
  <c r="G106" i="24"/>
  <c r="E106" i="24"/>
  <c r="C106" i="24"/>
  <c r="BV121" i="24"/>
  <c r="H121" i="24"/>
  <c r="BY121" i="24"/>
  <c r="BO121" i="24"/>
  <c r="CH121" i="24"/>
  <c r="CJ121" i="24"/>
  <c r="CP121" i="24"/>
  <c r="X121" i="24"/>
  <c r="Y121" i="24"/>
  <c r="Z121" i="24"/>
  <c r="AA121" i="24"/>
  <c r="M121" i="24"/>
  <c r="R121" i="24"/>
  <c r="W121" i="24"/>
  <c r="AJ121" i="24"/>
  <c r="AQ121" i="24"/>
  <c r="BA121" i="24"/>
  <c r="BL121" i="24"/>
  <c r="BU121" i="24"/>
  <c r="CT121" i="24"/>
  <c r="BO106" i="24"/>
  <c r="CH106" i="24"/>
  <c r="AA106" i="24" l="1"/>
  <c r="BY106" i="24"/>
  <c r="H106" i="24"/>
  <c r="BW106" i="24"/>
  <c r="AJ106" i="24"/>
  <c r="BX106" i="24"/>
  <c r="BL106" i="24"/>
  <c r="M106" i="24"/>
  <c r="Z106" i="24"/>
  <c r="I106" i="24"/>
  <c r="BU106" i="24"/>
  <c r="AQ106" i="24"/>
  <c r="W106" i="24"/>
  <c r="R106" i="24"/>
  <c r="BW121" i="24"/>
  <c r="I121" i="24"/>
  <c r="CT106" i="24"/>
  <c r="Y106" i="24"/>
  <c r="CJ106" i="24"/>
  <c r="BA106" i="24"/>
  <c r="X106" i="24"/>
  <c r="BV106" i="24"/>
  <c r="CP106" i="24"/>
  <c r="BX121" i="24" l="1"/>
</calcChain>
</file>

<file path=xl/sharedStrings.xml><?xml version="1.0" encoding="utf-8"?>
<sst xmlns="http://schemas.openxmlformats.org/spreadsheetml/2006/main" count="2585" uniqueCount="1284">
  <si>
    <t>Library Name</t>
  </si>
  <si>
    <t>Library Use Charts</t>
  </si>
  <si>
    <t>Collection Charts</t>
  </si>
  <si>
    <t>Expenditure Charts</t>
  </si>
  <si>
    <t>Libraries</t>
  </si>
  <si>
    <t>Average Statewide</t>
  </si>
  <si>
    <t>Member</t>
  </si>
  <si>
    <t>Yes</t>
  </si>
  <si>
    <t>No</t>
  </si>
  <si>
    <t>Fort Hancock ISD/Public Library</t>
  </si>
  <si>
    <t>FSCS#</t>
  </si>
  <si>
    <t>Legal Basis Code</t>
  </si>
  <si>
    <t>Population of the Legal Service Area</t>
  </si>
  <si>
    <t>1.29 Library ID</t>
  </si>
  <si>
    <t>1.30 Region</t>
  </si>
  <si>
    <t>1.1 Library Name</t>
  </si>
  <si>
    <t>1.2 County</t>
  </si>
  <si>
    <t>1.3 The local fiscal year covered by this report began</t>
  </si>
  <si>
    <t>1.4 The local fiscal year covered by this report ended</t>
  </si>
  <si>
    <t>2.1 Number of Branch Libraries</t>
  </si>
  <si>
    <t>2.2 Number of Bookmobiles</t>
  </si>
  <si>
    <t>2.4 Square Footage of the Main Library</t>
  </si>
  <si>
    <t>3.1 Salaries &amp; Wages Expenditures</t>
  </si>
  <si>
    <t>3.2 Employee Benefits Expenditures</t>
  </si>
  <si>
    <t>3.3 Total Staff Expenditures</t>
  </si>
  <si>
    <t>3.4 Print Materials Expenditures</t>
  </si>
  <si>
    <t>3.5 Electronic Materials Expenditures</t>
  </si>
  <si>
    <t>3.6 Other Materials Expenditures</t>
  </si>
  <si>
    <t>3.7 Total Collection Expenditures</t>
  </si>
  <si>
    <t>3.8 Other Operating Expenditures</t>
  </si>
  <si>
    <t>3.9 Total Direct Operating Expenditures</t>
  </si>
  <si>
    <t>3.10 Indirect Costs</t>
  </si>
  <si>
    <t>3.11 Total Operating Expenditures</t>
  </si>
  <si>
    <t>3.12 Capital Outlay</t>
  </si>
  <si>
    <t>4.1 Local Expenditures on Collections</t>
  </si>
  <si>
    <t>4.2 Local Operating Expenditures</t>
  </si>
  <si>
    <t>4.3 Local Government Expenditures</t>
  </si>
  <si>
    <t>5.1 Operating Revenue - City, Cities or Library District</t>
  </si>
  <si>
    <t>5.2 Operating Revenue - County or Counties</t>
  </si>
  <si>
    <t>5.3 Operating Revenue - School Districts</t>
  </si>
  <si>
    <t>5.4 Subtotal-Local Government Operating Revenue</t>
  </si>
  <si>
    <t>5.5 Operating Revenue-Other State Government</t>
  </si>
  <si>
    <t>5.7 Operating Revenue - Other Federal Funds</t>
  </si>
  <si>
    <t>5.9 Operating Revenue - Foundation &amp; Corporate Grants</t>
  </si>
  <si>
    <t>5.10 Operating Revenue - Other Local Sources</t>
  </si>
  <si>
    <t>5.11 Subtotal-Other Operating Revenue</t>
  </si>
  <si>
    <t>5.12 Total Operating Revenue</t>
  </si>
  <si>
    <t>5.13 Capital Revenue - City Cities or Library District</t>
  </si>
  <si>
    <t>5.14 Capital Revenue - County or Counties</t>
  </si>
  <si>
    <t>5.15 Capital Revenue - School Districts</t>
  </si>
  <si>
    <t>5.16 Capital Revenue - Other State Funds</t>
  </si>
  <si>
    <t>5.18 Capital Revenue - Other Federal Funds</t>
  </si>
  <si>
    <t>5.19 Capital Revenue - Foundation &amp; Corporate Grants</t>
  </si>
  <si>
    <t>5.20 Other Capital Revenue</t>
  </si>
  <si>
    <t>5.21 Total Capital Revenue</t>
  </si>
  <si>
    <t>6.2 Books in Print - Items</t>
  </si>
  <si>
    <t>6.4 Audio - Physical Materials - Items</t>
  </si>
  <si>
    <t>6.5 Audio - Downloadable - Titles</t>
  </si>
  <si>
    <t>6.7 Video - Physical Materials - Items</t>
  </si>
  <si>
    <t>6.8 Video - Downloadable - Titles</t>
  </si>
  <si>
    <t>6.9 Electronic Books</t>
  </si>
  <si>
    <t>6.10 Local Licensed Databases</t>
  </si>
  <si>
    <t>6.11 State Licensed Databases</t>
  </si>
  <si>
    <t>6.12 Other Licensed Databases</t>
  </si>
  <si>
    <t>6.13 Total Licensed Databases</t>
  </si>
  <si>
    <t>6.15 Collection Totals - Volumes Items or Physical Units</t>
  </si>
  <si>
    <t>6.16 Current Print Serial Subscriptions</t>
  </si>
  <si>
    <t>7.1 Reference Transactions</t>
  </si>
  <si>
    <t>7.2 Children's materials circulation - physical formats</t>
  </si>
  <si>
    <t>7.3 Circulation of Children's Materials-Digital formats</t>
  </si>
  <si>
    <t>7.4 Circulation-Physical formats</t>
  </si>
  <si>
    <t>7.5 Circulation-Digital formats</t>
  </si>
  <si>
    <t>7.6 Total Circulation</t>
  </si>
  <si>
    <t>7.7 Number of Children's programs provided by the library</t>
  </si>
  <si>
    <t>7.8 Number of Young Adult programs provided by the library</t>
  </si>
  <si>
    <t>7.9 Number of Adult programs provided by the library</t>
  </si>
  <si>
    <t>7.10 Total Number of Library Programs</t>
  </si>
  <si>
    <t>7.11 Attendance at Children's Programs provided by the library</t>
  </si>
  <si>
    <t>7.12 Attendance at Young Adult Programs provided by the library</t>
  </si>
  <si>
    <t>7.13 Attendance at Adult Programs provided by the library</t>
  </si>
  <si>
    <t>7.14 Total Attendance at Library Programs</t>
  </si>
  <si>
    <t>ALA-MLS FTEs</t>
  </si>
  <si>
    <t>Other Librarians FTEs</t>
  </si>
  <si>
    <t>All Other Paid Employees FTEs</t>
  </si>
  <si>
    <t>Total Paid Employees FTEs</t>
  </si>
  <si>
    <t>8.5 Volunteer hours</t>
  </si>
  <si>
    <t>8.6 Head Librarian's annual rate of salary</t>
  </si>
  <si>
    <t>8.7 How many hours per week is the Head Librarian currently employed in library duties?</t>
  </si>
  <si>
    <t>8.8 Has the Head Librarian obtained a minimum of 10 hours of continuing education credits within this reporting period?</t>
  </si>
  <si>
    <t>9.1 Is your library willing to borrow materials for your patrons?</t>
  </si>
  <si>
    <t>9.3 Interlibrary Loans Received From Other Libraries</t>
  </si>
  <si>
    <t>9.4 Interlibrary Loans Provided To Other Libraries</t>
  </si>
  <si>
    <t>10.6 Number of Wi-Fi Sessions</t>
  </si>
  <si>
    <t>10.7b Number of website visits.</t>
  </si>
  <si>
    <t>11.1 Total number of Hours that the Central/Main library is open during the year.</t>
  </si>
  <si>
    <t>11.2 Total number of Weeks that the Central/Main library is open during the year.</t>
  </si>
  <si>
    <t>11.3 Total hours Central/Main Library open during a Regular Week</t>
  </si>
  <si>
    <t>11.4 Total hours Central/Main Library open during a Summer Week.</t>
  </si>
  <si>
    <t>Salary and Wages Per Capita</t>
  </si>
  <si>
    <t>Materials Expend Per Capita</t>
  </si>
  <si>
    <t>Total Operating Expend. Per Capita</t>
  </si>
  <si>
    <t>Local Govt Rev. Per Capita</t>
  </si>
  <si>
    <t>Total Operating Revenue Per Capita</t>
  </si>
  <si>
    <t>BIP Per Capita</t>
  </si>
  <si>
    <t>Total Collection-Items Per Capita</t>
  </si>
  <si>
    <t>Total Circ Per Capita</t>
  </si>
  <si>
    <t>Circ per paid staff</t>
  </si>
  <si>
    <t>Circ per hour</t>
  </si>
  <si>
    <t>Circ per visit</t>
  </si>
  <si>
    <t>Collection turnover rate</t>
  </si>
  <si>
    <t>Reference per capita</t>
  </si>
  <si>
    <t>Program attendance per capita</t>
  </si>
  <si>
    <t>Visits per capita</t>
  </si>
  <si>
    <t>Pop per ALA-MLS</t>
  </si>
  <si>
    <t>Pop per total paid staff</t>
  </si>
  <si>
    <t>Total Staff expenditures as percentage of Total Operating Expend.</t>
  </si>
  <si>
    <t>Total material expenditures as percentage of Total Operating Expend.</t>
  </si>
  <si>
    <t>Other expenditures as percentage of Total Operating Expend.</t>
  </si>
  <si>
    <t>Indirect costs as percentage of Total Operating Expend.</t>
  </si>
  <si>
    <t>Branch square footage</t>
  </si>
  <si>
    <t>Total main and branch sq footage</t>
  </si>
  <si>
    <t>Total square footage per capita</t>
  </si>
  <si>
    <t>Total number of hours branch libraries are open during the year</t>
  </si>
  <si>
    <t>Total number of hours main+branches open per year</t>
  </si>
  <si>
    <t>City</t>
  </si>
  <si>
    <t>County</t>
  </si>
  <si>
    <t>Average 5,000-9,999</t>
  </si>
  <si>
    <t>Children's circ per capita-physical formats</t>
  </si>
  <si>
    <t>Children's circ per capita-digital formats</t>
  </si>
  <si>
    <t>Circulation per capita-physical formats (excludes children's)</t>
  </si>
  <si>
    <t>Circulation per capita-digital formats (excludes children's)</t>
  </si>
  <si>
    <t>Revenue Charts</t>
  </si>
  <si>
    <t xml:space="preserve"> </t>
  </si>
  <si>
    <t>Other Measures</t>
  </si>
  <si>
    <t>Legal Establishment</t>
  </si>
  <si>
    <t>Capital Outlay</t>
  </si>
  <si>
    <t>GENERAL LIBRARY INFORMATION</t>
  </si>
  <si>
    <t>OPERATING EXPENDITURES</t>
  </si>
  <si>
    <t>Salaries and Wages</t>
  </si>
  <si>
    <t>Employee Benefits</t>
  </si>
  <si>
    <t>Subtotal: Wages and Benefits</t>
  </si>
  <si>
    <t>Subtotal: Library Materials</t>
  </si>
  <si>
    <t>Other Operating Expenditures</t>
  </si>
  <si>
    <t>OPERATING REVENUE BY SOURCE</t>
  </si>
  <si>
    <t>Total Revenue</t>
  </si>
  <si>
    <t>LIBRARY COLLECTION</t>
  </si>
  <si>
    <t>Books in Print-items</t>
  </si>
  <si>
    <t>Electronic Books</t>
  </si>
  <si>
    <t>LOCAL LIBRARY SERVICES</t>
  </si>
  <si>
    <t>Librarians with ALA-MLS</t>
  </si>
  <si>
    <t>STAFFING (Full-time equivalents)</t>
  </si>
  <si>
    <t>INTERNET AND ELECTRONIC RESOURCES</t>
  </si>
  <si>
    <t>Number of Wi-Fi-Sessions</t>
  </si>
  <si>
    <t>FACILITIES</t>
  </si>
  <si>
    <t>Total Capital Revenue</t>
  </si>
  <si>
    <t>Salaries and Wages Per Capita</t>
  </si>
  <si>
    <t>Total Operating Expenditures</t>
  </si>
  <si>
    <t>LOCAL OPERATING EXPENDITURES</t>
  </si>
  <si>
    <t>Total Revenue Per Capita</t>
  </si>
  <si>
    <t>Books in Print-Items Per Capita</t>
  </si>
  <si>
    <t>Collection Turnover Rate</t>
  </si>
  <si>
    <t>Program Attendance Per Capita</t>
  </si>
  <si>
    <t>Library Visits Per Capita</t>
  </si>
  <si>
    <t>CAPITAL REVENUE</t>
  </si>
  <si>
    <t>return to top</t>
  </si>
  <si>
    <t>to get a quick summary of the data for your library</t>
  </si>
  <si>
    <t>For direct comparisons, select up to four libraries here:</t>
  </si>
  <si>
    <t>Reference Transactions Per Capita</t>
  </si>
  <si>
    <t>Population Served</t>
  </si>
  <si>
    <t>Number of Branches</t>
  </si>
  <si>
    <t>Number of Bookmobiles</t>
  </si>
  <si>
    <t>Print Materials</t>
  </si>
  <si>
    <t>Electronic Materials</t>
  </si>
  <si>
    <t>Other Materials</t>
  </si>
  <si>
    <t>Foundation and Corporate Grants</t>
  </si>
  <si>
    <t>State Revenue</t>
  </si>
  <si>
    <t>Other Local Revenue</t>
  </si>
  <si>
    <t>Square Footage Per Capita</t>
  </si>
  <si>
    <t>Physical Audio Items</t>
  </si>
  <si>
    <t>Physical Video Items</t>
  </si>
  <si>
    <t>Downloadable Audio Items</t>
  </si>
  <si>
    <t>Downloadable Video Items</t>
  </si>
  <si>
    <t>Total Collection-Items</t>
  </si>
  <si>
    <t>Current Print Subscriptions</t>
  </si>
  <si>
    <t>Number of Registered Users</t>
  </si>
  <si>
    <t>Reference Transactions</t>
  </si>
  <si>
    <t>Library Visits</t>
  </si>
  <si>
    <t>Number of Library Programs</t>
  </si>
  <si>
    <t>Total Library Program Attendance</t>
  </si>
  <si>
    <t>Other Librarians</t>
  </si>
  <si>
    <t>Other Paid Staff</t>
  </si>
  <si>
    <t>Total Paid Staff</t>
  </si>
  <si>
    <t>Population Per ALA-MLS</t>
  </si>
  <si>
    <t>Population Per Total Paid Staff</t>
  </si>
  <si>
    <t>Number of Loans Received</t>
  </si>
  <si>
    <t>Number of Loans Sent</t>
  </si>
  <si>
    <t>Number of Internet Terminals</t>
  </si>
  <si>
    <t>Total Uses of Public Internet Computers</t>
  </si>
  <si>
    <t>Number of Website Visits</t>
  </si>
  <si>
    <t>Scroll down, or use these quick links to other charts</t>
  </si>
  <si>
    <t>Average 2,000-4,999 population</t>
  </si>
  <si>
    <t>Average 10,000-14,999 population</t>
  </si>
  <si>
    <t>Average 15,000-24,999 population</t>
  </si>
  <si>
    <t>Average 25,000-49,999 population</t>
  </si>
  <si>
    <t>Average 50,000-99,999 population</t>
  </si>
  <si>
    <t>Average 100,000-249,999 population</t>
  </si>
  <si>
    <t>Average Over 250,000 population</t>
  </si>
  <si>
    <t>10.1 Does the library have a computer with Internet acces and printing/copying capability for use by public?</t>
  </si>
  <si>
    <t>8.9 Does the library have a photocopier for use by staff?</t>
  </si>
  <si>
    <t>9.1 Does your library offer to borrow materials for your patrons?</t>
  </si>
  <si>
    <t>10.2 Internet Computers Used by General Public</t>
  </si>
  <si>
    <t>10.3 Uses of Public Internet Computers Per Year</t>
  </si>
  <si>
    <t>11.4 Total hours Central/Main Library open during a Regular Week</t>
  </si>
  <si>
    <t>11.5 Total hours Central/Main Library open during a Summer Week.</t>
  </si>
  <si>
    <t>ID</t>
  </si>
  <si>
    <t>Q237</t>
  </si>
  <si>
    <t>BranchID</t>
  </si>
  <si>
    <t>Q235</t>
  </si>
  <si>
    <t>Chambers County Library</t>
  </si>
  <si>
    <t>10.275</t>
  </si>
  <si>
    <t>Branch</t>
  </si>
  <si>
    <t>West Chambers County Branch Library</t>
  </si>
  <si>
    <t>10.8</t>
  </si>
  <si>
    <t>Juanita Hargraves Memorial Branch Library</t>
  </si>
  <si>
    <t>10.9</t>
  </si>
  <si>
    <t>Bookmobile 1</t>
  </si>
  <si>
    <t>100.307</t>
  </si>
  <si>
    <t>Bookmobile</t>
  </si>
  <si>
    <t>Arcadia Park Branch Library</t>
  </si>
  <si>
    <t>100.359</t>
  </si>
  <si>
    <t>Grauwyler Park Branch Library</t>
  </si>
  <si>
    <t>100.368</t>
  </si>
  <si>
    <t>Timberglen Branch Library</t>
  </si>
  <si>
    <t>100.369</t>
  </si>
  <si>
    <t>Bookmarks @ NorthPark Center</t>
  </si>
  <si>
    <t>100.373</t>
  </si>
  <si>
    <t>Bookmobile 2</t>
  </si>
  <si>
    <t>100.374</t>
  </si>
  <si>
    <t>Prairie Creek Branch Library</t>
  </si>
  <si>
    <t>100.389</t>
  </si>
  <si>
    <t>White Rock Hills Branch Library</t>
  </si>
  <si>
    <t>100.401</t>
  </si>
  <si>
    <t>Audelia Road Branch Library</t>
  </si>
  <si>
    <t>100.74</t>
  </si>
  <si>
    <t>Lochwood Branch Library</t>
  </si>
  <si>
    <t>100.75</t>
  </si>
  <si>
    <t>Forest Green Branch Library</t>
  </si>
  <si>
    <t>100.76</t>
  </si>
  <si>
    <t>Fretz Park Branch Library</t>
  </si>
  <si>
    <t>100.77</t>
  </si>
  <si>
    <t>Hampton-Illinois Branch Library</t>
  </si>
  <si>
    <t>100.78</t>
  </si>
  <si>
    <t>Highland Hills Branch Library</t>
  </si>
  <si>
    <t>100.79</t>
  </si>
  <si>
    <t>Lakewood Branch Library</t>
  </si>
  <si>
    <t>100.80</t>
  </si>
  <si>
    <t>Paul Laurence Dunbar Lancaster-Kiest Branch Library</t>
  </si>
  <si>
    <t>100.81</t>
  </si>
  <si>
    <t>Martin Luther King Jr Library/LC</t>
  </si>
  <si>
    <t>100.82</t>
  </si>
  <si>
    <t>North Oak Cliff Branch Library</t>
  </si>
  <si>
    <t>100.83</t>
  </si>
  <si>
    <t>Oak Lawn Branch Library</t>
  </si>
  <si>
    <t>100.84</t>
  </si>
  <si>
    <t>Park Forest Branch Library</t>
  </si>
  <si>
    <t>100.85</t>
  </si>
  <si>
    <t>Pleasant Grove Branch Library</t>
  </si>
  <si>
    <t>100.86</t>
  </si>
  <si>
    <t>Polk-Wisdom Branch Library</t>
  </si>
  <si>
    <t>100.87</t>
  </si>
  <si>
    <t>Preston Royal Branch Library</t>
  </si>
  <si>
    <t>100.88</t>
  </si>
  <si>
    <t>Renner Frankford Branch Library</t>
  </si>
  <si>
    <t>100.89</t>
  </si>
  <si>
    <t>Skyline Branch Library</t>
  </si>
  <si>
    <t>100.90</t>
  </si>
  <si>
    <t>Bachman Lake Branch Library</t>
  </si>
  <si>
    <t>100.91</t>
  </si>
  <si>
    <t>Dallas West Branch Library</t>
  </si>
  <si>
    <t>100.92</t>
  </si>
  <si>
    <t>Mountain Creek Branch Library</t>
  </si>
  <si>
    <t>100.93</t>
  </si>
  <si>
    <t>Kleberg-Rylie Branch Library</t>
  </si>
  <si>
    <t>100.94</t>
  </si>
  <si>
    <t>Skillman Southwestern Branch Library</t>
  </si>
  <si>
    <t>100.95</t>
  </si>
  <si>
    <t>Denton Public Library South Branch</t>
  </si>
  <si>
    <t>109.276</t>
  </si>
  <si>
    <t>Denton Public Library North Branch</t>
  </si>
  <si>
    <t>109.335</t>
  </si>
  <si>
    <t>Cactus Branch Library</t>
  </si>
  <si>
    <t>117.300</t>
  </si>
  <si>
    <t>Britain Memorial Library</t>
  </si>
  <si>
    <t>117.96</t>
  </si>
  <si>
    <t>Alvin Library</t>
  </si>
  <si>
    <t>12.10</t>
  </si>
  <si>
    <t>Angleton Library</t>
  </si>
  <si>
    <t>12.11</t>
  </si>
  <si>
    <t>Brazoria Library</t>
  </si>
  <si>
    <t>12.13</t>
  </si>
  <si>
    <t>Clute Library</t>
  </si>
  <si>
    <t>12.14</t>
  </si>
  <si>
    <t>Freeport Library</t>
  </si>
  <si>
    <t>12.15</t>
  </si>
  <si>
    <t>Lake Jackson Library</t>
  </si>
  <si>
    <t>12.16</t>
  </si>
  <si>
    <t>Manvel Library</t>
  </si>
  <si>
    <t>12.17</t>
  </si>
  <si>
    <t>Pearland Library</t>
  </si>
  <si>
    <t>12.18</t>
  </si>
  <si>
    <t>Sweeny Library</t>
  </si>
  <si>
    <t>12.19</t>
  </si>
  <si>
    <t>West Columbia Branch Library</t>
  </si>
  <si>
    <t>12.20</t>
  </si>
  <si>
    <t>Danbury Library</t>
  </si>
  <si>
    <t>12.314</t>
  </si>
  <si>
    <t>Pearland Westside Library</t>
  </si>
  <si>
    <t>12.404</t>
  </si>
  <si>
    <t>Eagle Pass Public Children`s Library</t>
  </si>
  <si>
    <t>120.290</t>
  </si>
  <si>
    <t>Clardy Fox Branch Library</t>
  </si>
  <si>
    <t>125.100</t>
  </si>
  <si>
    <t>Judge Edward S Marquez Mission Valley Branch</t>
  </si>
  <si>
    <t>125.101</t>
  </si>
  <si>
    <t>Memorial Park Branch Library</t>
  </si>
  <si>
    <t>125.102</t>
  </si>
  <si>
    <t>Westside Branch Library</t>
  </si>
  <si>
    <t>125.104</t>
  </si>
  <si>
    <t>Ysleta Branch Library</t>
  </si>
  <si>
    <t>125.105</t>
  </si>
  <si>
    <t>Bookmobile - El Paso Public Library</t>
  </si>
  <si>
    <t>125.106</t>
  </si>
  <si>
    <t>Irving Schwartz Branch Library</t>
  </si>
  <si>
    <t>125.107</t>
  </si>
  <si>
    <t>EPCC NW Campus Community Library</t>
  </si>
  <si>
    <t>125.336</t>
  </si>
  <si>
    <t>Dorris Van Doren Regional Branch Library</t>
  </si>
  <si>
    <t>125.358</t>
  </si>
  <si>
    <t>Esperanza Acosta Moreno Regional Branch Library</t>
  </si>
  <si>
    <t>125.370</t>
  </si>
  <si>
    <t>Jose Cisneros Cielo Vista Branch Library</t>
  </si>
  <si>
    <t>125.398</t>
  </si>
  <si>
    <t>Armijo Branch Library</t>
  </si>
  <si>
    <t>125.97</t>
  </si>
  <si>
    <t>Richard Burges Regional Branch Library</t>
  </si>
  <si>
    <t>125.98</t>
  </si>
  <si>
    <t>Sarah Bain Chandler Library</t>
  </si>
  <si>
    <t>139.409</t>
  </si>
  <si>
    <t>Poth Branch Library</t>
  </si>
  <si>
    <t>139.410</t>
  </si>
  <si>
    <t>Floyd County Branch Library</t>
  </si>
  <si>
    <t>140.110</t>
  </si>
  <si>
    <t>East Berry Branch Library</t>
  </si>
  <si>
    <t>143.111</t>
  </si>
  <si>
    <t>eSkills Library</t>
  </si>
  <si>
    <t>143.112</t>
  </si>
  <si>
    <t>Northside Branch Library</t>
  </si>
  <si>
    <t>143.113</t>
  </si>
  <si>
    <t>Ridglea Branch Library</t>
  </si>
  <si>
    <t>143.114</t>
  </si>
  <si>
    <t>Riverside Branch Library</t>
  </si>
  <si>
    <t>143.115</t>
  </si>
  <si>
    <t>Seminary South Branch Library</t>
  </si>
  <si>
    <t>143.116</t>
  </si>
  <si>
    <t>Shamblee Branch Library</t>
  </si>
  <si>
    <t>143.117</t>
  </si>
  <si>
    <t>Southwest Regional Branch Library</t>
  </si>
  <si>
    <t>143.118</t>
  </si>
  <si>
    <t>Wedgwood Branch Library</t>
  </si>
  <si>
    <t>143.119</t>
  </si>
  <si>
    <t>Diamond Hill/Jarvis Branch Library</t>
  </si>
  <si>
    <t>143.120</t>
  </si>
  <si>
    <t>COOL (Cavile Outreach Opportunity Library)</t>
  </si>
  <si>
    <t>143.277</t>
  </si>
  <si>
    <t>East Regional Branch Library</t>
  </si>
  <si>
    <t>143.278</t>
  </si>
  <si>
    <t>BOLD Butler Housing Community Library</t>
  </si>
  <si>
    <t>143.297</t>
  </si>
  <si>
    <t>Summerglen Branch Library</t>
  </si>
  <si>
    <t>143.309</t>
  </si>
  <si>
    <t>Northwest Branch Library</t>
  </si>
  <si>
    <t>143.390</t>
  </si>
  <si>
    <t>Walnut Creek Branch Library</t>
  </si>
  <si>
    <t>150.122</t>
  </si>
  <si>
    <t>North Garland Branch Library</t>
  </si>
  <si>
    <t>150.124</t>
  </si>
  <si>
    <t>South Garland Branch Library</t>
  </si>
  <si>
    <t>150.317</t>
  </si>
  <si>
    <t>Live Oak County Branch Library</t>
  </si>
  <si>
    <t>153.125</t>
  </si>
  <si>
    <t>WOW!mobile</t>
  </si>
  <si>
    <t>154.402</t>
  </si>
  <si>
    <t>East Arlington Branch Library</t>
  </si>
  <si>
    <t>16.21</t>
  </si>
  <si>
    <t>Northeast Branch Library</t>
  </si>
  <si>
    <t>16.22</t>
  </si>
  <si>
    <t>Woodland West Branch Library</t>
  </si>
  <si>
    <t>16.23</t>
  </si>
  <si>
    <t>Lake Arlington Branch Library</t>
  </si>
  <si>
    <t>16.24</t>
  </si>
  <si>
    <t>Southeast Branch Library</t>
  </si>
  <si>
    <t>16.333</t>
  </si>
  <si>
    <t>Southwest Branch Library</t>
  </si>
  <si>
    <t>16.372</t>
  </si>
  <si>
    <t>Betty Warmack Branch Library</t>
  </si>
  <si>
    <t>162.323</t>
  </si>
  <si>
    <t>Tony Shotwell Life Center Branch Library</t>
  </si>
  <si>
    <t>162.365</t>
  </si>
  <si>
    <t>Waller County Library Brookshire-Pattison</t>
  </si>
  <si>
    <t>180.127</t>
  </si>
  <si>
    <t>Morrow Branch Library</t>
  </si>
  <si>
    <t>181.128</t>
  </si>
  <si>
    <t>McMillan Memorial Library</t>
  </si>
  <si>
    <t>181.129</t>
  </si>
  <si>
    <t>Tatum Public Library</t>
  </si>
  <si>
    <t>181.130</t>
  </si>
  <si>
    <t>Rusk County Library</t>
  </si>
  <si>
    <t>181.279</t>
  </si>
  <si>
    <t>Shepard-Acres Homes Branch Library</t>
  </si>
  <si>
    <t>189.131</t>
  </si>
  <si>
    <t>Henington-Alief Regional Library</t>
  </si>
  <si>
    <t>189.132</t>
  </si>
  <si>
    <t>Bracewell Branch Library</t>
  </si>
  <si>
    <t>189.133</t>
  </si>
  <si>
    <t>Carnegie Branch Library</t>
  </si>
  <si>
    <t>189.134</t>
  </si>
  <si>
    <t>Collier Regional Library</t>
  </si>
  <si>
    <t>189.135</t>
  </si>
  <si>
    <t>Clayton Library Ctr for Gen Res</t>
  </si>
  <si>
    <t>189.136</t>
  </si>
  <si>
    <t>Dixon Branch Library</t>
  </si>
  <si>
    <t>189.137</t>
  </si>
  <si>
    <t>Fifth Ward Branch Library</t>
  </si>
  <si>
    <t>189.138</t>
  </si>
  <si>
    <t>Flores Branch Library</t>
  </si>
  <si>
    <t>189.139</t>
  </si>
  <si>
    <t>Frank Branch Library</t>
  </si>
  <si>
    <t>189.140</t>
  </si>
  <si>
    <t>Heights Branch Library</t>
  </si>
  <si>
    <t>189.141</t>
  </si>
  <si>
    <t>Hillendahl Branch Library</t>
  </si>
  <si>
    <t>189.142</t>
  </si>
  <si>
    <t>Johnson Branch Library</t>
  </si>
  <si>
    <t>189.143</t>
  </si>
  <si>
    <t>Jungman Branch Library</t>
  </si>
  <si>
    <t>189.144</t>
  </si>
  <si>
    <t>McCrane-Kashmere Gardens Branch Library</t>
  </si>
  <si>
    <t>189.145</t>
  </si>
  <si>
    <t>Kendall Branch Library</t>
  </si>
  <si>
    <t>189.146</t>
  </si>
  <si>
    <t>189.147</t>
  </si>
  <si>
    <t>Looscan Branch Library</t>
  </si>
  <si>
    <t>189.148</t>
  </si>
  <si>
    <t>Mancuso Branch Library</t>
  </si>
  <si>
    <t>189.149</t>
  </si>
  <si>
    <t>Melcher Branch Library</t>
  </si>
  <si>
    <t>189.150</t>
  </si>
  <si>
    <t>Meyer Branch Library</t>
  </si>
  <si>
    <t>189.151</t>
  </si>
  <si>
    <t>Moody Branch Library</t>
  </si>
  <si>
    <t>189.152</t>
  </si>
  <si>
    <t>Oak Forest Branch Library</t>
  </si>
  <si>
    <t>189.153</t>
  </si>
  <si>
    <t>Park Place Regional Library</t>
  </si>
  <si>
    <t>189.154</t>
  </si>
  <si>
    <t>Pleasantville Branch Library</t>
  </si>
  <si>
    <t>189.155</t>
  </si>
  <si>
    <t>Ring Branch Library</t>
  </si>
  <si>
    <t>189.156</t>
  </si>
  <si>
    <t>Scenic Woods Regional Library</t>
  </si>
  <si>
    <t>189.157</t>
  </si>
  <si>
    <t>Smith Branch Library</t>
  </si>
  <si>
    <t>189.158</t>
  </si>
  <si>
    <t>Stanaker Branch Library</t>
  </si>
  <si>
    <t>189.159</t>
  </si>
  <si>
    <t>Tuttle Branch Library</t>
  </si>
  <si>
    <t>189.160</t>
  </si>
  <si>
    <t>HPL Express Vinson</t>
  </si>
  <si>
    <t>189.161</t>
  </si>
  <si>
    <t>Walter Branch Library</t>
  </si>
  <si>
    <t>189.162</t>
  </si>
  <si>
    <t>Young Branch Library</t>
  </si>
  <si>
    <t>189.163</t>
  </si>
  <si>
    <t>Freed-Montrose Branch Library</t>
  </si>
  <si>
    <t>189.164</t>
  </si>
  <si>
    <t>Robinson-Westchase Branch Library</t>
  </si>
  <si>
    <t>189.165</t>
  </si>
  <si>
    <t>Stimley-Blue Ridge Branch Library</t>
  </si>
  <si>
    <t>189.303</t>
  </si>
  <si>
    <t>McGovern-Stella Link Branch Library</t>
  </si>
  <si>
    <t>189.360</t>
  </si>
  <si>
    <t>HPL Express Discovery Green</t>
  </si>
  <si>
    <t>189.377</t>
  </si>
  <si>
    <t>HPL Express Southwest</t>
  </si>
  <si>
    <t>189.378</t>
  </si>
  <si>
    <t>African American Library</t>
  </si>
  <si>
    <t>189.391</t>
  </si>
  <si>
    <t>Houston Metropolitan Research Center</t>
  </si>
  <si>
    <t>189.392</t>
  </si>
  <si>
    <t>HPL Mobile Express</t>
  </si>
  <si>
    <t>189.393</t>
  </si>
  <si>
    <t>Crosby Branch Library</t>
  </si>
  <si>
    <t>190.166</t>
  </si>
  <si>
    <t>190.167</t>
  </si>
  <si>
    <t>Galena Park Branch Library</t>
  </si>
  <si>
    <t>190.168</t>
  </si>
  <si>
    <t>Stratford Branch Library</t>
  </si>
  <si>
    <t>190.169</t>
  </si>
  <si>
    <t>Aldine Branch Library</t>
  </si>
  <si>
    <t>190.170</t>
  </si>
  <si>
    <t>Katherine Tyra/Bear Creek Branch Library</t>
  </si>
  <si>
    <t>190.171</t>
  </si>
  <si>
    <t>Fairbanks Branch Library</t>
  </si>
  <si>
    <t>190.172</t>
  </si>
  <si>
    <t>Freeman Memorial Branch Library</t>
  </si>
  <si>
    <t>190.173</t>
  </si>
  <si>
    <t>High Meadows Branch Library</t>
  </si>
  <si>
    <t>190.174</t>
  </si>
  <si>
    <t>Jacinto City Branch Library</t>
  </si>
  <si>
    <t>190.175</t>
  </si>
  <si>
    <t>Spring Branch Library</t>
  </si>
  <si>
    <t>190.176</t>
  </si>
  <si>
    <t>West University Branch Library</t>
  </si>
  <si>
    <t>190.177</t>
  </si>
  <si>
    <t>North Channel Branch Library</t>
  </si>
  <si>
    <t>190.179</t>
  </si>
  <si>
    <t>Parker Williams Branch Library</t>
  </si>
  <si>
    <t>190.180</t>
  </si>
  <si>
    <t>Baldwin Boettcher Branch Library</t>
  </si>
  <si>
    <t>190.181</t>
  </si>
  <si>
    <t>Octavia Fields Branch Library</t>
  </si>
  <si>
    <t>190.182</t>
  </si>
  <si>
    <t>Katy Branch Library</t>
  </si>
  <si>
    <t>190.183</t>
  </si>
  <si>
    <t>Maud Smith Marks Branch Library</t>
  </si>
  <si>
    <t>190.184</t>
  </si>
  <si>
    <t>Kingwood Branch Library</t>
  </si>
  <si>
    <t>190.185</t>
  </si>
  <si>
    <t>La Porte Branch Library</t>
  </si>
  <si>
    <t>190.186</t>
  </si>
  <si>
    <t>Evelyn Meador Branch Library</t>
  </si>
  <si>
    <t>190.187</t>
  </si>
  <si>
    <t>South Houston Branch Library</t>
  </si>
  <si>
    <t>190.188</t>
  </si>
  <si>
    <t>Barbara Bush Branch Library</t>
  </si>
  <si>
    <t>190.189</t>
  </si>
  <si>
    <t>Tomball Branch Library</t>
  </si>
  <si>
    <t>190.190</t>
  </si>
  <si>
    <t>Atascocita Branch Library</t>
  </si>
  <si>
    <t>190.286</t>
  </si>
  <si>
    <t>Cy-Fair College</t>
  </si>
  <si>
    <t>190.341</t>
  </si>
  <si>
    <t>HCPL Technology Center at Lincoln Park</t>
  </si>
  <si>
    <t>190.396</t>
  </si>
  <si>
    <t>HCPL Technology Center at Finnegan Park</t>
  </si>
  <si>
    <t>190.397</t>
  </si>
  <si>
    <t>West Irving Library</t>
  </si>
  <si>
    <t>198.192</t>
  </si>
  <si>
    <t>East Branch Library</t>
  </si>
  <si>
    <t>198.281</t>
  </si>
  <si>
    <t>Valley Ranch Library</t>
  </si>
  <si>
    <t>198.284</t>
  </si>
  <si>
    <t>Abilene Public Library South Branch</t>
  </si>
  <si>
    <t>2.1</t>
  </si>
  <si>
    <t>Abilene Public Library Mockingbird</t>
  </si>
  <si>
    <t>2.384</t>
  </si>
  <si>
    <t>Austin History Center Library</t>
  </si>
  <si>
    <t>20.27</t>
  </si>
  <si>
    <t>Carver Branch Library</t>
  </si>
  <si>
    <t>20.28</t>
  </si>
  <si>
    <t>Milwood Branch Library</t>
  </si>
  <si>
    <t>20.288</t>
  </si>
  <si>
    <t>Will Hampton Branch at Oak Hill</t>
  </si>
  <si>
    <t>20.289</t>
  </si>
  <si>
    <t>Eustasio Cepeda Branch Library</t>
  </si>
  <si>
    <t>20.29</t>
  </si>
  <si>
    <t>Howson Branch Library</t>
  </si>
  <si>
    <t>20.30</t>
  </si>
  <si>
    <t>Little Walnut Creek Branch Library</t>
  </si>
  <si>
    <t>20.31</t>
  </si>
  <si>
    <t>Manchaca Road Branch Library</t>
  </si>
  <si>
    <t>20.32</t>
  </si>
  <si>
    <t>Ralph W Yarborough Branch Library</t>
  </si>
  <si>
    <t>20.33</t>
  </si>
  <si>
    <t>St John Branch Library</t>
  </si>
  <si>
    <t>20.330</t>
  </si>
  <si>
    <t>North Village Branch Library</t>
  </si>
  <si>
    <t>20.34</t>
  </si>
  <si>
    <t>Willie Mae Kirk Branch Library</t>
  </si>
  <si>
    <t>20.35</t>
  </si>
  <si>
    <t>Old Quarry Branch Library</t>
  </si>
  <si>
    <t>20.36</t>
  </si>
  <si>
    <t>Pleasant Hill Branch Library</t>
  </si>
  <si>
    <t>20.37</t>
  </si>
  <si>
    <t>Daniel E Ruiz Branch Library</t>
  </si>
  <si>
    <t>20.38</t>
  </si>
  <si>
    <t>Spicewood Springs Branch Library</t>
  </si>
  <si>
    <t>20.39</t>
  </si>
  <si>
    <t>Terrazas Branch Library</t>
  </si>
  <si>
    <t>20.40</t>
  </si>
  <si>
    <t>Twin Oaks Branch Library</t>
  </si>
  <si>
    <t>20.41</t>
  </si>
  <si>
    <t>University Hills Branch Library</t>
  </si>
  <si>
    <t>20.42</t>
  </si>
  <si>
    <t>Windsor Park Branch Library</t>
  </si>
  <si>
    <t>20.43</t>
  </si>
  <si>
    <t>Southeast Austin Community Branch Library</t>
  </si>
  <si>
    <t>20.44</t>
  </si>
  <si>
    <t>Wink Branch Library</t>
  </si>
  <si>
    <t>212.194</t>
  </si>
  <si>
    <t>Kerr Regional History Center</t>
  </si>
  <si>
    <t>213.334</t>
  </si>
  <si>
    <t>Copper Mountain Branch Library</t>
  </si>
  <si>
    <t>215.319</t>
  </si>
  <si>
    <t>Bruni Plaza Branch Library</t>
  </si>
  <si>
    <t>228.311</t>
  </si>
  <si>
    <t>Cyber Mobile</t>
  </si>
  <si>
    <t>228.386</t>
  </si>
  <si>
    <t>Inner City Branch Library</t>
  </si>
  <si>
    <t>228.405</t>
  </si>
  <si>
    <t>Santa Rita Express Branch Library</t>
  </si>
  <si>
    <t>228.406</t>
  </si>
  <si>
    <t>Barbara Fasken Branch Library</t>
  </si>
  <si>
    <t>228.407</t>
  </si>
  <si>
    <t>Sophie Christen McKendrick, Francisco Ochoa and Fernando Salinas Branch Library</t>
  </si>
  <si>
    <t>228.411</t>
  </si>
  <si>
    <t>Sundown Branch Library</t>
  </si>
  <si>
    <t>231.200</t>
  </si>
  <si>
    <t>Lakeshore Branch Library</t>
  </si>
  <si>
    <t>236.202</t>
  </si>
  <si>
    <t>Kingsland Branch Library</t>
  </si>
  <si>
    <t>236.203</t>
  </si>
  <si>
    <t>Broughton Branch Library</t>
  </si>
  <si>
    <t>238.328</t>
  </si>
  <si>
    <t>Godeke Branch Library</t>
  </si>
  <si>
    <t>240.204</t>
  </si>
  <si>
    <t>Patterson Branch Library</t>
  </si>
  <si>
    <t>240.282</t>
  </si>
  <si>
    <t>Groves Branch Library</t>
  </si>
  <si>
    <t>240.292</t>
  </si>
  <si>
    <t>Lark Branch Library</t>
  </si>
  <si>
    <t>254.320</t>
  </si>
  <si>
    <t>Palm View Branch Library</t>
  </si>
  <si>
    <t>254.321</t>
  </si>
  <si>
    <t>John and Judy Gay Library</t>
  </si>
  <si>
    <t>256.381</t>
  </si>
  <si>
    <t>Mesquite Public Library-North Branch</t>
  </si>
  <si>
    <t>262.206</t>
  </si>
  <si>
    <t>Midland Centennial Library</t>
  </si>
  <si>
    <t>264.207</t>
  </si>
  <si>
    <t>Mineola Memorial Library Bookmobile</t>
  </si>
  <si>
    <t>266.402</t>
  </si>
  <si>
    <t>Barstow Library</t>
  </si>
  <si>
    <t>269.208</t>
  </si>
  <si>
    <t>Grandfalls Library</t>
  </si>
  <si>
    <t>269.209</t>
  </si>
  <si>
    <t>Sargent Branch Library</t>
  </si>
  <si>
    <t>28.47</t>
  </si>
  <si>
    <t>Westside Community Center Library</t>
  </si>
  <si>
    <t>283.412</t>
  </si>
  <si>
    <t>Deweyville Public Library</t>
  </si>
  <si>
    <t>284.315</t>
  </si>
  <si>
    <t>Blessing Library</t>
  </si>
  <si>
    <t>295.211</t>
  </si>
  <si>
    <t>Groom Branch Library</t>
  </si>
  <si>
    <t>298.212</t>
  </si>
  <si>
    <t>Skellytown Branch Library</t>
  </si>
  <si>
    <t>298.213</t>
  </si>
  <si>
    <t>White Deer Branch Library</t>
  </si>
  <si>
    <t>298.214</t>
  </si>
  <si>
    <t>Elmo R Willard Branch Library</t>
  </si>
  <si>
    <t>30.295</t>
  </si>
  <si>
    <t>Maurine Gray Literacy Center</t>
  </si>
  <si>
    <t>30.296</t>
  </si>
  <si>
    <t>RC Miller Memorial Library</t>
  </si>
  <si>
    <t>30.51</t>
  </si>
  <si>
    <t>Tyrrell Historical Library</t>
  </si>
  <si>
    <t>30.52</t>
  </si>
  <si>
    <t>Theodore Johns Branch Library</t>
  </si>
  <si>
    <t>30.53</t>
  </si>
  <si>
    <t>Fairmont Branch Library</t>
  </si>
  <si>
    <t>300.215</t>
  </si>
  <si>
    <t>LER Schimelpfenig Library</t>
  </si>
  <si>
    <t>311.216</t>
  </si>
  <si>
    <t>Gladys Harrington Library</t>
  </si>
  <si>
    <t>311.217</t>
  </si>
  <si>
    <t>Maribelle M Davis Library</t>
  </si>
  <si>
    <t>311.298</t>
  </si>
  <si>
    <t>Christopher A Parr Library</t>
  </si>
  <si>
    <t>311.322</t>
  </si>
  <si>
    <t>Public Library Reading Room</t>
  </si>
  <si>
    <t>315.366</t>
  </si>
  <si>
    <t>Point Comfort Branch Library</t>
  </si>
  <si>
    <t>316.221</t>
  </si>
  <si>
    <t>Port O`Connor Branch Library</t>
  </si>
  <si>
    <t>316.222</t>
  </si>
  <si>
    <t>Seadrift Branch Library</t>
  </si>
  <si>
    <t>316.223</t>
  </si>
  <si>
    <t>Midkiff Public Library</t>
  </si>
  <si>
    <t>324.224</t>
  </si>
  <si>
    <t>Missouri City Branch Library</t>
  </si>
  <si>
    <t>329.226</t>
  </si>
  <si>
    <t>Albert George Branch Library</t>
  </si>
  <si>
    <t>329.227</t>
  </si>
  <si>
    <t>George Memorial Library</t>
  </si>
  <si>
    <t>329.228</t>
  </si>
  <si>
    <t>Fort Bend County Law Library</t>
  </si>
  <si>
    <t>329.229</t>
  </si>
  <si>
    <t>Bob Lutts Fulshear/Simonton Branch Library</t>
  </si>
  <si>
    <t>329.230</t>
  </si>
  <si>
    <t>Mamie George Branch Library</t>
  </si>
  <si>
    <t>329.231</t>
  </si>
  <si>
    <t>First Colony Branch Library</t>
  </si>
  <si>
    <t>329.232</t>
  </si>
  <si>
    <t>Cinco Ranch Branch Library</t>
  </si>
  <si>
    <t>329.299</t>
  </si>
  <si>
    <t>Sugar Land Branch Library</t>
  </si>
  <si>
    <t>329.302</t>
  </si>
  <si>
    <t>Sienna Branch Library</t>
  </si>
  <si>
    <t>329.382</t>
  </si>
  <si>
    <t>University Branch Library</t>
  </si>
  <si>
    <t>329.399</t>
  </si>
  <si>
    <t>Bishop Branch Library</t>
  </si>
  <si>
    <t>334.313</t>
  </si>
  <si>
    <t>Angelo West Branch Library</t>
  </si>
  <si>
    <t>343.233</t>
  </si>
  <si>
    <t>North Angelo Branch Library</t>
  </si>
  <si>
    <t>343.234</t>
  </si>
  <si>
    <t>Bazan Branch Library</t>
  </si>
  <si>
    <t>344.236</t>
  </si>
  <si>
    <t>Brook Hollow Branch Library</t>
  </si>
  <si>
    <t>344.237</t>
  </si>
  <si>
    <t>344.238</t>
  </si>
  <si>
    <t>Cody Branch Library</t>
  </si>
  <si>
    <t>344.239</t>
  </si>
  <si>
    <t>Collins Garden Branch Library</t>
  </si>
  <si>
    <t>344.240</t>
  </si>
  <si>
    <t>Cortez Branch Library</t>
  </si>
  <si>
    <t>344.241</t>
  </si>
  <si>
    <t>Johnston Branch Library</t>
  </si>
  <si>
    <t>344.242</t>
  </si>
  <si>
    <t>Landa Branch Library</t>
  </si>
  <si>
    <t>344.243</t>
  </si>
  <si>
    <t>Las Palmas Branch Library</t>
  </si>
  <si>
    <t>344.244</t>
  </si>
  <si>
    <t>McCreless Branch Library</t>
  </si>
  <si>
    <t>344.245</t>
  </si>
  <si>
    <t>Memorial Branch Library</t>
  </si>
  <si>
    <t>344.246</t>
  </si>
  <si>
    <t>Tobin Library at Oakwell</t>
  </si>
  <si>
    <t>344.247</t>
  </si>
  <si>
    <t>Pan American Branch Library</t>
  </si>
  <si>
    <t>344.248</t>
  </si>
  <si>
    <t>San Pedro Branch Library</t>
  </si>
  <si>
    <t>344.249</t>
  </si>
  <si>
    <t>Westfall Branch Library</t>
  </si>
  <si>
    <t>344.250</t>
  </si>
  <si>
    <t>Forest Hills Branch Library</t>
  </si>
  <si>
    <t>344.251</t>
  </si>
  <si>
    <t>Thousand Oaks Branch Library</t>
  </si>
  <si>
    <t>344.252</t>
  </si>
  <si>
    <t>Great Northwest Branch Library</t>
  </si>
  <si>
    <t>344.255</t>
  </si>
  <si>
    <t>Guerra Branch Library</t>
  </si>
  <si>
    <t>344.342</t>
  </si>
  <si>
    <t>Semmes Branch Library</t>
  </si>
  <si>
    <t>344.361</t>
  </si>
  <si>
    <t>Maverick Branch Library</t>
  </si>
  <si>
    <t>344.367</t>
  </si>
  <si>
    <t>John Igo Branch Library</t>
  </si>
  <si>
    <t>344.371</t>
  </si>
  <si>
    <t>Central Bookmobile Services</t>
  </si>
  <si>
    <t>344.383</t>
  </si>
  <si>
    <t>Molly Pruitt Library at Roosevelt HS</t>
  </si>
  <si>
    <t>344.388</t>
  </si>
  <si>
    <t>Mission Branch Library</t>
  </si>
  <si>
    <t>344.394</t>
  </si>
  <si>
    <t>Parman Branch Library at Stone Oak</t>
  </si>
  <si>
    <t>344.395</t>
  </si>
  <si>
    <t>Kampmann Library Portal</t>
  </si>
  <si>
    <t>344.413</t>
  </si>
  <si>
    <t>Encino Branch Library</t>
  </si>
  <si>
    <t>344.414</t>
  </si>
  <si>
    <t>Gaines County Library-Seagraves</t>
  </si>
  <si>
    <t>357.256</t>
  </si>
  <si>
    <t>Temple Public Library Bookmobile</t>
  </si>
  <si>
    <t>384.258</t>
  </si>
  <si>
    <t>East Waco Library</t>
  </si>
  <si>
    <t>398.261</t>
  </si>
  <si>
    <t>South Waco Library</t>
  </si>
  <si>
    <t>398.262</t>
  </si>
  <si>
    <t>West Waco Library &amp; Genealogy Center</t>
  </si>
  <si>
    <t>398.387</t>
  </si>
  <si>
    <t>West End Library</t>
  </si>
  <si>
    <t>400.263</t>
  </si>
  <si>
    <t>Knox Memorial Library</t>
  </si>
  <si>
    <t>400.287</t>
  </si>
  <si>
    <t>East Bernard Branch Library</t>
  </si>
  <si>
    <t>408.264</t>
  </si>
  <si>
    <t>El Campo Branch Library</t>
  </si>
  <si>
    <t>408.265</t>
  </si>
  <si>
    <t>Louise Branch Library</t>
  </si>
  <si>
    <t>408.266</t>
  </si>
  <si>
    <t>Hutchinson County Library - Fritch</t>
  </si>
  <si>
    <t>41.54</t>
  </si>
  <si>
    <t>Hutchinson County Library - Stinnett</t>
  </si>
  <si>
    <t>41.55</t>
  </si>
  <si>
    <t>Guadalupe and Lilia Martinez Zapata County Public Branch Library</t>
  </si>
  <si>
    <t>432.267</t>
  </si>
  <si>
    <t>Laura Bush Community Library</t>
  </si>
  <si>
    <t>452.380</t>
  </si>
  <si>
    <t>Southmost Branch Library</t>
  </si>
  <si>
    <t>49.362</t>
  </si>
  <si>
    <t>Orange Grove School/Public Library</t>
  </si>
  <si>
    <t>5.2</t>
  </si>
  <si>
    <t>Premont Public Library</t>
  </si>
  <si>
    <t>5.3</t>
  </si>
  <si>
    <t>Brownwood Public Library Local History &amp; Genealogy Library</t>
  </si>
  <si>
    <t>50.364</t>
  </si>
  <si>
    <t>Duval County/Freer Branch Library</t>
  </si>
  <si>
    <t>502.294</t>
  </si>
  <si>
    <t>Duval County/Benavides Branch Library</t>
  </si>
  <si>
    <t>502.308</t>
  </si>
  <si>
    <t>Carnegie Center of Brazos Valley History</t>
  </si>
  <si>
    <t>51.301</t>
  </si>
  <si>
    <t>Clara B Mounce Public Library</t>
  </si>
  <si>
    <t>51.379</t>
  </si>
  <si>
    <t>Larry J Ringer Public Library</t>
  </si>
  <si>
    <t>51.57</t>
  </si>
  <si>
    <t>517.316</t>
  </si>
  <si>
    <t>Garfield Library</t>
  </si>
  <si>
    <t>552.385</t>
  </si>
  <si>
    <t>Bertram Free Library</t>
  </si>
  <si>
    <t>56.58</t>
  </si>
  <si>
    <t>Oakalla Public Library</t>
  </si>
  <si>
    <t>56.59</t>
  </si>
  <si>
    <t>Herman Brown Free Library</t>
  </si>
  <si>
    <t>56.60</t>
  </si>
  <si>
    <t>Marble Falls Public Library</t>
  </si>
  <si>
    <t>56.61</t>
  </si>
  <si>
    <t>Carrollton Public Library @ Hebron and Josey</t>
  </si>
  <si>
    <t>64.340</t>
  </si>
  <si>
    <t>BiblioTech Central Jury Room</t>
  </si>
  <si>
    <t>649.403</t>
  </si>
  <si>
    <t>George &amp; Cynthia Woods Mitchell Library</t>
  </si>
  <si>
    <t>86.363</t>
  </si>
  <si>
    <t>Malcolm Purvis Library-Magnolia</t>
  </si>
  <si>
    <t>86.63</t>
  </si>
  <si>
    <t>Charles B Stewart-West Branch Library</t>
  </si>
  <si>
    <t>86.64</t>
  </si>
  <si>
    <t>RB Tullis Library</t>
  </si>
  <si>
    <t>86.65</t>
  </si>
  <si>
    <t>South Regional Library</t>
  </si>
  <si>
    <t>86.66</t>
  </si>
  <si>
    <t>RF Meador Branch Library</t>
  </si>
  <si>
    <t>86.67</t>
  </si>
  <si>
    <t>Dr Clotilde P Garcia Public Library</t>
  </si>
  <si>
    <t>88.376</t>
  </si>
  <si>
    <t>Neyland Public Library</t>
  </si>
  <si>
    <t>88.68</t>
  </si>
  <si>
    <t>Ben F McDonald Public Library</t>
  </si>
  <si>
    <t>88.69</t>
  </si>
  <si>
    <t>Owen R Hopkins Public Library</t>
  </si>
  <si>
    <t>88.70</t>
  </si>
  <si>
    <t>Janet F Harte Public Library</t>
  </si>
  <si>
    <t>88.71</t>
  </si>
  <si>
    <t>9.331</t>
  </si>
  <si>
    <t>9.5</t>
  </si>
  <si>
    <t>North Branch Library</t>
  </si>
  <si>
    <t>9.6</t>
  </si>
  <si>
    <t>9.7</t>
  </si>
  <si>
    <t>Encinal Library</t>
  </si>
  <si>
    <t>91.400</t>
  </si>
  <si>
    <t>Lorenzo Library</t>
  </si>
  <si>
    <t>94.72</t>
  </si>
  <si>
    <t>Ralls Library</t>
  </si>
  <si>
    <t>94.73</t>
  </si>
  <si>
    <t>Sqft:Q467</t>
  </si>
  <si>
    <t>Hrs:Q480</t>
  </si>
  <si>
    <t>Wks:Q479</t>
  </si>
  <si>
    <t>Row Labels</t>
  </si>
  <si>
    <t>Grand Total</t>
  </si>
  <si>
    <t>Values</t>
  </si>
  <si>
    <t>Sum of Sqft:Q467</t>
  </si>
  <si>
    <t>Sum of Hrs:Q480</t>
  </si>
  <si>
    <t>7.4 Children's materials circulation - physical formats</t>
  </si>
  <si>
    <t>7.5 Circulation of Children's Materials-Digital formats</t>
  </si>
  <si>
    <t>7.6 Circulation-Physical formats</t>
  </si>
  <si>
    <t>7.7 Circulation-Digital formats</t>
  </si>
  <si>
    <t>7.9 Total Circulation</t>
  </si>
  <si>
    <t>7.2 Library Visits</t>
  </si>
  <si>
    <t>7.3 Registered Users</t>
  </si>
  <si>
    <t>7.0 Does the library have a Long-Range Plan?</t>
  </si>
  <si>
    <t>10.5 Number of Wi-Fi Sessions</t>
  </si>
  <si>
    <t>Library Materials Expenditures Per Capita</t>
  </si>
  <si>
    <t>Total Operating Expenditures Per Capita</t>
  </si>
  <si>
    <t>Wages and Benefits as % of Total Operating Expenditures</t>
  </si>
  <si>
    <t>Library Materials as % of Total Operating Expenditures</t>
  </si>
  <si>
    <t>Other Operating Expenditures as % Total Operating Expenditures</t>
  </si>
  <si>
    <t>8.9  Does the library have a photocopier for use by staff?</t>
  </si>
  <si>
    <t>to see how your library compares to ones of similar size 
or to statewide measures</t>
  </si>
  <si>
    <t>1.6MailCity</t>
  </si>
  <si>
    <t>7.9 Number of Children's programs provided by the library</t>
  </si>
  <si>
    <t>7.11 Number of Young Adult programs provided by the library</t>
  </si>
  <si>
    <t>7.13 Number of Adult programs provided by the library</t>
  </si>
  <si>
    <t>7.15 Total Number of Library Programs</t>
  </si>
  <si>
    <t>7.10 Attendance at Children's Programs provided by the library</t>
  </si>
  <si>
    <t>7.14 Attendance at Adult Programs provided by the library</t>
  </si>
  <si>
    <t>7.16 Total Attendance at Library Programs</t>
  </si>
  <si>
    <t>10.6b Number of website visits.</t>
  </si>
  <si>
    <t>11.3 How many unduplicated hours is the library and its branches open per week during a regular scheduled week?</t>
  </si>
  <si>
    <t>Total Local Operating Expenditures</t>
  </si>
  <si>
    <t>Local Government Revenue Per Capita</t>
  </si>
  <si>
    <t/>
  </si>
  <si>
    <t>6.12 Other Licensed Electronic Collections/ Databases</t>
  </si>
  <si>
    <t>Library ID</t>
  </si>
  <si>
    <t>Children's circ per capita - physical formats</t>
  </si>
  <si>
    <t>Children's circ per capita - digital formats</t>
  </si>
  <si>
    <t>Circulation per capita - physical formats (excludes children's)</t>
  </si>
  <si>
    <t>Circulation per capita - digital formats (excludes children's)</t>
  </si>
  <si>
    <t>754,783</t>
  </si>
  <si>
    <t>Hours</t>
  </si>
  <si>
    <t>4,208,294</t>
  </si>
  <si>
    <t>SqFt</t>
  </si>
  <si>
    <t>Sum of Hours</t>
  </si>
  <si>
    <t>Sum of SqFt</t>
  </si>
  <si>
    <t>Branch info</t>
  </si>
  <si>
    <t>Global Totals/Average</t>
  </si>
  <si>
    <t>Federal Revenue</t>
  </si>
  <si>
    <t>Physical Material Expenditure per circulation</t>
  </si>
  <si>
    <t>Digital Material Expenditure per circulation</t>
  </si>
  <si>
    <t>Total Volunteer Hours (Per Year)</t>
  </si>
  <si>
    <t>Local-Licensed Databases</t>
  </si>
  <si>
    <t>Other Measures Charts</t>
  </si>
  <si>
    <t>6.10 Local-Licensed Electronic Collection/ Databases</t>
  </si>
  <si>
    <t>9.1 Does your library offer statewide ILL for your patrons?</t>
  </si>
  <si>
    <t>6.4 Books in Print - Items</t>
  </si>
  <si>
    <t>5.6 Operating Revenue - Other Federal Funds</t>
  </si>
  <si>
    <t>5.7 Operating Revenue - Foundation &amp; Corporate Grants</t>
  </si>
  <si>
    <t>5.8 Operating Revenue - Other Local Sources</t>
  </si>
  <si>
    <t xml:space="preserve"> Subtotal-Other Operating Revenue</t>
  </si>
  <si>
    <t>5.9 Total Operating Revenue</t>
  </si>
  <si>
    <t>5.10 Capital Revenue - City Cities or Library District</t>
  </si>
  <si>
    <t>5.12 Capital Revenue - School Districts</t>
  </si>
  <si>
    <t>5.13 Capital Revenue - Other State Funds</t>
  </si>
  <si>
    <t>5.14 Capital Revenue - Other Federal Funds</t>
  </si>
  <si>
    <t>5.15 Capital Revenue - Foundation &amp; Corporate Grants</t>
  </si>
  <si>
    <t>5.16 Other Capital Revenue</t>
  </si>
  <si>
    <t>5.17 Total Capital Revenue</t>
  </si>
  <si>
    <t>6.5 Audio - Physical Materials - Items</t>
  </si>
  <si>
    <t>6.8 Audio - Downloadable - Units</t>
  </si>
  <si>
    <t>6.6 Video - Physical Materials - Items</t>
  </si>
  <si>
    <t>6.9 Video - Downloadable - Units</t>
  </si>
  <si>
    <t>6.7 Electronic Books</t>
  </si>
  <si>
    <t>ILL/RESOURCE SHARING</t>
  </si>
  <si>
    <t>Local Government Expenditures</t>
  </si>
  <si>
    <t>Subtotal: Local Government Operating Revenue</t>
  </si>
  <si>
    <t>ALAMANCE</t>
  </si>
  <si>
    <t>HERTFORD</t>
  </si>
  <si>
    <t>ALEXANDER</t>
  </si>
  <si>
    <t>ASHE</t>
  </si>
  <si>
    <t>YANCEY</t>
  </si>
  <si>
    <t>BEAUFORT</t>
  </si>
  <si>
    <t>BLADEN</t>
  </si>
  <si>
    <t>NASH</t>
  </si>
  <si>
    <t>BRUNSWICK</t>
  </si>
  <si>
    <t>BUNCOMBE</t>
  </si>
  <si>
    <t>BURKE</t>
  </si>
  <si>
    <t>CABARRUS</t>
  </si>
  <si>
    <t>CALDWELL</t>
  </si>
  <si>
    <t>CASWELL</t>
  </si>
  <si>
    <t>CATAWBA</t>
  </si>
  <si>
    <t>ORANGE</t>
  </si>
  <si>
    <t>MECKLENBURG</t>
  </si>
  <si>
    <t>CHATHAM</t>
  </si>
  <si>
    <t>CLEVELAND</t>
  </si>
  <si>
    <t>COLUMBUS</t>
  </si>
  <si>
    <t>CRAVEN</t>
  </si>
  <si>
    <t>CUMBERLAND</t>
  </si>
  <si>
    <t>DAVIDSON</t>
  </si>
  <si>
    <t>DAVIE</t>
  </si>
  <si>
    <t>DUPLIN</t>
  </si>
  <si>
    <t>DURHAM</t>
  </si>
  <si>
    <t>PASQUOTANK</t>
  </si>
  <si>
    <t>EDGECOMBE</t>
  </si>
  <si>
    <t>PITT</t>
  </si>
  <si>
    <t>SWAIN</t>
  </si>
  <si>
    <t>FORSYTH</t>
  </si>
  <si>
    <t>FRANKLIN</t>
  </si>
  <si>
    <t>GASTON</t>
  </si>
  <si>
    <t>Guilford</t>
  </si>
  <si>
    <t>GRANVILLE</t>
  </si>
  <si>
    <t>GUILFORD</t>
  </si>
  <si>
    <t>HALIFAX</t>
  </si>
  <si>
    <t>HARNETT</t>
  </si>
  <si>
    <t>HAYWOOD</t>
  </si>
  <si>
    <t>HENDERSON</t>
  </si>
  <si>
    <t>Johnston</t>
  </si>
  <si>
    <t>IREDELL</t>
  </si>
  <si>
    <t>LEE</t>
  </si>
  <si>
    <t>LINCOLN</t>
  </si>
  <si>
    <t>MADISON</t>
  </si>
  <si>
    <t>MCDOWELL</t>
  </si>
  <si>
    <t>CHEROKEE</t>
  </si>
  <si>
    <t>LENOIR</t>
  </si>
  <si>
    <t>NEW HANOVER</t>
  </si>
  <si>
    <t>SURRY</t>
  </si>
  <si>
    <t>ONSLOW</t>
  </si>
  <si>
    <t>PENDER</t>
  </si>
  <si>
    <t>VANCE</t>
  </si>
  <si>
    <t>PERSON</t>
  </si>
  <si>
    <t>CHOWAN, PERQUIMANS,</t>
  </si>
  <si>
    <t>POLK</t>
  </si>
  <si>
    <t>JOHNSTON</t>
  </si>
  <si>
    <t>RANDOLPH</t>
  </si>
  <si>
    <t>ROBESON</t>
  </si>
  <si>
    <t>ROCKINGHAM</t>
  </si>
  <si>
    <t>ROWAN</t>
  </si>
  <si>
    <t>RUTHERFORD</t>
  </si>
  <si>
    <t>SAMPSON</t>
  </si>
  <si>
    <t>RICHMOND</t>
  </si>
  <si>
    <t>SCOTLAND</t>
  </si>
  <si>
    <t>MOORE</t>
  </si>
  <si>
    <t>STANLY</t>
  </si>
  <si>
    <t>TRANSYLVANIA</t>
  </si>
  <si>
    <t>UNION</t>
  </si>
  <si>
    <t>WAKE</t>
  </si>
  <si>
    <t>WARREN</t>
  </si>
  <si>
    <t>WAYNE</t>
  </si>
  <si>
    <t>WILSON</t>
  </si>
  <si>
    <t>Regional</t>
  </si>
  <si>
    <t>Municipal</t>
  </si>
  <si>
    <t>NC0103</t>
  </si>
  <si>
    <t>NC0001</t>
  </si>
  <si>
    <t>NC0016</t>
  </si>
  <si>
    <t>NC0002</t>
  </si>
  <si>
    <t>NC0003</t>
  </si>
  <si>
    <t>NC0004</t>
  </si>
  <si>
    <t>NC0017</t>
  </si>
  <si>
    <t>NC0046</t>
  </si>
  <si>
    <t>NC0018</t>
  </si>
  <si>
    <t>NC0019</t>
  </si>
  <si>
    <t>NC0020</t>
  </si>
  <si>
    <t>NC0021</t>
  </si>
  <si>
    <t>NC0022</t>
  </si>
  <si>
    <t>NC0107</t>
  </si>
  <si>
    <t>NC0023</t>
  </si>
  <si>
    <t>NC0071</t>
  </si>
  <si>
    <t>NC0045</t>
  </si>
  <si>
    <t>NC0104</t>
  </si>
  <si>
    <t>NC0024</t>
  </si>
  <si>
    <t>NC0025</t>
  </si>
  <si>
    <t>NC0006</t>
  </si>
  <si>
    <t>NC0026</t>
  </si>
  <si>
    <t>NC0027</t>
  </si>
  <si>
    <t>NC0028</t>
  </si>
  <si>
    <t>NC0029</t>
  </si>
  <si>
    <t>NC0030</t>
  </si>
  <si>
    <t>NC0007</t>
  </si>
  <si>
    <t>NC0031</t>
  </si>
  <si>
    <t>NC0075</t>
  </si>
  <si>
    <t>NC0008</t>
  </si>
  <si>
    <t>NC0032</t>
  </si>
  <si>
    <t>NC0033</t>
  </si>
  <si>
    <t>NC0105</t>
  </si>
  <si>
    <t>NC0099</t>
  </si>
  <si>
    <t>NC0111</t>
  </si>
  <si>
    <t>NC0034</t>
  </si>
  <si>
    <t>NC0035</t>
  </si>
  <si>
    <t>NC0036</t>
  </si>
  <si>
    <t>NC0037</t>
  </si>
  <si>
    <t>NC0102</t>
  </si>
  <si>
    <t>NC0038</t>
  </si>
  <si>
    <t>NC0039</t>
  </si>
  <si>
    <t>NC0079</t>
  </si>
  <si>
    <t>NC0080</t>
  </si>
  <si>
    <t>NC0110</t>
  </si>
  <si>
    <t>NC0040</t>
  </si>
  <si>
    <t>NC0100</t>
  </si>
  <si>
    <t>NC0042</t>
  </si>
  <si>
    <t>NC0106</t>
  </si>
  <si>
    <t>NC0043</t>
  </si>
  <si>
    <t>NC0044</t>
  </si>
  <si>
    <t>NC0083</t>
  </si>
  <si>
    <t>NC0011</t>
  </si>
  <si>
    <t>NC0012</t>
  </si>
  <si>
    <t>NC0047</t>
  </si>
  <si>
    <t>NC0013</t>
  </si>
  <si>
    <t>NC0048</t>
  </si>
  <si>
    <t>NC0108</t>
  </si>
  <si>
    <t>NC0049</t>
  </si>
  <si>
    <t>NC0062</t>
  </si>
  <si>
    <t>NC0109</t>
  </si>
  <si>
    <t>NC0014</t>
  </si>
  <si>
    <t>NC0051</t>
  </si>
  <si>
    <t>NC0041</t>
  </si>
  <si>
    <t>NC0052</t>
  </si>
  <si>
    <t>NC0088</t>
  </si>
  <si>
    <t>NC0053</t>
  </si>
  <si>
    <t>NC0054</t>
  </si>
  <si>
    <t>NC0055</t>
  </si>
  <si>
    <t>NC0056</t>
  </si>
  <si>
    <t>NC0057</t>
  </si>
  <si>
    <t>NC0015</t>
  </si>
  <si>
    <t>NC0058</t>
  </si>
  <si>
    <t>NC0050</t>
  </si>
  <si>
    <t>NC0093</t>
  </si>
  <si>
    <t>NC0059</t>
  </si>
  <si>
    <t>NC0060</t>
  </si>
  <si>
    <t>NC0061</t>
  </si>
  <si>
    <t>NC0063</t>
  </si>
  <si>
    <t>NC0101</t>
  </si>
  <si>
    <t>NC0065</t>
  </si>
  <si>
    <t>NC0066</t>
  </si>
  <si>
    <t>7.4 Children's materials circulation - all formats</t>
  </si>
  <si>
    <t>Children's Circulation</t>
  </si>
  <si>
    <t>Physical Item Usage</t>
  </si>
  <si>
    <t>Digital Item Usage</t>
  </si>
  <si>
    <t>Total Collection Use</t>
  </si>
  <si>
    <t>Director's Salary</t>
  </si>
  <si>
    <t xml:space="preserve">ALAMANCE </t>
  </si>
  <si>
    <t xml:space="preserve">ALBEMARLE REGIONAL </t>
  </si>
  <si>
    <t xml:space="preserve">ALEXANDER </t>
  </si>
  <si>
    <t xml:space="preserve">APPALACHIAN REGIONAL </t>
  </si>
  <si>
    <t>AMY REGIONAL</t>
  </si>
  <si>
    <t>BHM REGIONAL</t>
  </si>
  <si>
    <t xml:space="preserve">BLADEN </t>
  </si>
  <si>
    <t>BRASWELL (Nash)</t>
  </si>
  <si>
    <t>CHAPEL HILL</t>
  </si>
  <si>
    <t>CHARLOTTE MECKLENBURG</t>
  </si>
  <si>
    <t>E. ALBEMARLE REGIONAL</t>
  </si>
  <si>
    <t>FARMVILLE</t>
  </si>
  <si>
    <t>FONTANA REGIONAL</t>
  </si>
  <si>
    <t>GIBSONVILLE</t>
  </si>
  <si>
    <t>BROWN (Washington)</t>
  </si>
  <si>
    <t>HAROLD D. COOLEY (Nashville)</t>
  </si>
  <si>
    <t>HICKORY</t>
  </si>
  <si>
    <t>HIGH POINT</t>
  </si>
  <si>
    <t>HOCUTT ELLINGTON (Clayton)</t>
  </si>
  <si>
    <t>JACOB MAUNEY (Kings Mountain)</t>
  </si>
  <si>
    <t xml:space="preserve">MCDOWELL </t>
  </si>
  <si>
    <t>MOORESVILLE</t>
  </si>
  <si>
    <t>NANTAHALA REGIONAL</t>
  </si>
  <si>
    <t>NEUSE REGIONAL</t>
  </si>
  <si>
    <t>H. LESLIE PERRY (Vance)</t>
  </si>
  <si>
    <t>PETTIGREW REGIONAL</t>
  </si>
  <si>
    <t>ROANOKE RAPIDS</t>
  </si>
  <si>
    <t>SAMPSON-CLINTON</t>
  </si>
  <si>
    <t>SANDHILL REGIONAL</t>
  </si>
  <si>
    <t xml:space="preserve">PITT (SHEPPARD) </t>
  </si>
  <si>
    <t>SOUTHERN PINES</t>
  </si>
  <si>
    <t>Materials Expenditures</t>
  </si>
  <si>
    <t>5.1 Operating Revenue - Municipal</t>
  </si>
  <si>
    <t>5.2 Operating Revenue - County</t>
  </si>
  <si>
    <t>5.11 Capital Revenue - Local</t>
  </si>
  <si>
    <t>Comparison Library 1:</t>
  </si>
  <si>
    <t>Comparison Library 2:</t>
  </si>
  <si>
    <t>Comparison Library 3:</t>
  </si>
  <si>
    <t>Comparison Library 4:</t>
  </si>
  <si>
    <t>Collection Use Per Capita</t>
  </si>
  <si>
    <t>Collection Use Per Paid Staff Member</t>
  </si>
  <si>
    <t>Collection Use Per Hour</t>
  </si>
  <si>
    <t>Collection Use Per Library Visit</t>
  </si>
  <si>
    <t>Then click on one or more of  these links:</t>
  </si>
  <si>
    <t xml:space="preserve"> Then click this link:</t>
  </si>
  <si>
    <t>Choose Your Library's  from the drop-down menu here:</t>
  </si>
  <si>
    <t>2.4 Total Square footage</t>
  </si>
  <si>
    <t>These charts are licensed under a Creative Commons Attribution-NonCommercial-ShareAlike 4.0 International License, based on the work of Connecticut State Library at  http://libguides.ctstatelibrary.org/dld/stats/chartmakers and Texas State Library and Archives Commission</t>
  </si>
  <si>
    <t>Total Square Footage</t>
  </si>
  <si>
    <t>Total Public Service Hours</t>
  </si>
  <si>
    <t>ALAMANCE COUNTY PUBLIC LIBRARIES</t>
  </si>
  <si>
    <t>ALBEMARLE REGIONAL LIBRARY</t>
  </si>
  <si>
    <t>ALEXANDER COUNTY LIBRARY</t>
  </si>
  <si>
    <t>APPALACHIAN REGIONAL LIBRARY</t>
  </si>
  <si>
    <t>AVERY-MITCHELL-YANCEY REGIONAL LIBRARY</t>
  </si>
  <si>
    <t>BEAUFORT-HYDE-MARTIN REGIONAL LIBRARY</t>
  </si>
  <si>
    <t>BLADEN COUNTY PUBLIC LIBRARY</t>
  </si>
  <si>
    <t>BRUNSWICK COUNTY LIBRARY</t>
  </si>
  <si>
    <t>BUNCOMBE COUNTY PUBLIC LIBRARIES</t>
  </si>
  <si>
    <t>BURKE COUNTY PUBLIC LIBRARY</t>
  </si>
  <si>
    <t>CABARRUS COUNTY PUBLIC LIBRARY</t>
  </si>
  <si>
    <t>CALDWELL COUNTY PUBLIC LIBRARY</t>
  </si>
  <si>
    <t>CASWELL COUNTY PUBLIC LIBRARY</t>
  </si>
  <si>
    <t>CATAWBA COUNTY LIBRARY</t>
  </si>
  <si>
    <t>CHAPEL HILL PUBLIC LIBRARY</t>
  </si>
  <si>
    <t>CHARLOTTE MECKLENBURG LIBRARY</t>
  </si>
  <si>
    <t>CHATHAM COUNTY PUBLIC LIBRARIES</t>
  </si>
  <si>
    <t>CLEVELAND COUNTY MEMORIAL LIBRARY</t>
  </si>
  <si>
    <t>COLUMBUS COUNTY PUBLIC LIBRARY</t>
  </si>
  <si>
    <t>DAVIDSON COUNTY PUBLIC LIBRARY SYSTEM</t>
  </si>
  <si>
    <t>DAVIE COUNTY PUBLIC LIBRARY</t>
  </si>
  <si>
    <t>DUPLIN COUNTY LIBRARY</t>
  </si>
  <si>
    <t>DURHAM COUNTY LIBRARY</t>
  </si>
  <si>
    <t>EAST ALBEMARLE REGIONAL LIBRARY</t>
  </si>
  <si>
    <t>EDGECOMBE COUNTY MEMORIAL LIBRARY</t>
  </si>
  <si>
    <t>FARMVILLE PUBLIC LIBRARY</t>
  </si>
  <si>
    <t>FONTANA REGIONAL LIBRARY</t>
  </si>
  <si>
    <t>FORSYTH COUNTY PUBLIC LIBRARY</t>
  </si>
  <si>
    <t>FRANKLIN COUNTY LIBRARY</t>
  </si>
  <si>
    <t>GASTON COUNTY PUBLIC LIBRARY</t>
  </si>
  <si>
    <t>GEORGE H. AND LAURA E. BROWN PUBLIC LIBRARY</t>
  </si>
  <si>
    <t>GIBSONVILLE PUBLIC LIBRARY</t>
  </si>
  <si>
    <t>GRANVILLE COUNTY LIBRARY SYSTEM</t>
  </si>
  <si>
    <t>GREENSBORO PUBLIC LIBRARY</t>
  </si>
  <si>
    <t>HALIFAX COUNTY LIBRARY SYSTEM</t>
  </si>
  <si>
    <t>HARNETT COUNTY PUBLIC LIBRARY</t>
  </si>
  <si>
    <t>HAROLD D. COOLEY LIBRARY</t>
  </si>
  <si>
    <t>HAYWOOD COUNTY PUBLIC LIBRARY</t>
  </si>
  <si>
    <t>HENDERSON COUNTY PUBLIC LIBRARY</t>
  </si>
  <si>
    <t>HICKORY PUBLIC LIBRARY</t>
  </si>
  <si>
    <t>HIGH POINT PUBLIC LIBRARY</t>
  </si>
  <si>
    <t>HOCUTT ELLINGTON MEMORIAL LIBRARY</t>
  </si>
  <si>
    <t>IREDELL COUNTY LIBRARY</t>
  </si>
  <si>
    <t>JACOB MAUNEY MEMORIAL LIBRARY</t>
  </si>
  <si>
    <t>LEE COUNTY LIBRARY</t>
  </si>
  <si>
    <t>LINCOLN COUNTY PUBLIC LIBRARY</t>
  </si>
  <si>
    <t>MADISON COUNTY PUBLIC LIBRARY</t>
  </si>
  <si>
    <t>MCDOWELL COUNTY PUBLIC LIBRARY</t>
  </si>
  <si>
    <t>MOORESVILLE PUBLIC LIBRARY</t>
  </si>
  <si>
    <t>NANTAHALA REGIONAL LIBRARY</t>
  </si>
  <si>
    <t>NEUSE REGIONAL LIBRARY</t>
  </si>
  <si>
    <t>NEW HANOVER COUNTY PUBLIC LIBRARY</t>
  </si>
  <si>
    <t>NORTHWESTERN REGIONAL LIBRARY</t>
  </si>
  <si>
    <t>ONSLOW COUNTY PUBLIC LIBRARY</t>
  </si>
  <si>
    <t>PENDER COUNTY PUBLIC LIBRARY</t>
  </si>
  <si>
    <t>PERSON COUNTY PUBLIC LIBRARY</t>
  </si>
  <si>
    <t>PETTIGREW REGIONAL LIBRARY</t>
  </si>
  <si>
    <t>PUBLIC LIBRARY OF JOHNSTON COUNTY &amp; SMITHFIELD</t>
  </si>
  <si>
    <t>RANDOLPH PUBLIC LIBRARY</t>
  </si>
  <si>
    <t>ROANOKE RAPIDS PUBLIC LIBRARY</t>
  </si>
  <si>
    <t>ROBESON COUNTY PUBLIC LIBRARY</t>
  </si>
  <si>
    <t>ROCKINGHAM COUNTY PUBLIC LIBRARY</t>
  </si>
  <si>
    <t>ROWAN PUBLIC LIBRARY</t>
  </si>
  <si>
    <t>RUTHERFORD COUNTY LIBRARY</t>
  </si>
  <si>
    <t>SANDHILL REGIONAL LIBRARY SYSTEM</t>
  </si>
  <si>
    <t>SCOTLAND COUNTY MEMORIAL LIBRARY</t>
  </si>
  <si>
    <t>SHEPPARD MEMORIAL LIBRARY</t>
  </si>
  <si>
    <t>SOUTHERN PINES PUBLIC LIBRARY</t>
  </si>
  <si>
    <t>STANLY COUNTY PUBLIC LIBRARY</t>
  </si>
  <si>
    <t>TRANSYLVANIA COUNTY LIBRARY</t>
  </si>
  <si>
    <t>UNION COUNTY PUBLIC LIBRARY</t>
  </si>
  <si>
    <t>WAKE COUNTY PUBLIC LIBRARIES</t>
  </si>
  <si>
    <t>WARREN COUNTY MEMORIAL LIBRARY</t>
  </si>
  <si>
    <t>WAYNE COUNTY PUBLIC LIBRARY</t>
  </si>
  <si>
    <t>WILSON COUNTY PUBLIC LIBRARY</t>
  </si>
  <si>
    <t>ORANGE COUNTY PUBLIC LIBRARY</t>
  </si>
  <si>
    <t>H. LESLIE PERRY MEMORIAL LIBRARY</t>
  </si>
  <si>
    <t>SAMPSON-CLINTON PUBLIC LIBRARY</t>
  </si>
  <si>
    <t>For more information contact: Amanda Johnson, Data Analysis &amp; Communication Consultant, State Library of North Carolina
amanda.johnson@ncdcr.gov</t>
  </si>
  <si>
    <t>NW REGIONAL</t>
  </si>
  <si>
    <t>Customized Library Data and Comparison Charts for Fiscal Year 2021</t>
  </si>
  <si>
    <t>Library Comparison Charts for Fiscal Year (FY) 2021</t>
  </si>
  <si>
    <t>BRASWELL MEMORIAL PUBLIC LIBRARY</t>
  </si>
  <si>
    <t>Carteret County Public Library System</t>
  </si>
  <si>
    <t>CARTERET</t>
  </si>
  <si>
    <t>CHARLOTTE</t>
  </si>
  <si>
    <t>CRAVEN-PAMLICO REGIONAL LIBRARY</t>
  </si>
  <si>
    <t>CUMBERLAND COUNTY PUBLIC LIBRARY</t>
  </si>
  <si>
    <t>GIVENS MEMORIAL LIBRARY &amp; TUFTS ARCHIVE</t>
  </si>
  <si>
    <t>MUNICIPAL</t>
  </si>
  <si>
    <t>POLK COUNTY PUBLIC LIBRARIES</t>
  </si>
  <si>
    <t>CP REGIONAL</t>
  </si>
  <si>
    <t>PINEHURST (Givens)</t>
  </si>
  <si>
    <t>Fiscal Year 2021 Public Library Data</t>
  </si>
  <si>
    <t>2021 Quick Report</t>
  </si>
  <si>
    <t>2021 Charts</t>
  </si>
  <si>
    <t>2021 Comparison Charts</t>
  </si>
  <si>
    <t>Library Data Charts for Fiscal Year (FY) 2021</t>
  </si>
  <si>
    <t>rev 8.10.22vg</t>
  </si>
  <si>
    <t>ALBEMARLE REGIONAL</t>
  </si>
  <si>
    <t>APPALACHIAN REGIONAL</t>
  </si>
  <si>
    <t>BRASWELL MEMORIAL</t>
  </si>
  <si>
    <t>E.ALBEMARLE REGIONAL</t>
  </si>
  <si>
    <t>BROWN</t>
  </si>
  <si>
    <t xml:space="preserve">GIVENS MEMORIAL </t>
  </si>
  <si>
    <t xml:space="preserve">GREENSBORO </t>
  </si>
  <si>
    <t>HAROLD D. COOLEY</t>
  </si>
  <si>
    <t>HOCUTT ELLINGTON</t>
  </si>
  <si>
    <t>JACOB MAUNEY MEMORIAL</t>
  </si>
  <si>
    <t xml:space="preserve">NEUSE REGIONAL </t>
  </si>
  <si>
    <t>NORTHWESTERN REGIONAL</t>
  </si>
  <si>
    <t>PERRY MEMORIAL</t>
  </si>
  <si>
    <t>SHEPPARD MEMORIAL</t>
  </si>
  <si>
    <t>SOUTHERN PINES PUBLIC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</si>
</sst>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0.0%"/>
    <numFmt numFmtId="166" formatCode="[&lt;=9999999]###\-####;\(###\)\ ###\-####"/>
    <numFmt numFmtId="167" formatCode="[&lt;=999999999999999]###\-####;\(###\)\ ###\-####\ \x#####"/>
    <numFmt numFmtId="168" formatCode="[&lt;=99999]00000;[&lt;=999999999]00000\-0000"/>
    <numFmt numFmtId="169" formatCode="_(* #,##0_);_(* \(#,##0\);_(* &quot;-&quot;??_);_(@_)"/>
    <numFmt numFmtId="170" formatCode="&quot;$&quot;#,##0.00"/>
  </numFmts>
  <fonts count="116" x14ac:knownFonts="1">
    <font>
      <sz val="11"/>
      <color theme="1"/>
      <name val="Book Antiqua"/>
      <family val="2"/>
      <scheme val="minor"/>
    </font>
    <font>
      <sz val="12"/>
      <color theme="1"/>
      <name val="Book Antiqua"/>
      <family val="2"/>
      <scheme val="minor"/>
    </font>
    <font>
      <b/>
      <sz val="10"/>
      <name val="Arial Narrow"/>
      <family val="2"/>
    </font>
    <font>
      <sz val="10"/>
      <name val="Arial Narrow"/>
      <family val="2"/>
    </font>
    <font>
      <sz val="11"/>
      <color theme="1"/>
      <name val="Book Antiqua"/>
      <family val="2"/>
      <scheme val="minor"/>
    </font>
    <font>
      <u/>
      <sz val="11"/>
      <color theme="10"/>
      <name val="Calibri"/>
      <family val="2"/>
    </font>
    <font>
      <b/>
      <sz val="14"/>
      <color theme="1"/>
      <name val="Book Antiqua"/>
      <family val="2"/>
      <scheme val="minor"/>
    </font>
    <font>
      <b/>
      <sz val="16"/>
      <color theme="1"/>
      <name val="Book Antiqua"/>
      <family val="2"/>
      <scheme val="minor"/>
    </font>
    <font>
      <b/>
      <sz val="11"/>
      <color theme="1"/>
      <name val="Calibri"/>
      <family val="2"/>
    </font>
    <font>
      <sz val="11"/>
      <name val="Book Antiqua"/>
      <family val="2"/>
      <scheme val="minor"/>
    </font>
    <font>
      <b/>
      <sz val="22"/>
      <color theme="1"/>
      <name val="Book Antiqua"/>
      <family val="2"/>
      <scheme val="minor"/>
    </font>
    <font>
      <b/>
      <sz val="18"/>
      <color theme="1"/>
      <name val="Book Antiqua"/>
      <family val="2"/>
      <scheme val="minor"/>
    </font>
    <font>
      <b/>
      <u/>
      <sz val="16"/>
      <color theme="10"/>
      <name val="Calibri"/>
      <family val="2"/>
    </font>
    <font>
      <b/>
      <sz val="11"/>
      <color theme="1"/>
      <name val="Book Antiqua"/>
      <family val="2"/>
      <scheme val="minor"/>
    </font>
    <font>
      <b/>
      <sz val="18"/>
      <color theme="3"/>
      <name val="Lucida Sans"/>
      <family val="2"/>
      <scheme val="major"/>
    </font>
    <font>
      <b/>
      <sz val="15"/>
      <color theme="3"/>
      <name val="Book Antiqua"/>
      <family val="2"/>
      <scheme val="minor"/>
    </font>
    <font>
      <b/>
      <sz val="13"/>
      <color theme="3"/>
      <name val="Book Antiqua"/>
      <family val="2"/>
      <scheme val="minor"/>
    </font>
    <font>
      <b/>
      <sz val="11"/>
      <color theme="3"/>
      <name val="Book Antiqua"/>
      <family val="2"/>
      <scheme val="minor"/>
    </font>
    <font>
      <sz val="11"/>
      <color rgb="FF006100"/>
      <name val="Book Antiqua"/>
      <family val="2"/>
      <scheme val="minor"/>
    </font>
    <font>
      <sz val="11"/>
      <color rgb="FF9C0006"/>
      <name val="Book Antiqua"/>
      <family val="2"/>
      <scheme val="minor"/>
    </font>
    <font>
      <sz val="11"/>
      <color rgb="FF9C6500"/>
      <name val="Book Antiqua"/>
      <family val="2"/>
      <scheme val="minor"/>
    </font>
    <font>
      <sz val="11"/>
      <color rgb="FF3F3F76"/>
      <name val="Book Antiqua"/>
      <family val="2"/>
      <scheme val="minor"/>
    </font>
    <font>
      <b/>
      <sz val="11"/>
      <color rgb="FF3F3F3F"/>
      <name val="Book Antiqua"/>
      <family val="2"/>
      <scheme val="minor"/>
    </font>
    <font>
      <b/>
      <sz val="11"/>
      <color rgb="FFFA7D00"/>
      <name val="Book Antiqua"/>
      <family val="2"/>
      <scheme val="minor"/>
    </font>
    <font>
      <sz val="11"/>
      <color rgb="FFFA7D00"/>
      <name val="Book Antiqua"/>
      <family val="2"/>
      <scheme val="minor"/>
    </font>
    <font>
      <b/>
      <sz val="11"/>
      <color theme="0"/>
      <name val="Book Antiqua"/>
      <family val="2"/>
      <scheme val="minor"/>
    </font>
    <font>
      <sz val="11"/>
      <color rgb="FFFF0000"/>
      <name val="Book Antiqua"/>
      <family val="2"/>
      <scheme val="minor"/>
    </font>
    <font>
      <i/>
      <sz val="11"/>
      <color rgb="FF7F7F7F"/>
      <name val="Book Antiqua"/>
      <family val="2"/>
      <scheme val="minor"/>
    </font>
    <font>
      <sz val="11"/>
      <color theme="0"/>
      <name val="Book Antiqua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MS Sans Serif"/>
      <family val="2"/>
    </font>
    <font>
      <sz val="10"/>
      <name val="MS Sans Serif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i/>
      <sz val="11"/>
      <color theme="1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b/>
      <u/>
      <sz val="11"/>
      <color theme="1"/>
      <name val="Arial"/>
      <family val="2"/>
    </font>
    <font>
      <sz val="14"/>
      <color theme="1"/>
      <name val="Book Antiqua"/>
      <family val="2"/>
      <scheme val="minor"/>
    </font>
    <font>
      <sz val="10"/>
      <color theme="1"/>
      <name val="Calibri"/>
      <family val="2"/>
    </font>
    <font>
      <b/>
      <sz val="16"/>
      <color theme="1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22"/>
      <color theme="1"/>
      <name val="Calibri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u/>
      <sz val="14"/>
      <color theme="0" tint="-0.34998626667073579"/>
      <name val="Calibri"/>
      <family val="2"/>
    </font>
    <font>
      <b/>
      <sz val="12"/>
      <color theme="1"/>
      <name val="Calibri"/>
      <family val="2"/>
    </font>
    <font>
      <b/>
      <sz val="22"/>
      <color theme="1"/>
      <name val="Calibri"/>
      <family val="2"/>
    </font>
    <font>
      <sz val="16"/>
      <color theme="1"/>
      <name val="Calibri"/>
      <family val="2"/>
    </font>
    <font>
      <u/>
      <sz val="10"/>
      <color theme="10"/>
      <name val="Calibri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b/>
      <sz val="9"/>
      <color theme="1"/>
      <name val="Book Antiqua"/>
      <family val="2"/>
      <scheme val="minor"/>
    </font>
    <font>
      <sz val="9"/>
      <color theme="1"/>
      <name val="Book Antiqua"/>
      <family val="2"/>
      <scheme val="minor"/>
    </font>
    <font>
      <b/>
      <sz val="8"/>
      <color theme="0" tint="-0.499984740745262"/>
      <name val="Book Antiqua"/>
      <family val="1"/>
    </font>
    <font>
      <sz val="8"/>
      <color theme="0" tint="-0.499984740745262"/>
      <name val="Book Antiqua"/>
      <family val="1"/>
    </font>
    <font>
      <sz val="14"/>
      <name val="Arial Narrow"/>
      <family val="2"/>
    </font>
    <font>
      <i/>
      <sz val="8"/>
      <color theme="1"/>
      <name val="Book Antiqua"/>
      <family val="1"/>
      <scheme val="minor"/>
    </font>
    <font>
      <b/>
      <sz val="14"/>
      <color theme="1"/>
      <name val="Book Antiqua"/>
      <family val="1"/>
    </font>
    <font>
      <u/>
      <sz val="8"/>
      <color theme="10"/>
      <name val="Calibri"/>
      <family val="2"/>
    </font>
    <font>
      <b/>
      <sz val="8"/>
      <color theme="1"/>
      <name val="Book Antiqua"/>
      <family val="2"/>
      <scheme val="minor"/>
    </font>
    <font>
      <sz val="8"/>
      <color theme="1"/>
      <name val="Book Antiqua"/>
      <family val="2"/>
      <scheme val="minor"/>
    </font>
    <font>
      <u/>
      <sz val="8"/>
      <color theme="0" tint="-0.34998626667073579"/>
      <name val="Calibri"/>
      <family val="2"/>
    </font>
    <font>
      <sz val="8"/>
      <color theme="1"/>
      <name val="Book Antiqua"/>
      <family val="1"/>
    </font>
    <font>
      <sz val="10"/>
      <color indexed="8"/>
      <name val="Calibri"/>
      <family val="2"/>
    </font>
    <font>
      <sz val="10"/>
      <color indexed="8"/>
      <name val="Arial"/>
      <family val="2"/>
    </font>
    <font>
      <sz val="11"/>
      <color theme="0" tint="-4.9989318521683403E-2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b/>
      <sz val="10"/>
      <color indexed="8"/>
      <name val="Calibri"/>
      <family val="2"/>
    </font>
    <font>
      <b/>
      <i/>
      <sz val="10"/>
      <name val="Calibri"/>
      <family val="2"/>
    </font>
    <font>
      <b/>
      <sz val="10"/>
      <color theme="1"/>
      <name val="Calibri"/>
      <family val="2"/>
    </font>
    <font>
      <sz val="10"/>
      <color rgb="FFFF0000"/>
      <name val="Calibri"/>
      <family val="2"/>
    </font>
    <font>
      <sz val="11"/>
      <name val="Calibri"/>
      <family val="2"/>
    </font>
    <font>
      <sz val="11"/>
      <color indexed="8"/>
      <name val="Calibri"/>
      <family val="2"/>
    </font>
    <font>
      <sz val="8"/>
      <color rgb="FFFF0000"/>
      <name val="Calibri"/>
      <family val="2"/>
    </font>
    <font>
      <b/>
      <sz val="8"/>
      <color theme="1"/>
      <name val="Calibri"/>
      <family val="2"/>
    </font>
    <font>
      <sz val="8"/>
      <color theme="1"/>
      <name val="Calibri"/>
      <family val="2"/>
    </font>
    <font>
      <sz val="12"/>
      <color theme="1"/>
      <name val="Calibri"/>
      <family val="2"/>
    </font>
    <font>
      <sz val="12"/>
      <color theme="1"/>
      <name val="Book Antiqua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0"/>
      <name val="Book Antiqua"/>
      <family val="2"/>
      <scheme val="minor"/>
    </font>
    <font>
      <b/>
      <sz val="14"/>
      <color theme="0"/>
      <name val="Arial"/>
      <family val="2"/>
    </font>
    <font>
      <b/>
      <sz val="26"/>
      <color theme="0"/>
      <name val="Arial"/>
      <family val="2"/>
    </font>
    <font>
      <b/>
      <sz val="16"/>
      <color rgb="FF214F6B"/>
      <name val="Calibri"/>
      <family val="2"/>
    </font>
    <font>
      <sz val="11"/>
      <color rgb="FF214F6B"/>
      <name val="Calibri"/>
      <family val="2"/>
    </font>
    <font>
      <b/>
      <sz val="14"/>
      <color rgb="FF214F6B"/>
      <name val="Book Antiqua"/>
      <family val="1"/>
    </font>
    <font>
      <sz val="9"/>
      <color theme="0"/>
      <name val="Book Antiqua"/>
      <family val="2"/>
      <scheme val="minor"/>
    </font>
    <font>
      <sz val="8"/>
      <color theme="0"/>
      <name val="Book Antiqua"/>
      <family val="2"/>
      <scheme val="minor"/>
    </font>
    <font>
      <b/>
      <sz val="20"/>
      <color theme="0"/>
      <name val="Calibri"/>
      <family val="2"/>
    </font>
    <font>
      <b/>
      <sz val="16"/>
      <color theme="0"/>
      <name val="Calibri"/>
      <family val="2"/>
    </font>
    <font>
      <u/>
      <sz val="14"/>
      <color theme="0"/>
      <name val="Calibri"/>
      <family val="2"/>
    </font>
    <font>
      <b/>
      <sz val="14"/>
      <color theme="0"/>
      <name val="Calibri"/>
      <family val="2"/>
    </font>
    <font>
      <b/>
      <sz val="8"/>
      <color theme="0"/>
      <name val="Calibri"/>
      <family val="2"/>
    </font>
    <font>
      <b/>
      <sz val="8"/>
      <color theme="0"/>
      <name val="Book Antiqua"/>
      <family val="1"/>
    </font>
    <font>
      <sz val="11"/>
      <color theme="0"/>
      <name val="Calibri"/>
      <family val="2"/>
    </font>
    <font>
      <sz val="8"/>
      <color theme="0"/>
      <name val="Calibri"/>
      <family val="2"/>
    </font>
    <font>
      <sz val="8"/>
      <color theme="0"/>
      <name val="Book Antiqua"/>
      <family val="1"/>
    </font>
    <font>
      <sz val="20"/>
      <color theme="0"/>
      <name val="Book Antiqua"/>
      <family val="2"/>
      <scheme val="minor"/>
    </font>
    <font>
      <sz val="20"/>
      <color theme="0"/>
      <name val="Calibri"/>
      <family val="2"/>
    </font>
    <font>
      <u/>
      <sz val="20"/>
      <color theme="0"/>
      <name val="Calibri"/>
      <family val="2"/>
    </font>
    <font>
      <b/>
      <u/>
      <sz val="11"/>
      <color theme="10"/>
      <name val="Calibri"/>
      <family val="2"/>
    </font>
    <font>
      <b/>
      <sz val="22"/>
      <color rgb="FF214F6B"/>
      <name val="Gotham Black"/>
      <family val="3"/>
    </font>
    <font>
      <b/>
      <sz val="24"/>
      <color rgb="FF214F6B"/>
      <name val="Gotham Black"/>
      <family val="3"/>
    </font>
    <font>
      <sz val="14"/>
      <color rgb="FF214F6B"/>
      <name val="Calibri"/>
      <family val="2"/>
    </font>
    <font>
      <sz val="16"/>
      <color rgb="FF214F6B"/>
      <name val="Calibri"/>
      <family val="2"/>
    </font>
    <font>
      <sz val="12"/>
      <color rgb="FF214F6B"/>
      <name val="Calibri"/>
      <family val="2"/>
    </font>
    <font>
      <b/>
      <sz val="22"/>
      <color theme="0"/>
      <name val="Calibri"/>
      <family val="2"/>
    </font>
    <font>
      <sz val="12"/>
      <color theme="0"/>
      <name val="Calibri"/>
      <family val="2"/>
    </font>
    <font>
      <u/>
      <sz val="10"/>
      <color theme="0"/>
      <name val="Calibri"/>
      <family val="2"/>
    </font>
    <font>
      <sz val="12"/>
      <color indexed="8"/>
      <name val="Calibri"/>
      <family val="2"/>
    </font>
  </fonts>
  <fills count="4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EEEEE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22"/>
        <bgColor indexed="0"/>
      </patternFill>
    </fill>
    <fill>
      <patternFill patternType="solid">
        <fgColor theme="2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rgb="FFD4F0EE"/>
        <bgColor indexed="64"/>
      </patternFill>
    </fill>
    <fill>
      <patternFill patternType="solid">
        <fgColor rgb="FF214F6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0000"/>
        <bgColor indexed="64"/>
      </patternFill>
    </fill>
  </fills>
  <borders count="46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theme="7" tint="-0.24997711111789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214F6B"/>
      </left>
      <right style="thin">
        <color rgb="FF214F6B"/>
      </right>
      <top style="thin">
        <color rgb="FF214F6B"/>
      </top>
      <bottom style="thin">
        <color rgb="FF214F6B"/>
      </bottom>
      <diagonal/>
    </border>
    <border>
      <left style="thin">
        <color rgb="FF214F6B"/>
      </left>
      <right/>
      <top/>
      <bottom/>
      <diagonal/>
    </border>
    <border>
      <left style="thin">
        <color rgb="FF214F6B"/>
      </left>
      <right style="double">
        <color indexed="64"/>
      </right>
      <top style="thin">
        <color rgb="FF214F6B"/>
      </top>
      <bottom style="thin">
        <color rgb="FF214F6B"/>
      </bottom>
      <diagonal/>
    </border>
    <border>
      <left style="double">
        <color indexed="64"/>
      </left>
      <right style="thin">
        <color rgb="FF214F6B"/>
      </right>
      <top style="thin">
        <color rgb="FF214F6B"/>
      </top>
      <bottom style="thin">
        <color rgb="FF214F6B"/>
      </bottom>
      <diagonal/>
    </border>
    <border>
      <left style="thin">
        <color rgb="FF214F6B"/>
      </left>
      <right/>
      <top style="thin">
        <color rgb="FF214F6B"/>
      </top>
      <bottom style="thin">
        <color rgb="FF214F6B"/>
      </bottom>
      <diagonal/>
    </border>
    <border>
      <left/>
      <right/>
      <top style="thin">
        <color rgb="FF214F6B"/>
      </top>
      <bottom style="thin">
        <color rgb="FF214F6B"/>
      </bottom>
      <diagonal/>
    </border>
    <border>
      <left/>
      <right style="thin">
        <color rgb="FF214F6B"/>
      </right>
      <top style="thin">
        <color rgb="FF214F6B"/>
      </top>
      <bottom style="thin">
        <color rgb="FF214F6B"/>
      </bottom>
      <diagonal/>
    </border>
    <border>
      <left/>
      <right/>
      <top style="medium">
        <color rgb="FF204E6B"/>
      </top>
      <bottom/>
      <diagonal/>
    </border>
    <border>
      <left/>
      <right/>
      <top/>
      <bottom style="medium">
        <color rgb="FF204E6B"/>
      </bottom>
      <diagonal/>
    </border>
  </borders>
  <cellStyleXfs count="75">
    <xf numFmtId="0" fontId="0" fillId="0" borderId="0"/>
    <xf numFmtId="43" fontId="4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9" fontId="4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7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2" borderId="0" applyNumberFormat="0" applyBorder="0" applyAlignment="0" applyProtection="0"/>
    <xf numFmtId="0" fontId="19" fillId="3" borderId="0" applyNumberFormat="0" applyBorder="0" applyAlignment="0" applyProtection="0"/>
    <xf numFmtId="0" fontId="20" fillId="4" borderId="0" applyNumberFormat="0" applyBorder="0" applyAlignment="0" applyProtection="0"/>
    <xf numFmtId="0" fontId="21" fillId="5" borderId="7" applyNumberFormat="0" applyAlignment="0" applyProtection="0"/>
    <xf numFmtId="0" fontId="22" fillId="6" borderId="8" applyNumberFormat="0" applyAlignment="0" applyProtection="0"/>
    <xf numFmtId="0" fontId="23" fillId="6" borderId="7" applyNumberFormat="0" applyAlignment="0" applyProtection="0"/>
    <xf numFmtId="0" fontId="24" fillId="0" borderId="9" applyNumberFormat="0" applyFill="0" applyAlignment="0" applyProtection="0"/>
    <xf numFmtId="0" fontId="25" fillId="7" borderId="10" applyNumberFormat="0" applyAlignment="0" applyProtection="0"/>
    <xf numFmtId="0" fontId="26" fillId="0" borderId="0" applyNumberFormat="0" applyFill="0" applyBorder="0" applyAlignment="0" applyProtection="0"/>
    <xf numFmtId="0" fontId="4" fillId="8" borderId="11" applyNumberFormat="0" applyFont="0" applyAlignment="0" applyProtection="0"/>
    <xf numFmtId="0" fontId="27" fillId="0" borderId="0" applyNumberFormat="0" applyFill="0" applyBorder="0" applyAlignment="0" applyProtection="0"/>
    <xf numFmtId="0" fontId="13" fillId="0" borderId="12" applyNumberFormat="0" applyFill="0" applyAlignment="0" applyProtection="0"/>
    <xf numFmtId="0" fontId="28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28" fillId="12" borderId="0" applyNumberFormat="0" applyBorder="0" applyAlignment="0" applyProtection="0"/>
    <xf numFmtId="0" fontId="28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28" fillId="16" borderId="0" applyNumberFormat="0" applyBorder="0" applyAlignment="0" applyProtection="0"/>
    <xf numFmtId="0" fontId="28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28" fillId="20" borderId="0" applyNumberFormat="0" applyBorder="0" applyAlignment="0" applyProtection="0"/>
    <xf numFmtId="0" fontId="28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28" fillId="24" borderId="0" applyNumberFormat="0" applyBorder="0" applyAlignment="0" applyProtection="0"/>
    <xf numFmtId="0" fontId="28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28" fillId="28" borderId="0" applyNumberFormat="0" applyBorder="0" applyAlignment="0" applyProtection="0"/>
    <xf numFmtId="0" fontId="28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28" fillId="32" borderId="0" applyNumberFormat="0" applyBorder="0" applyAlignment="0" applyProtection="0"/>
    <xf numFmtId="0" fontId="29" fillId="0" borderId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3" fontId="29" fillId="0" borderId="0" applyFont="0" applyFill="0" applyBorder="0" applyAlignment="0" applyProtection="0"/>
    <xf numFmtId="8" fontId="29" fillId="0" borderId="0" applyFont="0" applyFill="0" applyBorder="0" applyAlignment="0" applyProtection="0"/>
    <xf numFmtId="10" fontId="29" fillId="0" borderId="0" applyFont="0" applyFill="0" applyBorder="0" applyAlignment="0" applyProtection="0"/>
    <xf numFmtId="4" fontId="29" fillId="0" borderId="0" applyFont="0" applyFill="0" applyBorder="0" applyAlignment="0" applyProtection="0"/>
    <xf numFmtId="14" fontId="29" fillId="0" borderId="0" applyFont="0" applyFill="0" applyBorder="0" applyAlignment="0" applyProtection="0"/>
    <xf numFmtId="20" fontId="29" fillId="0" borderId="0" applyFont="0" applyFill="0" applyBorder="0" applyAlignment="0" applyProtection="0"/>
    <xf numFmtId="22" fontId="29" fillId="0" borderId="0" applyFont="0" applyFill="0" applyBorder="0" applyAlignment="0" applyProtection="0"/>
    <xf numFmtId="15" fontId="29" fillId="0" borderId="0" applyFont="0" applyFill="0" applyBorder="0" applyAlignment="0" applyProtection="0"/>
    <xf numFmtId="15" fontId="29" fillId="0" borderId="0" applyFont="0" applyFill="0" applyBorder="0" applyAlignment="0" applyProtection="0"/>
    <xf numFmtId="19" fontId="29" fillId="0" borderId="0" applyFont="0" applyFill="0" applyBorder="0" applyAlignment="0" applyProtection="0"/>
    <xf numFmtId="18" fontId="29" fillId="0" borderId="0" applyFont="0" applyFill="0" applyBorder="0" applyAlignment="0" applyProtection="0"/>
    <xf numFmtId="0" fontId="29" fillId="0" borderId="0" applyNumberFormat="0" applyFont="0" applyFill="0" applyBorder="0" applyProtection="0">
      <alignment horizontal="left" vertical="center"/>
    </xf>
    <xf numFmtId="0" fontId="29" fillId="0" borderId="0" applyNumberFormat="0" applyFont="0" applyFill="0" applyBorder="0" applyProtection="0">
      <alignment horizontal="left" vertical="center"/>
    </xf>
    <xf numFmtId="166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0" fontId="31" fillId="0" borderId="0"/>
    <xf numFmtId="40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0" fontId="34" fillId="0" borderId="0"/>
    <xf numFmtId="44" fontId="4" fillId="0" borderId="0" applyFont="0" applyFill="0" applyBorder="0" applyAlignment="0" applyProtection="0"/>
    <xf numFmtId="0" fontId="54" fillId="0" borderId="0"/>
    <xf numFmtId="0" fontId="54" fillId="0" borderId="0"/>
    <xf numFmtId="0" fontId="34" fillId="0" borderId="0"/>
    <xf numFmtId="0" fontId="69" fillId="0" borderId="0"/>
    <xf numFmtId="0" fontId="34" fillId="0" borderId="0"/>
    <xf numFmtId="0" fontId="84" fillId="0" borderId="0"/>
  </cellStyleXfs>
  <cellXfs count="410">
    <xf numFmtId="0" fontId="0" fillId="0" borderId="0" xfId="0"/>
    <xf numFmtId="0" fontId="36" fillId="0" borderId="0" xfId="0" applyFont="1"/>
    <xf numFmtId="0" fontId="38" fillId="0" borderId="0" xfId="0" applyFont="1"/>
    <xf numFmtId="0" fontId="39" fillId="0" borderId="0" xfId="0" applyFont="1"/>
    <xf numFmtId="0" fontId="36" fillId="0" borderId="18" xfId="0" applyFont="1" applyBorder="1"/>
    <xf numFmtId="0" fontId="36" fillId="0" borderId="20" xfId="0" applyFont="1" applyBorder="1"/>
    <xf numFmtId="3" fontId="36" fillId="0" borderId="21" xfId="0" applyNumberFormat="1" applyFont="1" applyBorder="1"/>
    <xf numFmtId="3" fontId="35" fillId="0" borderId="21" xfId="0" applyNumberFormat="1" applyFont="1" applyBorder="1"/>
    <xf numFmtId="4" fontId="36" fillId="0" borderId="21" xfId="0" applyNumberFormat="1" applyFont="1" applyBorder="1"/>
    <xf numFmtId="0" fontId="36" fillId="0" borderId="21" xfId="0" applyFont="1" applyBorder="1"/>
    <xf numFmtId="0" fontId="40" fillId="0" borderId="20" xfId="0" applyFont="1" applyBorder="1"/>
    <xf numFmtId="164" fontId="36" fillId="0" borderId="21" xfId="0" applyNumberFormat="1" applyFont="1" applyBorder="1"/>
    <xf numFmtId="0" fontId="36" fillId="0" borderId="22" xfId="0" applyFont="1" applyBorder="1"/>
    <xf numFmtId="0" fontId="55" fillId="35" borderId="24" xfId="70" applyFont="1" applyFill="1" applyBorder="1" applyAlignment="1">
      <alignment horizontal="center"/>
    </xf>
    <xf numFmtId="0" fontId="55" fillId="0" borderId="14" xfId="70" applyFont="1" applyBorder="1"/>
    <xf numFmtId="1" fontId="55" fillId="0" borderId="14" xfId="70" applyNumberFormat="1" applyFont="1" applyBorder="1" applyAlignment="1">
      <alignment horizontal="right"/>
    </xf>
    <xf numFmtId="0" fontId="0" fillId="0" borderId="0" xfId="0" pivotButton="1"/>
    <xf numFmtId="1" fontId="0" fillId="0" borderId="0" xfId="0" applyNumberFormat="1" applyAlignment="1">
      <alignment horizontal="left"/>
    </xf>
    <xf numFmtId="3" fontId="36" fillId="0" borderId="23" xfId="0" applyNumberFormat="1" applyFont="1" applyBorder="1"/>
    <xf numFmtId="169" fontId="36" fillId="0" borderId="21" xfId="1" applyNumberFormat="1" applyFont="1" applyBorder="1"/>
    <xf numFmtId="43" fontId="36" fillId="0" borderId="21" xfId="1" applyFont="1" applyBorder="1"/>
    <xf numFmtId="169" fontId="36" fillId="0" borderId="23" xfId="1" applyNumberFormat="1" applyFont="1" applyBorder="1"/>
    <xf numFmtId="164" fontId="35" fillId="0" borderId="21" xfId="0" applyNumberFormat="1" applyFont="1" applyBorder="1"/>
    <xf numFmtId="170" fontId="36" fillId="0" borderId="21" xfId="1" applyNumberFormat="1" applyFont="1" applyBorder="1"/>
    <xf numFmtId="164" fontId="36" fillId="0" borderId="23" xfId="0" applyNumberFormat="1" applyFont="1" applyBorder="1"/>
    <xf numFmtId="4" fontId="36" fillId="0" borderId="23" xfId="0" applyNumberFormat="1" applyFont="1" applyBorder="1"/>
    <xf numFmtId="170" fontId="36" fillId="0" borderId="21" xfId="0" applyNumberFormat="1" applyFont="1" applyBorder="1"/>
    <xf numFmtId="9" fontId="36" fillId="0" borderId="21" xfId="3" applyFont="1" applyBorder="1"/>
    <xf numFmtId="0" fontId="36" fillId="0" borderId="21" xfId="0" applyFont="1" applyBorder="1" applyAlignment="1">
      <alignment horizontal="right"/>
    </xf>
    <xf numFmtId="0" fontId="36" fillId="0" borderId="23" xfId="0" applyFont="1" applyBorder="1"/>
    <xf numFmtId="3" fontId="36" fillId="0" borderId="21" xfId="0" applyNumberFormat="1" applyFont="1" applyBorder="1" applyAlignment="1">
      <alignment horizontal="right"/>
    </xf>
    <xf numFmtId="169" fontId="36" fillId="0" borderId="21" xfId="1" applyNumberFormat="1" applyFont="1" applyBorder="1" applyAlignment="1">
      <alignment horizontal="right"/>
    </xf>
    <xf numFmtId="169" fontId="68" fillId="0" borderId="14" xfId="1" applyNumberFormat="1" applyFont="1" applyBorder="1" applyAlignment="1">
      <alignment horizontal="right" wrapText="1"/>
    </xf>
    <xf numFmtId="0" fontId="68" fillId="35" borderId="24" xfId="67" applyFont="1" applyFill="1" applyBorder="1" applyAlignment="1">
      <alignment horizontal="center"/>
    </xf>
    <xf numFmtId="1" fontId="68" fillId="0" borderId="14" xfId="67" applyNumberFormat="1" applyFont="1" applyBorder="1" applyAlignment="1">
      <alignment horizontal="right" wrapText="1"/>
    </xf>
    <xf numFmtId="3" fontId="68" fillId="0" borderId="14" xfId="67" applyNumberFormat="1" applyFont="1" applyBorder="1" applyAlignment="1">
      <alignment horizontal="right" wrapText="1"/>
    </xf>
    <xf numFmtId="169" fontId="71" fillId="33" borderId="13" xfId="1" applyNumberFormat="1" applyFont="1" applyFill="1" applyBorder="1" applyAlignment="1">
      <alignment horizontal="center" wrapText="1"/>
    </xf>
    <xf numFmtId="2" fontId="71" fillId="33" borderId="13" xfId="1" applyNumberFormat="1" applyFont="1" applyFill="1" applyBorder="1" applyAlignment="1">
      <alignment horizontal="center" wrapText="1"/>
    </xf>
    <xf numFmtId="169" fontId="72" fillId="0" borderId="0" xfId="1" applyNumberFormat="1" applyFont="1"/>
    <xf numFmtId="2" fontId="72" fillId="0" borderId="0" xfId="1" applyNumberFormat="1" applyFont="1"/>
    <xf numFmtId="169" fontId="71" fillId="33" borderId="13" xfId="1" applyNumberFormat="1" applyFont="1" applyFill="1" applyBorder="1" applyAlignment="1">
      <alignment horizontal="left" wrapText="1"/>
    </xf>
    <xf numFmtId="2" fontId="71" fillId="33" borderId="13" xfId="1" applyNumberFormat="1" applyFont="1" applyFill="1" applyBorder="1" applyAlignment="1">
      <alignment horizontal="left" wrapText="1"/>
    </xf>
    <xf numFmtId="0" fontId="68" fillId="35" borderId="24" xfId="73" applyFont="1" applyFill="1" applyBorder="1" applyAlignment="1">
      <alignment horizontal="center"/>
    </xf>
    <xf numFmtId="3" fontId="68" fillId="0" borderId="14" xfId="73" applyNumberFormat="1" applyFont="1" applyBorder="1" applyAlignment="1">
      <alignment horizontal="right" wrapText="1"/>
    </xf>
    <xf numFmtId="0" fontId="34" fillId="0" borderId="0" xfId="73"/>
    <xf numFmtId="3" fontId="68" fillId="0" borderId="14" xfId="73" applyNumberFormat="1" applyFont="1" applyBorder="1" applyAlignment="1">
      <alignment horizontal="left" wrapText="1"/>
    </xf>
    <xf numFmtId="3" fontId="44" fillId="0" borderId="0" xfId="0" applyNumberFormat="1" applyFont="1" applyAlignment="1">
      <alignment horizontal="right" wrapText="1"/>
    </xf>
    <xf numFmtId="3" fontId="44" fillId="0" borderId="0" xfId="0" pivotButton="1" applyNumberFormat="1" applyFont="1" applyAlignment="1">
      <alignment horizontal="right" wrapText="1"/>
    </xf>
    <xf numFmtId="3" fontId="44" fillId="0" borderId="0" xfId="0" applyNumberFormat="1" applyFont="1" applyAlignment="1">
      <alignment horizontal="left" wrapText="1"/>
    </xf>
    <xf numFmtId="3" fontId="44" fillId="0" borderId="0" xfId="0" pivotButton="1" applyNumberFormat="1" applyFont="1" applyAlignment="1">
      <alignment horizontal="left" wrapText="1"/>
    </xf>
    <xf numFmtId="169" fontId="71" fillId="33" borderId="28" xfId="1" applyNumberFormat="1" applyFont="1" applyFill="1" applyBorder="1" applyAlignment="1">
      <alignment horizontal="center" wrapText="1"/>
    </xf>
    <xf numFmtId="2" fontId="71" fillId="33" borderId="28" xfId="1" applyNumberFormat="1" applyFont="1" applyFill="1" applyBorder="1" applyAlignment="1">
      <alignment horizontal="center" wrapText="1"/>
    </xf>
    <xf numFmtId="169" fontId="68" fillId="0" borderId="29" xfId="1" applyNumberFormat="1" applyFont="1" applyBorder="1" applyAlignment="1">
      <alignment horizontal="right" wrapText="1"/>
    </xf>
    <xf numFmtId="169" fontId="73" fillId="0" borderId="14" xfId="1" applyNumberFormat="1" applyFont="1" applyBorder="1" applyAlignment="1">
      <alignment horizontal="right" wrapText="1"/>
    </xf>
    <xf numFmtId="164" fontId="73" fillId="0" borderId="14" xfId="71" applyNumberFormat="1" applyFont="1" applyBorder="1" applyAlignment="1">
      <alignment horizontal="right" wrapText="1"/>
    </xf>
    <xf numFmtId="0" fontId="73" fillId="0" borderId="14" xfId="71" applyFont="1" applyBorder="1" applyAlignment="1">
      <alignment horizontal="center" wrapText="1"/>
    </xf>
    <xf numFmtId="0" fontId="73" fillId="0" borderId="14" xfId="72" applyFont="1" applyBorder="1" applyAlignment="1">
      <alignment horizontal="center" wrapText="1"/>
    </xf>
    <xf numFmtId="0" fontId="73" fillId="0" borderId="14" xfId="72" applyFont="1" applyBorder="1"/>
    <xf numFmtId="0" fontId="73" fillId="0" borderId="14" xfId="72" applyFont="1" applyBorder="1" applyAlignment="1">
      <alignment wrapText="1"/>
    </xf>
    <xf numFmtId="0" fontId="73" fillId="0" borderId="14" xfId="72" applyFont="1" applyBorder="1" applyAlignment="1">
      <alignment horizontal="center"/>
    </xf>
    <xf numFmtId="43" fontId="73" fillId="0" borderId="14" xfId="1" applyFont="1" applyBorder="1" applyAlignment="1">
      <alignment horizontal="right" wrapText="1"/>
    </xf>
    <xf numFmtId="164" fontId="73" fillId="0" borderId="14" xfId="1" applyNumberFormat="1" applyFont="1" applyBorder="1" applyAlignment="1">
      <alignment horizontal="right" wrapText="1"/>
    </xf>
    <xf numFmtId="0" fontId="71" fillId="33" borderId="28" xfId="45" applyFont="1" applyFill="1" applyBorder="1" applyAlignment="1">
      <alignment horizontal="center"/>
    </xf>
    <xf numFmtId="0" fontId="71" fillId="33" borderId="28" xfId="45" applyFont="1" applyFill="1" applyBorder="1" applyAlignment="1">
      <alignment horizontal="center" wrapText="1"/>
    </xf>
    <xf numFmtId="2" fontId="71" fillId="33" borderId="28" xfId="45" applyNumberFormat="1" applyFont="1" applyFill="1" applyBorder="1" applyAlignment="1">
      <alignment horizontal="center" wrapText="1"/>
    </xf>
    <xf numFmtId="10" fontId="71" fillId="33" borderId="28" xfId="3" applyNumberFormat="1" applyFont="1" applyFill="1" applyBorder="1" applyAlignment="1">
      <alignment horizontal="center" wrapText="1"/>
    </xf>
    <xf numFmtId="2" fontId="71" fillId="34" borderId="28" xfId="1" applyNumberFormat="1" applyFont="1" applyFill="1" applyBorder="1" applyAlignment="1">
      <alignment horizontal="center" wrapText="1"/>
    </xf>
    <xf numFmtId="169" fontId="71" fillId="33" borderId="2" xfId="1" applyNumberFormat="1" applyFont="1" applyFill="1" applyBorder="1" applyAlignment="1">
      <alignment horizontal="center" wrapText="1"/>
    </xf>
    <xf numFmtId="0" fontId="71" fillId="33" borderId="2" xfId="45" applyFont="1" applyFill="1" applyBorder="1" applyAlignment="1">
      <alignment horizontal="center" wrapText="1"/>
    </xf>
    <xf numFmtId="43" fontId="71" fillId="33" borderId="28" xfId="1" applyFont="1" applyFill="1" applyBorder="1" applyAlignment="1">
      <alignment horizontal="center" wrapText="1"/>
    </xf>
    <xf numFmtId="0" fontId="72" fillId="0" borderId="0" xfId="59" applyFont="1">
      <alignment horizontal="left" vertical="center"/>
    </xf>
    <xf numFmtId="164" fontId="72" fillId="0" borderId="0" xfId="45" applyNumberFormat="1" applyFont="1"/>
    <xf numFmtId="170" fontId="71" fillId="0" borderId="0" xfId="45" applyNumberFormat="1" applyFont="1"/>
    <xf numFmtId="10" fontId="71" fillId="0" borderId="0" xfId="3" applyNumberFormat="1" applyFont="1"/>
    <xf numFmtId="2" fontId="71" fillId="0" borderId="0" xfId="48" applyNumberFormat="1" applyFont="1"/>
    <xf numFmtId="43" fontId="71" fillId="0" borderId="0" xfId="1" applyFont="1"/>
    <xf numFmtId="164" fontId="71" fillId="0" borderId="0" xfId="48" applyNumberFormat="1" applyFont="1"/>
    <xf numFmtId="169" fontId="71" fillId="0" borderId="0" xfId="1" applyNumberFormat="1" applyFont="1"/>
    <xf numFmtId="169" fontId="72" fillId="0" borderId="0" xfId="1" applyNumberFormat="1" applyFont="1" applyAlignment="1">
      <alignment wrapText="1"/>
    </xf>
    <xf numFmtId="2" fontId="72" fillId="0" borderId="0" xfId="45" applyNumberFormat="1" applyFont="1"/>
    <xf numFmtId="10" fontId="72" fillId="0" borderId="0" xfId="3" applyNumberFormat="1" applyFont="1"/>
    <xf numFmtId="2" fontId="72" fillId="0" borderId="0" xfId="48" applyNumberFormat="1" applyFont="1"/>
    <xf numFmtId="169" fontId="72" fillId="0" borderId="0" xfId="1" applyNumberFormat="1" applyFont="1" applyAlignment="1">
      <alignment horizontal="right" vertical="center"/>
    </xf>
    <xf numFmtId="2" fontId="72" fillId="0" borderId="0" xfId="1" applyNumberFormat="1" applyFont="1" applyAlignment="1">
      <alignment horizontal="left" vertical="center"/>
    </xf>
    <xf numFmtId="0" fontId="72" fillId="0" borderId="0" xfId="59" applyFont="1" applyAlignment="1">
      <alignment horizontal="center" vertical="center"/>
    </xf>
    <xf numFmtId="169" fontId="72" fillId="0" borderId="0" xfId="1" applyNumberFormat="1" applyFont="1" applyAlignment="1">
      <alignment horizontal="left" vertical="center"/>
    </xf>
    <xf numFmtId="14" fontId="72" fillId="0" borderId="0" xfId="52" applyFont="1"/>
    <xf numFmtId="169" fontId="71" fillId="33" borderId="25" xfId="1" applyNumberFormat="1" applyFont="1" applyFill="1" applyBorder="1" applyAlignment="1">
      <alignment horizontal="left"/>
    </xf>
    <xf numFmtId="169" fontId="71" fillId="33" borderId="26" xfId="1" applyNumberFormat="1" applyFont="1" applyFill="1" applyBorder="1" applyAlignment="1">
      <alignment horizontal="left"/>
    </xf>
    <xf numFmtId="169" fontId="71" fillId="33" borderId="27" xfId="1" applyNumberFormat="1" applyFont="1" applyFill="1" applyBorder="1" applyAlignment="1">
      <alignment horizontal="left"/>
    </xf>
    <xf numFmtId="0" fontId="71" fillId="33" borderId="13" xfId="45" applyFont="1" applyFill="1" applyBorder="1" applyAlignment="1">
      <alignment horizontal="center"/>
    </xf>
    <xf numFmtId="0" fontId="71" fillId="33" borderId="13" xfId="45" applyFont="1" applyFill="1" applyBorder="1" applyAlignment="1">
      <alignment horizontal="center" wrapText="1"/>
    </xf>
    <xf numFmtId="2" fontId="71" fillId="33" borderId="13" xfId="45" applyNumberFormat="1" applyFont="1" applyFill="1" applyBorder="1" applyAlignment="1">
      <alignment horizontal="center" wrapText="1"/>
    </xf>
    <xf numFmtId="10" fontId="71" fillId="33" borderId="13" xfId="3" applyNumberFormat="1" applyFont="1" applyFill="1" applyBorder="1" applyAlignment="1">
      <alignment horizontal="center" wrapText="1"/>
    </xf>
    <xf numFmtId="2" fontId="71" fillId="34" borderId="13" xfId="1" applyNumberFormat="1" applyFont="1" applyFill="1" applyBorder="1" applyAlignment="1">
      <alignment horizontal="center" wrapText="1"/>
    </xf>
    <xf numFmtId="43" fontId="71" fillId="33" borderId="13" xfId="1" applyFont="1" applyFill="1" applyBorder="1" applyAlignment="1">
      <alignment horizontal="center" wrapText="1"/>
    </xf>
    <xf numFmtId="0" fontId="71" fillId="0" borderId="0" xfId="0" applyFont="1" applyAlignment="1">
      <alignment horizontal="right"/>
    </xf>
    <xf numFmtId="0" fontId="74" fillId="0" borderId="1" xfId="0" applyFont="1" applyBorder="1" applyAlignment="1">
      <alignment horizontal="right" vertical="center"/>
    </xf>
    <xf numFmtId="169" fontId="71" fillId="33" borderId="13" xfId="1" applyNumberFormat="1" applyFont="1" applyFill="1" applyBorder="1" applyAlignment="1">
      <alignment horizontal="left"/>
    </xf>
    <xf numFmtId="0" fontId="71" fillId="33" borderId="13" xfId="45" applyFont="1" applyFill="1" applyBorder="1" applyAlignment="1">
      <alignment horizontal="left" wrapText="1"/>
    </xf>
    <xf numFmtId="2" fontId="71" fillId="33" borderId="13" xfId="45" applyNumberFormat="1" applyFont="1" applyFill="1" applyBorder="1" applyAlignment="1">
      <alignment horizontal="left" wrapText="1"/>
    </xf>
    <xf numFmtId="10" fontId="71" fillId="33" borderId="13" xfId="3" applyNumberFormat="1" applyFont="1" applyFill="1" applyBorder="1" applyAlignment="1">
      <alignment horizontal="left" wrapText="1"/>
    </xf>
    <xf numFmtId="170" fontId="71" fillId="33" borderId="13" xfId="45" applyNumberFormat="1" applyFont="1" applyFill="1" applyBorder="1" applyAlignment="1">
      <alignment horizontal="left" wrapText="1"/>
    </xf>
    <xf numFmtId="169" fontId="71" fillId="33" borderId="13" xfId="1" applyNumberFormat="1" applyFont="1" applyFill="1" applyBorder="1" applyAlignment="1">
      <alignment horizontal="right" wrapText="1"/>
    </xf>
    <xf numFmtId="2" fontId="71" fillId="34" borderId="13" xfId="1" applyNumberFormat="1" applyFont="1" applyFill="1" applyBorder="1" applyAlignment="1">
      <alignment horizontal="left" wrapText="1"/>
    </xf>
    <xf numFmtId="0" fontId="71" fillId="33" borderId="13" xfId="45" applyFont="1" applyFill="1" applyBorder="1" applyAlignment="1">
      <alignment horizontal="left"/>
    </xf>
    <xf numFmtId="43" fontId="71" fillId="33" borderId="13" xfId="45" applyNumberFormat="1" applyFont="1" applyFill="1" applyBorder="1" applyAlignment="1">
      <alignment horizontal="left" wrapText="1"/>
    </xf>
    <xf numFmtId="0" fontId="42" fillId="0" borderId="0" xfId="0" applyFont="1" applyAlignment="1">
      <alignment horizontal="center"/>
    </xf>
    <xf numFmtId="169" fontId="42" fillId="0" borderId="0" xfId="1" applyNumberFormat="1" applyFont="1"/>
    <xf numFmtId="2" fontId="42" fillId="0" borderId="0" xfId="0" applyNumberFormat="1" applyFont="1"/>
    <xf numFmtId="170" fontId="42" fillId="0" borderId="0" xfId="0" applyNumberFormat="1" applyFont="1"/>
    <xf numFmtId="10" fontId="42" fillId="0" borderId="0" xfId="3" applyNumberFormat="1" applyFont="1"/>
    <xf numFmtId="170" fontId="42" fillId="0" borderId="0" xfId="68" applyNumberFormat="1" applyFont="1"/>
    <xf numFmtId="169" fontId="68" fillId="0" borderId="29" xfId="1" applyNumberFormat="1" applyFont="1" applyBorder="1" applyAlignment="1">
      <alignment horizontal="right"/>
    </xf>
    <xf numFmtId="0" fontId="42" fillId="0" borderId="0" xfId="0" applyFont="1"/>
    <xf numFmtId="164" fontId="68" fillId="0" borderId="14" xfId="69" applyNumberFormat="1" applyFont="1" applyBorder="1" applyAlignment="1">
      <alignment horizontal="right"/>
    </xf>
    <xf numFmtId="169" fontId="68" fillId="0" borderId="14" xfId="1" applyNumberFormat="1" applyFont="1" applyBorder="1" applyAlignment="1">
      <alignment horizontal="right"/>
    </xf>
    <xf numFmtId="170" fontId="75" fillId="0" borderId="0" xfId="0" applyNumberFormat="1" applyFont="1"/>
    <xf numFmtId="0" fontId="75" fillId="0" borderId="0" xfId="0" applyFont="1"/>
    <xf numFmtId="0" fontId="68" fillId="0" borderId="0" xfId="67" applyFont="1" applyAlignment="1">
      <alignment horizontal="center" wrapText="1"/>
    </xf>
    <xf numFmtId="1" fontId="42" fillId="0" borderId="0" xfId="0" applyNumberFormat="1" applyFont="1"/>
    <xf numFmtId="169" fontId="42" fillId="0" borderId="0" xfId="1" applyNumberFormat="1" applyFont="1" applyAlignment="1">
      <alignment wrapText="1"/>
    </xf>
    <xf numFmtId="2" fontId="42" fillId="0" borderId="0" xfId="1" applyNumberFormat="1" applyFont="1"/>
    <xf numFmtId="169" fontId="42" fillId="0" borderId="0" xfId="1" applyNumberFormat="1" applyFont="1" applyAlignment="1">
      <alignment horizontal="right"/>
    </xf>
    <xf numFmtId="0" fontId="42" fillId="0" borderId="0" xfId="0" applyFont="1" applyAlignment="1">
      <alignment horizontal="center" wrapText="1"/>
    </xf>
    <xf numFmtId="164" fontId="42" fillId="0" borderId="0" xfId="0" applyNumberFormat="1" applyFont="1"/>
    <xf numFmtId="10" fontId="42" fillId="0" borderId="0" xfId="0" applyNumberFormat="1" applyFont="1"/>
    <xf numFmtId="3" fontId="42" fillId="0" borderId="0" xfId="0" applyNumberFormat="1" applyFont="1"/>
    <xf numFmtId="3" fontId="42" fillId="0" borderId="0" xfId="0" applyNumberFormat="1" applyFont="1" applyAlignment="1">
      <alignment horizontal="center"/>
    </xf>
    <xf numFmtId="3" fontId="42" fillId="0" borderId="0" xfId="0" applyNumberFormat="1" applyFont="1" applyAlignment="1">
      <alignment horizontal="center" wrapText="1"/>
    </xf>
    <xf numFmtId="169" fontId="42" fillId="0" borderId="3" xfId="1" applyNumberFormat="1" applyFont="1" applyBorder="1"/>
    <xf numFmtId="164" fontId="42" fillId="0" borderId="3" xfId="0" applyNumberFormat="1" applyFont="1" applyBorder="1"/>
    <xf numFmtId="170" fontId="42" fillId="0" borderId="3" xfId="0" applyNumberFormat="1" applyFont="1" applyBorder="1"/>
    <xf numFmtId="10" fontId="42" fillId="0" borderId="3" xfId="0" applyNumberFormat="1" applyFont="1" applyBorder="1"/>
    <xf numFmtId="3" fontId="42" fillId="0" borderId="3" xfId="0" applyNumberFormat="1" applyFont="1" applyBorder="1"/>
    <xf numFmtId="3" fontId="42" fillId="0" borderId="3" xfId="0" applyNumberFormat="1" applyFont="1" applyBorder="1" applyAlignment="1">
      <alignment horizontal="center"/>
    </xf>
    <xf numFmtId="3" fontId="42" fillId="0" borderId="3" xfId="0" applyNumberFormat="1" applyFont="1" applyBorder="1" applyAlignment="1">
      <alignment horizontal="center" wrapText="1"/>
    </xf>
    <xf numFmtId="0" fontId="42" fillId="0" borderId="3" xfId="0" applyFont="1" applyBorder="1" applyAlignment="1">
      <alignment horizontal="center"/>
    </xf>
    <xf numFmtId="0" fontId="42" fillId="0" borderId="3" xfId="0" applyFont="1" applyBorder="1"/>
    <xf numFmtId="2" fontId="42" fillId="0" borderId="3" xfId="0" applyNumberFormat="1" applyFont="1" applyBorder="1"/>
    <xf numFmtId="1" fontId="42" fillId="0" borderId="0" xfId="0" applyNumberFormat="1" applyFont="1" applyAlignment="1">
      <alignment horizontal="center"/>
    </xf>
    <xf numFmtId="169" fontId="68" fillId="0" borderId="14" xfId="1" applyNumberFormat="1" applyFont="1" applyBorder="1"/>
    <xf numFmtId="4" fontId="42" fillId="0" borderId="0" xfId="0" applyNumberFormat="1" applyFont="1" applyAlignment="1">
      <alignment horizontal="center"/>
    </xf>
    <xf numFmtId="169" fontId="42" fillId="0" borderId="0" xfId="1" applyNumberFormat="1" applyFont="1" applyAlignment="1">
      <alignment horizontal="center"/>
    </xf>
    <xf numFmtId="169" fontId="42" fillId="0" borderId="0" xfId="1" applyNumberFormat="1" applyFont="1" applyAlignment="1">
      <alignment horizontal="center" wrapText="1"/>
    </xf>
    <xf numFmtId="2" fontId="42" fillId="0" borderId="0" xfId="1" applyNumberFormat="1" applyFont="1" applyAlignment="1">
      <alignment horizontal="right"/>
    </xf>
    <xf numFmtId="2" fontId="42" fillId="0" borderId="0" xfId="0" applyNumberFormat="1" applyFont="1" applyAlignment="1">
      <alignment horizontal="center"/>
    </xf>
    <xf numFmtId="2" fontId="42" fillId="0" borderId="0" xfId="1" applyNumberFormat="1" applyFont="1" applyAlignment="1">
      <alignment horizontal="center" wrapText="1"/>
    </xf>
    <xf numFmtId="1" fontId="76" fillId="0" borderId="0" xfId="0" applyNumberFormat="1" applyFont="1"/>
    <xf numFmtId="10" fontId="76" fillId="0" borderId="0" xfId="3" applyNumberFormat="1" applyFont="1"/>
    <xf numFmtId="170" fontId="76" fillId="0" borderId="0" xfId="0" applyNumberFormat="1" applyFont="1"/>
    <xf numFmtId="169" fontId="76" fillId="0" borderId="0" xfId="1" applyNumberFormat="1" applyFont="1"/>
    <xf numFmtId="1" fontId="76" fillId="0" borderId="0" xfId="0" applyNumberFormat="1" applyFont="1" applyAlignment="1">
      <alignment horizontal="center"/>
    </xf>
    <xf numFmtId="169" fontId="76" fillId="0" borderId="0" xfId="1" applyNumberFormat="1" applyFont="1" applyAlignment="1">
      <alignment horizontal="center"/>
    </xf>
    <xf numFmtId="1" fontId="76" fillId="0" borderId="0" xfId="1" applyNumberFormat="1" applyFont="1" applyAlignment="1">
      <alignment horizontal="center" wrapText="1"/>
    </xf>
    <xf numFmtId="164" fontId="42" fillId="0" borderId="0" xfId="1" applyNumberFormat="1" applyFont="1"/>
    <xf numFmtId="0" fontId="78" fillId="0" borderId="14" xfId="67" applyFont="1" applyBorder="1"/>
    <xf numFmtId="3" fontId="78" fillId="0" borderId="14" xfId="67" applyNumberFormat="1" applyFont="1" applyBorder="1" applyAlignment="1">
      <alignment horizontal="right"/>
    </xf>
    <xf numFmtId="2" fontId="73" fillId="0" borderId="14" xfId="1" applyNumberFormat="1" applyFont="1" applyBorder="1" applyAlignment="1">
      <alignment horizontal="right" wrapText="1"/>
    </xf>
    <xf numFmtId="2" fontId="76" fillId="0" borderId="0" xfId="1" applyNumberFormat="1" applyFont="1"/>
    <xf numFmtId="2" fontId="76" fillId="0" borderId="0" xfId="0" applyNumberFormat="1" applyFont="1"/>
    <xf numFmtId="170" fontId="71" fillId="33" borderId="28" xfId="45" applyNumberFormat="1" applyFont="1" applyFill="1" applyBorder="1" applyAlignment="1">
      <alignment horizontal="center" wrapText="1"/>
    </xf>
    <xf numFmtId="170" fontId="72" fillId="0" borderId="0" xfId="45" applyNumberFormat="1" applyFont="1"/>
    <xf numFmtId="170" fontId="71" fillId="33" borderId="13" xfId="45" applyNumberFormat="1" applyFont="1" applyFill="1" applyBorder="1" applyAlignment="1">
      <alignment horizontal="center" wrapText="1"/>
    </xf>
    <xf numFmtId="164" fontId="71" fillId="33" borderId="28" xfId="45" applyNumberFormat="1" applyFont="1" applyFill="1" applyBorder="1" applyAlignment="1">
      <alignment horizontal="center" wrapText="1"/>
    </xf>
    <xf numFmtId="164" fontId="71" fillId="33" borderId="13" xfId="45" applyNumberFormat="1" applyFont="1" applyFill="1" applyBorder="1" applyAlignment="1">
      <alignment horizontal="center" wrapText="1"/>
    </xf>
    <xf numFmtId="164" fontId="76" fillId="0" borderId="0" xfId="0" applyNumberFormat="1" applyFont="1"/>
    <xf numFmtId="164" fontId="71" fillId="33" borderId="13" xfId="45" applyNumberFormat="1" applyFont="1" applyFill="1" applyBorder="1" applyAlignment="1">
      <alignment horizontal="left" wrapText="1"/>
    </xf>
    <xf numFmtId="2" fontId="71" fillId="0" borderId="0" xfId="1" applyNumberFormat="1" applyFont="1"/>
    <xf numFmtId="43" fontId="42" fillId="0" borderId="0" xfId="1" applyFont="1"/>
    <xf numFmtId="170" fontId="73" fillId="0" borderId="14" xfId="1" applyNumberFormat="1" applyFont="1" applyBorder="1" applyAlignment="1">
      <alignment horizontal="right" wrapText="1"/>
    </xf>
    <xf numFmtId="169" fontId="76" fillId="0" borderId="0" xfId="1" applyNumberFormat="1" applyFont="1" applyAlignment="1">
      <alignment wrapText="1"/>
    </xf>
    <xf numFmtId="164" fontId="42" fillId="0" borderId="0" xfId="3" applyNumberFormat="1" applyFont="1"/>
    <xf numFmtId="2" fontId="72" fillId="0" borderId="0" xfId="59" applyNumberFormat="1" applyFont="1">
      <alignment horizontal="left" vertical="center"/>
    </xf>
    <xf numFmtId="2" fontId="76" fillId="0" borderId="0" xfId="1" applyNumberFormat="1" applyFont="1" applyAlignment="1">
      <alignment horizontal="right"/>
    </xf>
    <xf numFmtId="43" fontId="72" fillId="0" borderId="0" xfId="1" applyFont="1"/>
    <xf numFmtId="43" fontId="42" fillId="0" borderId="3" xfId="1" applyFont="1" applyBorder="1"/>
    <xf numFmtId="43" fontId="42" fillId="0" borderId="0" xfId="1" applyFont="1" applyAlignment="1">
      <alignment horizontal="center"/>
    </xf>
    <xf numFmtId="43" fontId="76" fillId="0" borderId="0" xfId="1" applyFont="1" applyAlignment="1">
      <alignment horizontal="center"/>
    </xf>
    <xf numFmtId="43" fontId="71" fillId="33" borderId="13" xfId="1" applyFont="1" applyFill="1" applyBorder="1" applyAlignment="1">
      <alignment horizontal="left" wrapText="1"/>
    </xf>
    <xf numFmtId="43" fontId="76" fillId="0" borderId="0" xfId="1" applyFont="1"/>
    <xf numFmtId="169" fontId="72" fillId="0" borderId="0" xfId="1" applyNumberFormat="1" applyFont="1" applyAlignment="1">
      <alignment horizontal="center" vertical="center"/>
    </xf>
    <xf numFmtId="169" fontId="42" fillId="0" borderId="3" xfId="1" applyNumberFormat="1" applyFont="1" applyBorder="1" applyAlignment="1">
      <alignment horizontal="center"/>
    </xf>
    <xf numFmtId="2" fontId="71" fillId="0" borderId="0" xfId="52" applyNumberFormat="1" applyFont="1"/>
    <xf numFmtId="2" fontId="72" fillId="0" borderId="0" xfId="52" applyNumberFormat="1" applyFont="1"/>
    <xf numFmtId="2" fontId="72" fillId="0" borderId="0" xfId="1" applyNumberFormat="1" applyFont="1" applyAlignment="1">
      <alignment horizontal="right" vertical="center"/>
    </xf>
    <xf numFmtId="2" fontId="42" fillId="0" borderId="15" xfId="0" applyNumberFormat="1" applyFont="1" applyBorder="1"/>
    <xf numFmtId="2" fontId="42" fillId="0" borderId="16" xfId="0" applyNumberFormat="1" applyFont="1" applyBorder="1"/>
    <xf numFmtId="2" fontId="42" fillId="0" borderId="0" xfId="0" applyNumberFormat="1" applyFont="1" applyAlignment="1">
      <alignment horizontal="right"/>
    </xf>
    <xf numFmtId="2" fontId="71" fillId="33" borderId="13" xfId="1" applyNumberFormat="1" applyFont="1" applyFill="1" applyBorder="1" applyAlignment="1">
      <alignment horizontal="right" wrapText="1"/>
    </xf>
    <xf numFmtId="0" fontId="79" fillId="0" borderId="0" xfId="0" applyFont="1"/>
    <xf numFmtId="169" fontId="79" fillId="0" borderId="0" xfId="1" applyNumberFormat="1" applyFont="1"/>
    <xf numFmtId="0" fontId="36" fillId="0" borderId="0" xfId="0" applyFont="1" applyAlignment="1">
      <alignment wrapText="1"/>
    </xf>
    <xf numFmtId="0" fontId="36" fillId="0" borderId="20" xfId="0" applyFont="1" applyBorder="1" applyAlignment="1">
      <alignment wrapText="1"/>
    </xf>
    <xf numFmtId="0" fontId="36" fillId="0" borderId="22" xfId="0" applyFont="1" applyBorder="1" applyAlignment="1">
      <alignment wrapText="1"/>
    </xf>
    <xf numFmtId="0" fontId="37" fillId="0" borderId="20" xfId="0" applyFont="1" applyBorder="1" applyAlignment="1">
      <alignment horizontal="left" wrapText="1"/>
    </xf>
    <xf numFmtId="0" fontId="40" fillId="0" borderId="20" xfId="0" applyFont="1" applyBorder="1" applyAlignment="1">
      <alignment wrapText="1"/>
    </xf>
    <xf numFmtId="14" fontId="42" fillId="0" borderId="0" xfId="1" applyNumberFormat="1" applyFont="1"/>
    <xf numFmtId="14" fontId="42" fillId="0" borderId="0" xfId="0" applyNumberFormat="1" applyFont="1"/>
    <xf numFmtId="170" fontId="42" fillId="0" borderId="0" xfId="0" applyNumberFormat="1" applyFont="1" applyAlignment="1">
      <alignment horizontal="right"/>
    </xf>
    <xf numFmtId="170" fontId="71" fillId="33" borderId="28" xfId="1" applyNumberFormat="1" applyFont="1" applyFill="1" applyBorder="1" applyAlignment="1">
      <alignment horizontal="center" wrapText="1"/>
    </xf>
    <xf numFmtId="170" fontId="71" fillId="0" borderId="0" xfId="52" applyNumberFormat="1" applyFont="1"/>
    <xf numFmtId="170" fontId="42" fillId="0" borderId="15" xfId="0" applyNumberFormat="1" applyFont="1" applyBorder="1"/>
    <xf numFmtId="170" fontId="42" fillId="0" borderId="16" xfId="0" applyNumberFormat="1" applyFont="1" applyBorder="1"/>
    <xf numFmtId="0" fontId="85" fillId="0" borderId="14" xfId="74" applyFont="1" applyFill="1" applyBorder="1" applyAlignment="1">
      <alignment wrapText="1"/>
    </xf>
    <xf numFmtId="3" fontId="85" fillId="0" borderId="14" xfId="74" applyNumberFormat="1" applyFont="1" applyFill="1" applyBorder="1" applyAlignment="1">
      <alignment horizontal="right" wrapText="1"/>
    </xf>
    <xf numFmtId="1" fontId="85" fillId="0" borderId="14" xfId="74" applyNumberFormat="1" applyFont="1" applyFill="1" applyBorder="1" applyAlignment="1">
      <alignment horizontal="right" wrapText="1"/>
    </xf>
    <xf numFmtId="164" fontId="85" fillId="0" borderId="14" xfId="74" applyNumberFormat="1" applyFont="1" applyFill="1" applyBorder="1" applyAlignment="1">
      <alignment horizontal="right" wrapText="1"/>
    </xf>
    <xf numFmtId="0" fontId="85" fillId="0" borderId="14" xfId="74" applyFont="1" applyFill="1" applyBorder="1" applyAlignment="1">
      <alignment horizontal="center" wrapText="1"/>
    </xf>
    <xf numFmtId="4" fontId="85" fillId="0" borderId="14" xfId="74" applyNumberFormat="1" applyFont="1" applyFill="1" applyBorder="1" applyAlignment="1">
      <alignment horizontal="right" wrapText="1"/>
    </xf>
    <xf numFmtId="169" fontId="42" fillId="0" borderId="0" xfId="1" applyNumberFormat="1" applyFont="1" applyAlignment="1"/>
    <xf numFmtId="43" fontId="42" fillId="0" borderId="0" xfId="1" applyNumberFormat="1" applyFont="1"/>
    <xf numFmtId="43" fontId="68" fillId="0" borderId="14" xfId="1" applyNumberFormat="1" applyFont="1" applyBorder="1" applyAlignment="1">
      <alignment horizontal="right" wrapText="1"/>
    </xf>
    <xf numFmtId="169" fontId="68" fillId="0" borderId="33" xfId="1" applyNumberFormat="1" applyFont="1" applyBorder="1" applyAlignment="1">
      <alignment horizontal="right" wrapText="1"/>
    </xf>
    <xf numFmtId="0" fontId="36" fillId="0" borderId="0" xfId="0" applyFont="1" applyBorder="1"/>
    <xf numFmtId="0" fontId="36" fillId="0" borderId="1" xfId="0" applyFont="1" applyBorder="1"/>
    <xf numFmtId="0" fontId="33" fillId="0" borderId="14" xfId="74" applyFont="1" applyFill="1" applyBorder="1" applyAlignment="1">
      <alignment wrapText="1"/>
    </xf>
    <xf numFmtId="169" fontId="71" fillId="37" borderId="28" xfId="1" applyNumberFormat="1" applyFont="1" applyFill="1" applyBorder="1" applyAlignment="1">
      <alignment horizontal="center" wrapText="1"/>
    </xf>
    <xf numFmtId="164" fontId="71" fillId="37" borderId="28" xfId="45" applyNumberFormat="1" applyFont="1" applyFill="1" applyBorder="1" applyAlignment="1">
      <alignment horizontal="center" wrapText="1"/>
    </xf>
    <xf numFmtId="164" fontId="71" fillId="36" borderId="28" xfId="45" applyNumberFormat="1" applyFont="1" applyFill="1" applyBorder="1" applyAlignment="1">
      <alignment horizontal="center" wrapText="1"/>
    </xf>
    <xf numFmtId="164" fontId="0" fillId="0" borderId="0" xfId="0" applyNumberFormat="1"/>
    <xf numFmtId="3" fontId="29" fillId="0" borderId="0" xfId="48"/>
    <xf numFmtId="169" fontId="71" fillId="38" borderId="28" xfId="1" applyNumberFormat="1" applyFont="1" applyFill="1" applyBorder="1" applyAlignment="1">
      <alignment horizontal="center" wrapText="1"/>
    </xf>
    <xf numFmtId="0" fontId="71" fillId="37" borderId="28" xfId="45" applyFont="1" applyFill="1" applyBorder="1" applyAlignment="1">
      <alignment horizontal="center" wrapText="1"/>
    </xf>
    <xf numFmtId="2" fontId="71" fillId="37" borderId="28" xfId="45" applyNumberFormat="1" applyFont="1" applyFill="1" applyBorder="1" applyAlignment="1">
      <alignment horizontal="center" wrapText="1"/>
    </xf>
    <xf numFmtId="169" fontId="71" fillId="37" borderId="2" xfId="1" applyNumberFormat="1" applyFont="1" applyFill="1" applyBorder="1" applyAlignment="1">
      <alignment horizontal="center" wrapText="1"/>
    </xf>
    <xf numFmtId="0" fontId="71" fillId="37" borderId="28" xfId="45" applyFont="1" applyFill="1" applyBorder="1" applyAlignment="1">
      <alignment horizontal="center"/>
    </xf>
    <xf numFmtId="14" fontId="85" fillId="0" borderId="14" xfId="74" applyNumberFormat="1" applyFont="1" applyFill="1" applyBorder="1" applyAlignment="1">
      <alignment wrapText="1"/>
    </xf>
    <xf numFmtId="0" fontId="85" fillId="0" borderId="14" xfId="3" applyNumberFormat="1" applyFont="1" applyFill="1" applyBorder="1" applyAlignment="1">
      <alignment horizontal="right" wrapText="1"/>
    </xf>
    <xf numFmtId="0" fontId="36" fillId="0" borderId="17" xfId="0" applyFont="1" applyBorder="1"/>
    <xf numFmtId="0" fontId="36" fillId="0" borderId="19" xfId="0" applyFont="1" applyBorder="1"/>
    <xf numFmtId="0" fontId="61" fillId="0" borderId="32" xfId="0" applyFont="1" applyFill="1" applyBorder="1" applyAlignment="1">
      <alignment vertical="top"/>
    </xf>
    <xf numFmtId="0" fontId="70" fillId="0" borderId="0" xfId="0" applyFont="1" applyFill="1" applyBorder="1"/>
    <xf numFmtId="0" fontId="82" fillId="0" borderId="0" xfId="0" applyFont="1" applyFill="1" applyBorder="1"/>
    <xf numFmtId="0" fontId="44" fillId="0" borderId="0" xfId="0" applyFont="1" applyFill="1"/>
    <xf numFmtId="0" fontId="0" fillId="0" borderId="0" xfId="0" applyFill="1"/>
    <xf numFmtId="0" fontId="3" fillId="0" borderId="0" xfId="0" applyFont="1" applyFill="1"/>
    <xf numFmtId="0" fontId="61" fillId="0" borderId="0" xfId="0" applyFont="1" applyFill="1" applyBorder="1" applyAlignment="1">
      <alignment vertical="top"/>
    </xf>
    <xf numFmtId="0" fontId="8" fillId="0" borderId="0" xfId="0" applyFont="1" applyFill="1" applyAlignment="1">
      <alignment horizontal="center"/>
    </xf>
    <xf numFmtId="0" fontId="44" fillId="0" borderId="0" xfId="0" applyFont="1" applyFill="1" applyBorder="1"/>
    <xf numFmtId="0" fontId="82" fillId="0" borderId="0" xfId="0" applyFont="1" applyFill="1"/>
    <xf numFmtId="0" fontId="77" fillId="0" borderId="0" xfId="0" applyFont="1" applyFill="1"/>
    <xf numFmtId="0" fontId="11" fillId="0" borderId="0" xfId="0" applyFont="1" applyFill="1"/>
    <xf numFmtId="0" fontId="48" fillId="0" borderId="0" xfId="0" applyFont="1" applyFill="1" applyAlignment="1">
      <alignment horizontal="left"/>
    </xf>
    <xf numFmtId="2" fontId="0" fillId="0" borderId="0" xfId="0" applyNumberFormat="1" applyFill="1"/>
    <xf numFmtId="0" fontId="48" fillId="0" borderId="0" xfId="0" applyFont="1" applyFill="1" applyBorder="1" applyAlignment="1">
      <alignment horizontal="right"/>
    </xf>
    <xf numFmtId="0" fontId="50" fillId="0" borderId="0" xfId="0" applyFont="1" applyFill="1" applyAlignment="1">
      <alignment horizontal="center" vertical="center"/>
    </xf>
    <xf numFmtId="0" fontId="44" fillId="0" borderId="0" xfId="0" applyFont="1" applyFill="1" applyAlignment="1">
      <alignment wrapText="1"/>
    </xf>
    <xf numFmtId="0" fontId="47" fillId="0" borderId="0" xfId="0" applyFont="1" applyFill="1"/>
    <xf numFmtId="2" fontId="41" fillId="0" borderId="0" xfId="0" applyNumberFormat="1" applyFont="1" applyFill="1"/>
    <xf numFmtId="0" fontId="41" fillId="0" borderId="0" xfId="0" applyFont="1" applyFill="1"/>
    <xf numFmtId="0" fontId="60" fillId="0" borderId="0" xfId="0" applyFont="1" applyFill="1"/>
    <xf numFmtId="0" fontId="42" fillId="0" borderId="0" xfId="0" applyFont="1" applyFill="1" applyAlignment="1">
      <alignment horizontal="left" wrapText="1"/>
    </xf>
    <xf numFmtId="0" fontId="42" fillId="0" borderId="0" xfId="0" applyFont="1" applyFill="1"/>
    <xf numFmtId="0" fontId="83" fillId="0" borderId="0" xfId="0" applyFont="1" applyFill="1"/>
    <xf numFmtId="0" fontId="53" fillId="0" borderId="0" xfId="2" applyFont="1" applyFill="1" applyAlignment="1" applyProtection="1"/>
    <xf numFmtId="0" fontId="8" fillId="0" borderId="0" xfId="0" applyFont="1" applyFill="1" applyAlignment="1">
      <alignment horizontal="right"/>
    </xf>
    <xf numFmtId="9" fontId="4" fillId="0" borderId="0" xfId="3" applyFill="1"/>
    <xf numFmtId="0" fontId="2" fillId="0" borderId="0" xfId="0" applyFont="1" applyFill="1" applyAlignment="1">
      <alignment horizontal="center" vertical="center"/>
    </xf>
    <xf numFmtId="7" fontId="2" fillId="0" borderId="0" xfId="0" applyNumberFormat="1" applyFont="1" applyFill="1" applyAlignment="1">
      <alignment horizontal="center" vertical="center"/>
    </xf>
    <xf numFmtId="5" fontId="2" fillId="0" borderId="0" xfId="0" applyNumberFormat="1" applyFont="1" applyFill="1" applyAlignment="1">
      <alignment horizontal="center" vertical="center"/>
    </xf>
    <xf numFmtId="0" fontId="9" fillId="0" borderId="0" xfId="0" applyFont="1" applyFill="1"/>
    <xf numFmtId="3" fontId="2" fillId="0" borderId="0" xfId="0" applyNumberFormat="1" applyFont="1" applyFill="1" applyAlignment="1">
      <alignment horizontal="center" vertical="center"/>
    </xf>
    <xf numFmtId="5" fontId="2" fillId="0" borderId="0" xfId="1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7" fontId="2" fillId="0" borderId="0" xfId="1" applyNumberFormat="1" applyFont="1" applyFill="1" applyAlignment="1">
      <alignment horizontal="center" vertical="center"/>
    </xf>
    <xf numFmtId="3" fontId="2" fillId="0" borderId="0" xfId="1" applyNumberFormat="1" applyFont="1" applyFill="1" applyAlignment="1">
      <alignment horizontal="center" vertical="center"/>
    </xf>
    <xf numFmtId="1" fontId="2" fillId="0" borderId="0" xfId="0" applyNumberFormat="1" applyFont="1" applyFill="1" applyAlignment="1">
      <alignment horizontal="center" vertical="center"/>
    </xf>
    <xf numFmtId="4" fontId="2" fillId="0" borderId="0" xfId="1" applyNumberFormat="1" applyFont="1" applyFill="1" applyAlignment="1">
      <alignment horizontal="center" vertical="center"/>
    </xf>
    <xf numFmtId="0" fontId="0" fillId="0" borderId="0" xfId="0" applyFill="1" applyAlignment="1">
      <alignment horizontal="right"/>
    </xf>
    <xf numFmtId="164" fontId="0" fillId="0" borderId="0" xfId="0" applyNumberFormat="1" applyFill="1"/>
    <xf numFmtId="3" fontId="0" fillId="0" borderId="0" xfId="0" applyNumberFormat="1" applyFill="1"/>
    <xf numFmtId="165" fontId="0" fillId="0" borderId="0" xfId="0" applyNumberFormat="1" applyFill="1"/>
    <xf numFmtId="3" fontId="3" fillId="0" borderId="0" xfId="0" applyNumberFormat="1" applyFont="1" applyFill="1"/>
    <xf numFmtId="0" fontId="90" fillId="0" borderId="0" xfId="0" applyFont="1" applyFill="1"/>
    <xf numFmtId="0" fontId="7" fillId="41" borderId="0" xfId="0" applyFont="1" applyFill="1"/>
    <xf numFmtId="0" fontId="0" fillId="41" borderId="0" xfId="0" applyFill="1"/>
    <xf numFmtId="0" fontId="47" fillId="41" borderId="0" xfId="0" applyFont="1" applyFill="1"/>
    <xf numFmtId="0" fontId="11" fillId="41" borderId="0" xfId="0" applyFont="1" applyFill="1" applyAlignment="1">
      <alignment horizontal="center"/>
    </xf>
    <xf numFmtId="0" fontId="56" fillId="41" borderId="0" xfId="0" applyFont="1" applyFill="1" applyAlignment="1">
      <alignment horizontal="center"/>
    </xf>
    <xf numFmtId="0" fontId="64" fillId="41" borderId="0" xfId="0" applyFont="1" applyFill="1" applyAlignment="1">
      <alignment horizontal="center"/>
    </xf>
    <xf numFmtId="0" fontId="7" fillId="41" borderId="0" xfId="0" applyFont="1" applyFill="1" applyAlignment="1">
      <alignment horizontal="center"/>
    </xf>
    <xf numFmtId="0" fontId="10" fillId="41" borderId="0" xfId="0" applyFont="1" applyFill="1"/>
    <xf numFmtId="0" fontId="41" fillId="41" borderId="0" xfId="0" applyFont="1" applyFill="1" applyAlignment="1">
      <alignment horizontal="center" vertical="center"/>
    </xf>
    <xf numFmtId="0" fontId="6" fillId="41" borderId="0" xfId="0" applyFont="1" applyFill="1" applyAlignment="1">
      <alignment horizontal="center" vertical="center"/>
    </xf>
    <xf numFmtId="0" fontId="57" fillId="41" borderId="0" xfId="0" applyFont="1" applyFill="1"/>
    <xf numFmtId="0" fontId="65" fillId="41" borderId="0" xfId="0" applyFont="1" applyFill="1"/>
    <xf numFmtId="0" fontId="48" fillId="41" borderId="0" xfId="0" applyFont="1" applyFill="1"/>
    <xf numFmtId="0" fontId="5" fillId="41" borderId="0" xfId="2" applyFill="1" applyAlignment="1" applyProtection="1"/>
    <xf numFmtId="0" fontId="49" fillId="41" borderId="0" xfId="2" applyFont="1" applyFill="1" applyAlignment="1" applyProtection="1"/>
    <xf numFmtId="0" fontId="66" fillId="41" borderId="0" xfId="2" applyFont="1" applyFill="1" applyAlignment="1" applyProtection="1"/>
    <xf numFmtId="0" fontId="7" fillId="41" borderId="0" xfId="0" applyFont="1" applyFill="1" applyBorder="1" applyAlignment="1">
      <alignment horizontal="center"/>
    </xf>
    <xf numFmtId="0" fontId="64" fillId="41" borderId="0" xfId="0" applyFont="1" applyFill="1" applyBorder="1" applyAlignment="1">
      <alignment horizontal="center"/>
    </xf>
    <xf numFmtId="0" fontId="6" fillId="41" borderId="38" xfId="0" applyFont="1" applyFill="1" applyBorder="1" applyAlignment="1">
      <alignment horizontal="center" vertical="center"/>
    </xf>
    <xf numFmtId="0" fontId="0" fillId="41" borderId="0" xfId="0" applyFill="1" applyBorder="1"/>
    <xf numFmtId="0" fontId="89" fillId="41" borderId="0" xfId="0" applyFont="1" applyFill="1" applyBorder="1" applyAlignment="1">
      <alignment horizontal="center" vertical="center"/>
    </xf>
    <xf numFmtId="0" fontId="89" fillId="41" borderId="0" xfId="0" applyFont="1" applyFill="1" applyBorder="1" applyAlignment="1">
      <alignment horizontal="left" vertical="center"/>
    </xf>
    <xf numFmtId="0" fontId="62" fillId="41" borderId="0" xfId="0" applyFont="1" applyFill="1"/>
    <xf numFmtId="0" fontId="44" fillId="41" borderId="0" xfId="0" applyFont="1" applyFill="1"/>
    <xf numFmtId="0" fontId="43" fillId="41" borderId="0" xfId="0" applyFont="1" applyFill="1"/>
    <xf numFmtId="0" fontId="43" fillId="41" borderId="0" xfId="0" applyFont="1" applyFill="1" applyAlignment="1">
      <alignment horizontal="center"/>
    </xf>
    <xf numFmtId="0" fontId="45" fillId="41" borderId="0" xfId="0" applyFont="1" applyFill="1" applyAlignment="1">
      <alignment horizontal="center"/>
    </xf>
    <xf numFmtId="0" fontId="80" fillId="41" borderId="0" xfId="0" applyFont="1" applyFill="1" applyAlignment="1">
      <alignment horizontal="center"/>
    </xf>
    <xf numFmtId="0" fontId="58" fillId="41" borderId="0" xfId="0" applyFont="1" applyFill="1" applyAlignment="1">
      <alignment horizontal="center"/>
    </xf>
    <xf numFmtId="0" fontId="50" fillId="41" borderId="0" xfId="0" applyFont="1" applyFill="1"/>
    <xf numFmtId="0" fontId="81" fillId="41" borderId="0" xfId="0" applyFont="1" applyFill="1"/>
    <xf numFmtId="0" fontId="58" fillId="41" borderId="0" xfId="0" applyFont="1" applyFill="1"/>
    <xf numFmtId="0" fontId="50" fillId="41" borderId="0" xfId="0" applyFont="1" applyFill="1" applyAlignment="1">
      <alignment horizontal="center" vertical="center"/>
    </xf>
    <xf numFmtId="0" fontId="12" fillId="41" borderId="0" xfId="2" applyFont="1" applyFill="1" applyAlignment="1" applyProtection="1"/>
    <xf numFmtId="0" fontId="80" fillId="41" borderId="0" xfId="0" applyFont="1" applyFill="1"/>
    <xf numFmtId="0" fontId="51" fillId="41" borderId="0" xfId="0" applyFont="1" applyFill="1"/>
    <xf numFmtId="0" fontId="52" fillId="41" borderId="0" xfId="0" applyFont="1" applyFill="1"/>
    <xf numFmtId="0" fontId="67" fillId="41" borderId="0" xfId="0" applyFont="1" applyFill="1"/>
    <xf numFmtId="0" fontId="59" fillId="41" borderId="0" xfId="0" applyFont="1" applyFill="1"/>
    <xf numFmtId="0" fontId="42" fillId="41" borderId="0" xfId="0" applyFont="1" applyFill="1"/>
    <xf numFmtId="0" fontId="63" fillId="41" borderId="0" xfId="2" applyFont="1" applyFill="1" applyAlignment="1" applyProtection="1"/>
    <xf numFmtId="0" fontId="46" fillId="41" borderId="0" xfId="0" applyFont="1" applyFill="1"/>
    <xf numFmtId="0" fontId="28" fillId="40" borderId="0" xfId="0" applyFont="1" applyFill="1"/>
    <xf numFmtId="0" fontId="92" fillId="40" borderId="0" xfId="0" applyFont="1" applyFill="1"/>
    <xf numFmtId="0" fontId="93" fillId="40" borderId="0" xfId="0" applyFont="1" applyFill="1"/>
    <xf numFmtId="0" fontId="28" fillId="40" borderId="0" xfId="0" applyFont="1" applyFill="1" applyBorder="1"/>
    <xf numFmtId="0" fontId="92" fillId="40" borderId="0" xfId="0" applyFont="1" applyFill="1" applyBorder="1"/>
    <xf numFmtId="0" fontId="93" fillId="40" borderId="0" xfId="0" applyFont="1" applyFill="1" applyBorder="1"/>
    <xf numFmtId="0" fontId="96" fillId="40" borderId="0" xfId="2" applyFont="1" applyFill="1" applyBorder="1" applyAlignment="1" applyProtection="1"/>
    <xf numFmtId="0" fontId="97" fillId="40" borderId="0" xfId="0" applyFont="1" applyFill="1" applyBorder="1"/>
    <xf numFmtId="0" fontId="98" fillId="40" borderId="0" xfId="0" applyFont="1" applyFill="1" applyBorder="1"/>
    <xf numFmtId="0" fontId="99" fillId="40" borderId="0" xfId="0" applyFont="1" applyFill="1" applyBorder="1"/>
    <xf numFmtId="0" fontId="100" fillId="40" borderId="0" xfId="0" applyFont="1" applyFill="1" applyBorder="1"/>
    <xf numFmtId="0" fontId="101" fillId="40" borderId="0" xfId="0" applyFont="1" applyFill="1" applyBorder="1"/>
    <xf numFmtId="0" fontId="102" fillId="40" borderId="0" xfId="0" applyFont="1" applyFill="1" applyBorder="1"/>
    <xf numFmtId="0" fontId="95" fillId="40" borderId="0" xfId="0" applyFont="1" applyFill="1" applyBorder="1"/>
    <xf numFmtId="0" fontId="94" fillId="40" borderId="0" xfId="0" applyFont="1" applyFill="1" applyBorder="1"/>
    <xf numFmtId="0" fontId="104" fillId="40" borderId="0" xfId="0" applyFont="1" applyFill="1" applyBorder="1"/>
    <xf numFmtId="0" fontId="105" fillId="40" borderId="0" xfId="2" applyFont="1" applyFill="1" applyBorder="1" applyAlignment="1" applyProtection="1"/>
    <xf numFmtId="0" fontId="109" fillId="0" borderId="0" xfId="0" applyFont="1" applyFill="1" applyBorder="1" applyAlignment="1">
      <alignment horizontal="right" wrapText="1"/>
    </xf>
    <xf numFmtId="0" fontId="111" fillId="0" borderId="0" xfId="0" applyFont="1" applyFill="1" applyAlignment="1">
      <alignment horizontal="right"/>
    </xf>
    <xf numFmtId="0" fontId="110" fillId="0" borderId="0" xfId="0" applyFont="1" applyFill="1" applyAlignment="1">
      <alignment horizontal="right"/>
    </xf>
    <xf numFmtId="0" fontId="48" fillId="0" borderId="34" xfId="0" applyFont="1" applyFill="1" applyBorder="1" applyAlignment="1">
      <alignment horizontal="center" vertical="center"/>
    </xf>
    <xf numFmtId="0" fontId="111" fillId="0" borderId="34" xfId="0" applyFont="1" applyFill="1" applyBorder="1" applyAlignment="1">
      <alignment horizontal="center" vertical="center"/>
    </xf>
    <xf numFmtId="164" fontId="71" fillId="43" borderId="28" xfId="45" applyNumberFormat="1" applyFont="1" applyFill="1" applyBorder="1" applyAlignment="1">
      <alignment horizontal="center" wrapText="1"/>
    </xf>
    <xf numFmtId="169" fontId="71" fillId="43" borderId="28" xfId="1" applyNumberFormat="1" applyFont="1" applyFill="1" applyBorder="1" applyAlignment="1">
      <alignment horizontal="center" wrapText="1"/>
    </xf>
    <xf numFmtId="164" fontId="71" fillId="34" borderId="28" xfId="45" applyNumberFormat="1" applyFont="1" applyFill="1" applyBorder="1" applyAlignment="1">
      <alignment horizontal="center" wrapText="1"/>
    </xf>
    <xf numFmtId="3" fontId="86" fillId="0" borderId="0" xfId="48" applyFont="1" applyBorder="1"/>
    <xf numFmtId="3" fontId="86" fillId="0" borderId="44" xfId="48" applyFont="1" applyBorder="1"/>
    <xf numFmtId="3" fontId="86" fillId="0" borderId="45" xfId="48" applyFont="1" applyBorder="1"/>
    <xf numFmtId="0" fontId="5" fillId="0" borderId="34" xfId="2" applyFill="1" applyBorder="1" applyAlignment="1" applyProtection="1">
      <alignment horizontal="center" vertical="center"/>
    </xf>
    <xf numFmtId="0" fontId="33" fillId="0" borderId="0" xfId="74" applyFont="1" applyFill="1" applyBorder="1" applyAlignment="1">
      <alignment wrapText="1"/>
    </xf>
    <xf numFmtId="0" fontId="30" fillId="33" borderId="23" xfId="0" applyFont="1" applyFill="1" applyBorder="1" applyAlignment="1">
      <alignment horizontal="left"/>
    </xf>
    <xf numFmtId="43" fontId="68" fillId="0" borderId="0" xfId="1" applyFont="1" applyBorder="1" applyAlignment="1">
      <alignment horizontal="right"/>
    </xf>
    <xf numFmtId="164" fontId="85" fillId="0" borderId="0" xfId="74" applyNumberFormat="1" applyFont="1" applyFill="1" applyBorder="1" applyAlignment="1">
      <alignment horizontal="right" wrapText="1"/>
    </xf>
    <xf numFmtId="4" fontId="85" fillId="0" borderId="0" xfId="74" applyNumberFormat="1" applyFont="1" applyFill="1" applyBorder="1" applyAlignment="1">
      <alignment horizontal="right" wrapText="1"/>
    </xf>
    <xf numFmtId="3" fontId="0" fillId="0" borderId="0" xfId="0" applyNumberFormat="1"/>
    <xf numFmtId="6" fontId="0" fillId="0" borderId="0" xfId="0" applyNumberFormat="1"/>
    <xf numFmtId="0" fontId="29" fillId="0" borderId="0" xfId="59">
      <alignment horizontal="left" vertical="center"/>
    </xf>
    <xf numFmtId="169" fontId="71" fillId="34" borderId="28" xfId="1" applyNumberFormat="1" applyFont="1" applyFill="1" applyBorder="1" applyAlignment="1">
      <alignment horizontal="center" wrapText="1"/>
    </xf>
    <xf numFmtId="1" fontId="85" fillId="0" borderId="14" xfId="3" applyNumberFormat="1" applyFont="1" applyFill="1" applyBorder="1" applyAlignment="1">
      <alignment horizontal="right" wrapText="1"/>
    </xf>
    <xf numFmtId="1" fontId="73" fillId="0" borderId="14" xfId="1" applyNumberFormat="1" applyFont="1" applyBorder="1" applyAlignment="1">
      <alignment horizontal="right" wrapText="1"/>
    </xf>
    <xf numFmtId="1" fontId="72" fillId="0" borderId="0" xfId="1" applyNumberFormat="1" applyFont="1"/>
    <xf numFmtId="1" fontId="79" fillId="0" borderId="0" xfId="1" applyNumberFormat="1" applyFont="1"/>
    <xf numFmtId="1" fontId="42" fillId="0" borderId="0" xfId="1" applyNumberFormat="1" applyFont="1"/>
    <xf numFmtId="1" fontId="42" fillId="0" borderId="3" xfId="1" applyNumberFormat="1" applyFont="1" applyBorder="1"/>
    <xf numFmtId="1" fontId="71" fillId="33" borderId="13" xfId="1" applyNumberFormat="1" applyFont="1" applyFill="1" applyBorder="1" applyAlignment="1">
      <alignment horizontal="center" wrapText="1"/>
    </xf>
    <xf numFmtId="1" fontId="79" fillId="0" borderId="0" xfId="0" applyNumberFormat="1" applyFont="1"/>
    <xf numFmtId="1" fontId="76" fillId="0" borderId="0" xfId="1" applyNumberFormat="1" applyFont="1"/>
    <xf numFmtId="1" fontId="71" fillId="33" borderId="13" xfId="1" applyNumberFormat="1" applyFont="1" applyFill="1" applyBorder="1" applyAlignment="1">
      <alignment horizontal="left" wrapText="1"/>
    </xf>
    <xf numFmtId="1" fontId="71" fillId="34" borderId="28" xfId="1" applyNumberFormat="1" applyFont="1" applyFill="1" applyBorder="1" applyAlignment="1">
      <alignment horizontal="center" wrapText="1"/>
    </xf>
    <xf numFmtId="0" fontId="1" fillId="0" borderId="0" xfId="0" applyFont="1"/>
    <xf numFmtId="0" fontId="115" fillId="0" borderId="14" xfId="74" applyFont="1" applyFill="1" applyBorder="1" applyAlignment="1">
      <alignment wrapText="1"/>
    </xf>
    <xf numFmtId="0" fontId="82" fillId="0" borderId="0" xfId="0" applyFont="1"/>
    <xf numFmtId="0" fontId="113" fillId="40" borderId="0" xfId="0" applyFont="1" applyFill="1" applyAlignment="1">
      <alignment horizontal="left" wrapText="1"/>
    </xf>
    <xf numFmtId="0" fontId="114" fillId="42" borderId="0" xfId="2" applyFont="1" applyFill="1" applyAlignment="1" applyProtection="1">
      <alignment horizontal="left" wrapText="1"/>
    </xf>
    <xf numFmtId="0" fontId="110" fillId="0" borderId="0" xfId="0" applyFont="1" applyFill="1" applyAlignment="1">
      <alignment horizontal="left"/>
    </xf>
    <xf numFmtId="0" fontId="112" fillId="40" borderId="0" xfId="0" applyFont="1" applyFill="1" applyAlignment="1">
      <alignment horizontal="center"/>
    </xf>
    <xf numFmtId="0" fontId="90" fillId="0" borderId="30" xfId="0" applyFont="1" applyFill="1" applyBorder="1" applyAlignment="1">
      <alignment horizontal="left" wrapText="1"/>
    </xf>
    <xf numFmtId="0" fontId="90" fillId="0" borderId="31" xfId="0" applyFont="1" applyFill="1" applyBorder="1" applyAlignment="1">
      <alignment horizontal="left" wrapText="1"/>
    </xf>
    <xf numFmtId="0" fontId="90" fillId="0" borderId="35" xfId="0" applyFont="1" applyFill="1" applyBorder="1" applyAlignment="1">
      <alignment horizontal="left" wrapText="1"/>
    </xf>
    <xf numFmtId="0" fontId="90" fillId="0" borderId="36" xfId="0" applyFont="1" applyFill="1" applyBorder="1" applyAlignment="1">
      <alignment horizontal="left" wrapText="1"/>
    </xf>
    <xf numFmtId="0" fontId="90" fillId="0" borderId="3" xfId="0" applyFont="1" applyFill="1" applyBorder="1" applyAlignment="1">
      <alignment horizontal="left" wrapText="1"/>
    </xf>
    <xf numFmtId="0" fontId="90" fillId="0" borderId="16" xfId="0" applyFont="1" applyFill="1" applyBorder="1" applyAlignment="1">
      <alignment horizontal="left" wrapText="1"/>
    </xf>
    <xf numFmtId="0" fontId="5" fillId="0" borderId="34" xfId="2" applyFill="1" applyBorder="1" applyAlignment="1" applyProtection="1">
      <alignment horizontal="center" vertical="center"/>
    </xf>
    <xf numFmtId="0" fontId="109" fillId="0" borderId="0" xfId="0" applyFont="1" applyFill="1" applyBorder="1" applyAlignment="1">
      <alignment horizontal="right" vertical="center" wrapText="1"/>
    </xf>
    <xf numFmtId="0" fontId="35" fillId="39" borderId="17" xfId="0" applyFont="1" applyFill="1" applyBorder="1" applyAlignment="1">
      <alignment horizontal="center"/>
    </xf>
    <xf numFmtId="0" fontId="35" fillId="39" borderId="19" xfId="0" applyFont="1" applyFill="1" applyBorder="1" applyAlignment="1">
      <alignment horizontal="center"/>
    </xf>
    <xf numFmtId="0" fontId="35" fillId="39" borderId="20" xfId="0" applyFont="1" applyFill="1" applyBorder="1" applyAlignment="1">
      <alignment horizontal="center"/>
    </xf>
    <xf numFmtId="0" fontId="35" fillId="39" borderId="21" xfId="0" applyFont="1" applyFill="1" applyBorder="1" applyAlignment="1">
      <alignment horizontal="center"/>
    </xf>
    <xf numFmtId="0" fontId="88" fillId="40" borderId="17" xfId="0" applyFont="1" applyFill="1" applyBorder="1" applyAlignment="1">
      <alignment horizontal="center"/>
    </xf>
    <xf numFmtId="0" fontId="88" fillId="40" borderId="18" xfId="0" applyFont="1" applyFill="1" applyBorder="1" applyAlignment="1">
      <alignment horizontal="center"/>
    </xf>
    <xf numFmtId="0" fontId="88" fillId="40" borderId="19" xfId="0" applyFont="1" applyFill="1" applyBorder="1" applyAlignment="1">
      <alignment horizontal="center"/>
    </xf>
    <xf numFmtId="0" fontId="87" fillId="40" borderId="20" xfId="0" applyFont="1" applyFill="1" applyBorder="1" applyAlignment="1">
      <alignment horizontal="center"/>
    </xf>
    <xf numFmtId="0" fontId="87" fillId="40" borderId="0" xfId="0" applyFont="1" applyFill="1" applyBorder="1" applyAlignment="1">
      <alignment horizontal="center"/>
    </xf>
    <xf numFmtId="0" fontId="87" fillId="40" borderId="21" xfId="0" applyFont="1" applyFill="1" applyBorder="1" applyAlignment="1">
      <alignment horizontal="center"/>
    </xf>
    <xf numFmtId="0" fontId="94" fillId="40" borderId="0" xfId="0" applyFont="1" applyFill="1" applyBorder="1" applyAlignment="1">
      <alignment horizontal="left" vertical="center"/>
    </xf>
    <xf numFmtId="0" fontId="89" fillId="41" borderId="0" xfId="0" applyFont="1" applyFill="1" applyAlignment="1">
      <alignment horizontal="center"/>
    </xf>
    <xf numFmtId="0" fontId="108" fillId="41" borderId="0" xfId="0" applyFont="1" applyFill="1" applyAlignment="1">
      <alignment horizontal="center"/>
    </xf>
    <xf numFmtId="0" fontId="106" fillId="41" borderId="39" xfId="2" applyFont="1" applyFill="1" applyBorder="1" applyAlignment="1" applyProtection="1">
      <alignment horizontal="center" vertical="center"/>
    </xf>
    <xf numFmtId="0" fontId="106" fillId="41" borderId="40" xfId="2" applyFont="1" applyFill="1" applyBorder="1" applyAlignment="1" applyProtection="1">
      <alignment horizontal="center" vertical="center"/>
    </xf>
    <xf numFmtId="0" fontId="106" fillId="41" borderId="41" xfId="2" applyFont="1" applyFill="1" applyBorder="1" applyAlignment="1" applyProtection="1">
      <alignment horizontal="center" vertical="center"/>
    </xf>
    <xf numFmtId="0" fontId="106" fillId="41" borderId="42" xfId="2" applyFont="1" applyFill="1" applyBorder="1" applyAlignment="1" applyProtection="1">
      <alignment horizontal="center" vertical="center"/>
    </xf>
    <xf numFmtId="0" fontId="106" fillId="41" borderId="43" xfId="2" applyFont="1" applyFill="1" applyBorder="1" applyAlignment="1" applyProtection="1">
      <alignment horizontal="center" vertical="center"/>
    </xf>
    <xf numFmtId="49" fontId="100" fillId="40" borderId="0" xfId="0" applyNumberFormat="1" applyFont="1" applyFill="1" applyAlignment="1">
      <alignment horizontal="right" vertical="center" wrapText="1"/>
    </xf>
    <xf numFmtId="0" fontId="94" fillId="40" borderId="0" xfId="0" applyFont="1" applyFill="1" applyBorder="1" applyAlignment="1">
      <alignment horizontal="left"/>
    </xf>
    <xf numFmtId="0" fontId="94" fillId="40" borderId="0" xfId="0" applyFont="1" applyFill="1" applyBorder="1" applyAlignment="1">
      <alignment horizontal="center" vertical="center"/>
    </xf>
    <xf numFmtId="0" fontId="107" fillId="41" borderId="0" xfId="0" applyFont="1" applyFill="1" applyAlignment="1">
      <alignment horizontal="center"/>
    </xf>
    <xf numFmtId="0" fontId="91" fillId="41" borderId="0" xfId="0" applyFont="1" applyFill="1" applyAlignment="1">
      <alignment horizontal="center"/>
    </xf>
    <xf numFmtId="0" fontId="94" fillId="40" borderId="0" xfId="0" applyFont="1" applyFill="1" applyBorder="1"/>
    <xf numFmtId="0" fontId="103" fillId="40" borderId="0" xfId="0" applyFont="1" applyFill="1" applyBorder="1"/>
    <xf numFmtId="0" fontId="106" fillId="41" borderId="37" xfId="2" applyFont="1" applyFill="1" applyBorder="1" applyAlignment="1" applyProtection="1">
      <alignment horizontal="center" vertical="center"/>
    </xf>
    <xf numFmtId="0" fontId="51" fillId="41" borderId="0" xfId="0" applyFont="1" applyFill="1" applyAlignment="1">
      <alignment horizontal="center"/>
    </xf>
    <xf numFmtId="0" fontId="12" fillId="41" borderId="0" xfId="2" applyFont="1" applyFill="1" applyAlignment="1" applyProtection="1">
      <alignment horizontal="left"/>
    </xf>
  </cellXfs>
  <cellStyles count="75">
    <cellStyle name="20% - Accent1" xfId="22" builtinId="30" customBuiltin="1"/>
    <cellStyle name="20% - Accent2" xfId="26" builtinId="34" customBuiltin="1"/>
    <cellStyle name="20% - Accent3" xfId="30" builtinId="38" customBuiltin="1"/>
    <cellStyle name="20% - Accent4" xfId="34" builtinId="42" customBuiltin="1"/>
    <cellStyle name="20% - Accent5" xfId="38" builtinId="46" customBuiltin="1"/>
    <cellStyle name="20% - Accent6" xfId="42" builtinId="50" customBuiltin="1"/>
    <cellStyle name="40% - Accent1" xfId="23" builtinId="31" customBuiltin="1"/>
    <cellStyle name="40% - Accent2" xfId="27" builtinId="35" customBuiltin="1"/>
    <cellStyle name="40% - Accent3" xfId="31" builtinId="39" customBuiltin="1"/>
    <cellStyle name="40% - Accent4" xfId="35" builtinId="43" customBuiltin="1"/>
    <cellStyle name="40% - Accent5" xfId="39" builtinId="47" customBuiltin="1"/>
    <cellStyle name="40% - Accent6" xfId="43" builtinId="51" customBuiltin="1"/>
    <cellStyle name="60% - Accent1" xfId="24" builtinId="32" customBuiltin="1"/>
    <cellStyle name="60% - Accent2" xfId="28" builtinId="36" customBuiltin="1"/>
    <cellStyle name="60% - Accent3" xfId="32" builtinId="40" customBuiltin="1"/>
    <cellStyle name="60% - Accent4" xfId="36" builtinId="44" customBuiltin="1"/>
    <cellStyle name="60% - Accent5" xfId="40" builtinId="48" customBuiltin="1"/>
    <cellStyle name="60% - Accent6" xfId="44" builtinId="52" customBuiltin="1"/>
    <cellStyle name="Accent1" xfId="21" builtinId="29" customBuiltin="1"/>
    <cellStyle name="Accent2" xfId="25" builtinId="33" customBuiltin="1"/>
    <cellStyle name="Accent3" xfId="29" builtinId="37" customBuiltin="1"/>
    <cellStyle name="Accent4" xfId="33" builtinId="41" customBuiltin="1"/>
    <cellStyle name="Accent5" xfId="37" builtinId="45" customBuiltin="1"/>
    <cellStyle name="Accent6" xfId="41" builtinId="49" customBuiltin="1"/>
    <cellStyle name="Bad" xfId="10" builtinId="27" customBuiltin="1"/>
    <cellStyle name="Calculation" xfId="14" builtinId="22" customBuiltin="1"/>
    <cellStyle name="Check Cell" xfId="16" builtinId="23" customBuiltin="1"/>
    <cellStyle name="Comma" xfId="1" builtinId="3"/>
    <cellStyle name="Comma 2" xfId="65" xr:uid="{00000000-0005-0000-0000-00001C000000}"/>
    <cellStyle name="Currency" xfId="68" builtinId="4"/>
    <cellStyle name="Explanatory Text" xfId="19" builtinId="53" customBuiltin="1"/>
    <cellStyle name="Good" xfId="9" builtinId="26" customBuiltin="1"/>
    <cellStyle name="Heading 1" xfId="5" builtinId="16" customBuiltin="1"/>
    <cellStyle name="Heading 2" xfId="6" builtinId="17" customBuiltin="1"/>
    <cellStyle name="Heading 3" xfId="7" builtinId="18" customBuiltin="1"/>
    <cellStyle name="Heading 4" xfId="8" builtinId="19" customBuiltin="1"/>
    <cellStyle name="Hyperlink" xfId="2" builtinId="8"/>
    <cellStyle name="Input" xfId="12" builtinId="20" customBuiltin="1"/>
    <cellStyle name="Linked Cell" xfId="15" builtinId="24" customBuiltin="1"/>
    <cellStyle name="Neutral" xfId="11" builtinId="28" customBuiltin="1"/>
    <cellStyle name="Normal" xfId="0" builtinId="0"/>
    <cellStyle name="Normal 2" xfId="45" xr:uid="{00000000-0005-0000-0000-000029000000}"/>
    <cellStyle name="Normal 3" xfId="64" xr:uid="{00000000-0005-0000-0000-00002A000000}"/>
    <cellStyle name="Normal_2016Data" xfId="71" xr:uid="{00000000-0005-0000-0000-00002B000000}"/>
    <cellStyle name="Normal_2016Data_1" xfId="72" xr:uid="{00000000-0005-0000-0000-00002C000000}"/>
    <cellStyle name="Normal_2018Data" xfId="74" xr:uid="{CDFC4CBD-6B8C-4C26-80DF-466172C69769}"/>
    <cellStyle name="Normal_branch" xfId="70" xr:uid="{00000000-0005-0000-0000-00002D000000}"/>
    <cellStyle name="Normal_BranchInfo" xfId="73" xr:uid="{00000000-0005-0000-0000-00002E000000}"/>
    <cellStyle name="Normal_Sheet1" xfId="67" xr:uid="{00000000-0005-0000-0000-00002F000000}"/>
    <cellStyle name="Normal_Sheet1_2" xfId="69" xr:uid="{00000000-0005-0000-0000-000030000000}"/>
    <cellStyle name="Note" xfId="18" builtinId="10" customBuiltin="1"/>
    <cellStyle name="Output" xfId="13" builtinId="21" customBuiltin="1"/>
    <cellStyle name="Percent" xfId="3" builtinId="5"/>
    <cellStyle name="Percent 2" xfId="66" xr:uid="{00000000-0005-0000-0000-000034000000}"/>
    <cellStyle name="sCurrency" xfId="49" xr:uid="{00000000-0005-0000-0000-000035000000}"/>
    <cellStyle name="sDate" xfId="54" xr:uid="{00000000-0005-0000-0000-000036000000}"/>
    <cellStyle name="sDecimal" xfId="47" xr:uid="{00000000-0005-0000-0000-000037000000}"/>
    <cellStyle name="sInteger" xfId="48" xr:uid="{00000000-0005-0000-0000-000038000000}"/>
    <cellStyle name="sLongDate" xfId="55" xr:uid="{00000000-0005-0000-0000-000039000000}"/>
    <cellStyle name="sLongTime" xfId="57" xr:uid="{00000000-0005-0000-0000-00003A000000}"/>
    <cellStyle name="sMediumDate" xfId="56" xr:uid="{00000000-0005-0000-0000-00003B000000}"/>
    <cellStyle name="sMediumTime" xfId="58" xr:uid="{00000000-0005-0000-0000-00003C000000}"/>
    <cellStyle name="sNumber" xfId="46" xr:uid="{00000000-0005-0000-0000-00003D000000}"/>
    <cellStyle name="sPercent" xfId="50" xr:uid="{00000000-0005-0000-0000-00003E000000}"/>
    <cellStyle name="sPhone" xfId="61" xr:uid="{00000000-0005-0000-0000-00003F000000}"/>
    <cellStyle name="sPhoneExt" xfId="62" xr:uid="{00000000-0005-0000-0000-000040000000}"/>
    <cellStyle name="sRichText" xfId="60" xr:uid="{00000000-0005-0000-0000-000041000000}"/>
    <cellStyle name="sShortDate" xfId="52" xr:uid="{00000000-0005-0000-0000-000042000000}"/>
    <cellStyle name="sShortTime" xfId="53" xr:uid="{00000000-0005-0000-0000-000043000000}"/>
    <cellStyle name="sStandard" xfId="51" xr:uid="{00000000-0005-0000-0000-000044000000}"/>
    <cellStyle name="sText" xfId="59" xr:uid="{00000000-0005-0000-0000-000045000000}"/>
    <cellStyle name="sZip" xfId="63" xr:uid="{00000000-0005-0000-0000-000046000000}"/>
    <cellStyle name="Title" xfId="4" builtinId="15" customBuiltin="1"/>
    <cellStyle name="Total" xfId="20" builtinId="25" customBuiltin="1"/>
    <cellStyle name="Warning Text" xfId="17" builtinId="11" customBuiltin="1"/>
  </cellStyles>
  <dxfs count="6"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font>
        <name val="Calibri"/>
        <scheme val="none"/>
      </font>
      <numFmt numFmtId="3" formatCode="#,##0"/>
      <alignment horizontal="right" wrapText="1" readingOrder="0"/>
    </dxf>
  </dxfs>
  <tableStyles count="0" defaultTableStyle="TableStyleMedium9" defaultPivotStyle="PivotStyleLight16"/>
  <colors>
    <mruColors>
      <color rgb="FF5EA3CE"/>
      <color rgb="FF214F6B"/>
      <color rgb="FFAAE0DC"/>
      <color rgb="FF36938C"/>
      <color rgb="FFD4F0EE"/>
      <color rgb="FFFFCC66"/>
      <color rgb="FF00CC99"/>
      <color rgb="FFFF9966"/>
      <color rgb="FF6ABAD0"/>
      <color rgb="FF93835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2.xml"/></Relationships>
</file>

<file path=xl/charts/_rels/chart2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214F6B"/>
                </a:solidFill>
                <a:latin typeface="Calibri"/>
                <a:ea typeface="Calibri"/>
                <a:cs typeface="Calibri"/>
              </a:defRPr>
            </a:pPr>
            <a:r>
              <a:rPr lang="en-US" sz="1400">
                <a:solidFill>
                  <a:srgbClr val="214F6B"/>
                </a:solidFill>
              </a:rPr>
              <a:t>Library Visits Per Capita FY2021</a:t>
            </a:r>
          </a:p>
        </c:rich>
      </c:tx>
      <c:layout>
        <c:manualLayout>
          <c:xMode val="edge"/>
          <c:yMode val="edge"/>
          <c:x val="0.15494734241698974"/>
          <c:y val="5.638167284867292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3198217410323709"/>
          <c:y val="0.23172462817147871"/>
          <c:w val="0.82982338145231849"/>
          <c:h val="0.5706558034412434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3">
                <a:lumMod val="60000"/>
                <a:lumOff val="40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5EA3CE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31A6-4F57-9996-652C60F3756D}"/>
              </c:ext>
            </c:extLst>
          </c:dPt>
          <c:dPt>
            <c:idx val="1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2-3A41-4A87-8CA4-AFF27E0A5172}"/>
              </c:ext>
            </c:extLst>
          </c:dPt>
          <c:dPt>
            <c:idx val="2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3A41-4A87-8CA4-AFF27E0A517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0" i="0" u="none" strike="noStrike" baseline="0">
                    <a:solidFill>
                      <a:srgbClr val="214F6B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'2021Data'!$B$105:$B$107</c:f>
              <c:strCache>
                <c:ptCount val="3"/>
                <c:pt idx="0">
                  <c:v>ALAMANCE</c:v>
                </c:pt>
                <c:pt idx="1">
                  <c:v>Average 100,000-249,999 population</c:v>
                </c:pt>
                <c:pt idx="2">
                  <c:v>Average Statewide</c:v>
                </c:pt>
              </c:strCache>
            </c:strRef>
          </c:cat>
          <c:val>
            <c:numRef>
              <c:f>'2021Data'!$CJ$105:$CJ$107</c:f>
              <c:numCache>
                <c:formatCode>0.00</c:formatCode>
                <c:ptCount val="3"/>
                <c:pt idx="0">
                  <c:v>0.53166421207658321</c:v>
                </c:pt>
                <c:pt idx="1">
                  <c:v>0.78567565351098712</c:v>
                </c:pt>
                <c:pt idx="2">
                  <c:v>1.0138611254224486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1A6-4F57-9996-652C60F3756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-25"/>
        <c:axId val="213906560"/>
        <c:axId val="213908096"/>
      </c:barChart>
      <c:catAx>
        <c:axId val="2139065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1" i="0" u="none" strike="noStrike" baseline="0">
                <a:solidFill>
                  <a:srgbClr val="214F6B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13908096"/>
        <c:crosses val="autoZero"/>
        <c:auto val="1"/>
        <c:lblAlgn val="ctr"/>
        <c:lblOffset val="100"/>
        <c:noMultiLvlLbl val="0"/>
      </c:catAx>
      <c:valAx>
        <c:axId val="213908096"/>
        <c:scaling>
          <c:orientation val="minMax"/>
        </c:scaling>
        <c:delete val="1"/>
        <c:axPos val="l"/>
        <c:numFmt formatCode="0.00" sourceLinked="1"/>
        <c:majorTickMark val="none"/>
        <c:minorTickMark val="none"/>
        <c:tickLblPos val="none"/>
        <c:crossAx val="21390656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ysClr val="window" lastClr="FFFFFF"/>
    </a:solidFill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214F6B"/>
                </a:solidFill>
                <a:latin typeface="Calibri"/>
                <a:ea typeface="Calibri"/>
                <a:cs typeface="Calibri"/>
              </a:defRPr>
            </a:pPr>
            <a:r>
              <a:rPr lang="en-US" sz="1400">
                <a:solidFill>
                  <a:srgbClr val="214F6B"/>
                </a:solidFill>
              </a:rPr>
              <a:t>Collection Turnover Rate FY2021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8.991492162550889E-2"/>
          <c:y val="0.22246536891221941"/>
          <c:w val="0.87167223292134965"/>
          <c:h val="0.5706558034412434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5EA3CE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00CE-4751-9E34-BBD07EBEBC15}"/>
              </c:ext>
            </c:extLst>
          </c:dPt>
          <c:dPt>
            <c:idx val="1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2-4319-4567-BB0E-612860F7942D}"/>
              </c:ext>
            </c:extLst>
          </c:dPt>
          <c:dPt>
            <c:idx val="2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3-4319-4567-BB0E-612860F7942D}"/>
              </c:ext>
            </c:extLst>
          </c:dPt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0" i="0" u="none" strike="noStrike" baseline="0">
                    <a:solidFill>
                      <a:srgbClr val="214F6B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'2021Data'!$B$105:$B$107</c:f>
              <c:strCache>
                <c:ptCount val="3"/>
                <c:pt idx="0">
                  <c:v>ALAMANCE</c:v>
                </c:pt>
                <c:pt idx="1">
                  <c:v>Average 100,000-249,999 population</c:v>
                </c:pt>
                <c:pt idx="2">
                  <c:v>Average Statewide</c:v>
                </c:pt>
              </c:strCache>
            </c:strRef>
          </c:cat>
          <c:val>
            <c:numRef>
              <c:f>'2021Data'!$BY$105:$BY$107</c:f>
              <c:numCache>
                <c:formatCode>0.00</c:formatCode>
                <c:ptCount val="3"/>
                <c:pt idx="0">
                  <c:v>0.99572159828863926</c:v>
                </c:pt>
                <c:pt idx="1">
                  <c:v>1.1492711527769861</c:v>
                </c:pt>
                <c:pt idx="2">
                  <c:v>0.8712747121516603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0CE-4751-9E34-BBD07EBEBC1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-25"/>
        <c:axId val="221388800"/>
        <c:axId val="221390336"/>
      </c:barChart>
      <c:catAx>
        <c:axId val="2213888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1" i="0" u="none" strike="noStrike" baseline="0">
                <a:solidFill>
                  <a:srgbClr val="214F6B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21390336"/>
        <c:crosses val="autoZero"/>
        <c:auto val="1"/>
        <c:lblAlgn val="ctr"/>
        <c:lblOffset val="100"/>
        <c:noMultiLvlLbl val="0"/>
      </c:catAx>
      <c:valAx>
        <c:axId val="221390336"/>
        <c:scaling>
          <c:orientation val="minMax"/>
        </c:scaling>
        <c:delete val="1"/>
        <c:axPos val="l"/>
        <c:numFmt formatCode="0.00%" sourceLinked="0"/>
        <c:majorTickMark val="none"/>
        <c:minorTickMark val="none"/>
        <c:tickLblPos val="none"/>
        <c:crossAx val="2213888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ysClr val="window" lastClr="FFFFFF"/>
    </a:solidFill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/>
          <a:lstStyle/>
          <a:p>
            <a:pPr algn="ctr">
              <a:defRPr sz="1400" b="1" i="0" u="none" strike="noStrike" baseline="0">
                <a:solidFill>
                  <a:srgbClr val="214F6B"/>
                </a:solidFill>
                <a:latin typeface="Calibri"/>
                <a:ea typeface="Calibri"/>
                <a:cs typeface="Calibri"/>
              </a:defRPr>
            </a:pPr>
            <a:r>
              <a:rPr lang="en-US" sz="1400">
                <a:solidFill>
                  <a:srgbClr val="214F6B"/>
                </a:solidFill>
              </a:rPr>
              <a:t>Operating Revenue Per Capita</a:t>
            </a:r>
            <a:br>
              <a:rPr lang="en-US" sz="1400">
                <a:solidFill>
                  <a:srgbClr val="214F6B"/>
                </a:solidFill>
              </a:rPr>
            </a:br>
            <a:r>
              <a:rPr lang="en-US" sz="1400">
                <a:solidFill>
                  <a:srgbClr val="214F6B"/>
                </a:solidFill>
              </a:rPr>
              <a:t>FY2021</a:t>
            </a:r>
          </a:p>
        </c:rich>
      </c:tx>
      <c:layout>
        <c:manualLayout>
          <c:xMode val="edge"/>
          <c:yMode val="edge"/>
          <c:x val="0.19976463121219754"/>
          <c:y val="6.0361010830324913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4">
                <a:lumMod val="60000"/>
                <a:lumOff val="40000"/>
              </a:schemeClr>
            </a:solidFill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5EA3CE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C849-4103-88BB-34FCB405D375}"/>
              </c:ext>
            </c:extLst>
          </c:dPt>
          <c:dPt>
            <c:idx val="1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1-C849-4103-88BB-34FCB405D375}"/>
              </c:ext>
            </c:extLst>
          </c:dPt>
          <c:dPt>
            <c:idx val="2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2-C849-4103-88BB-34FCB405D37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0" i="0" u="none" strike="noStrike" baseline="0">
                    <a:solidFill>
                      <a:srgbClr val="214F6B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'2021Data'!$B$105:$B$107</c:f>
              <c:strCache>
                <c:ptCount val="3"/>
                <c:pt idx="0">
                  <c:v>ALAMANCE</c:v>
                </c:pt>
                <c:pt idx="1">
                  <c:v>Average 100,000-249,999 population</c:v>
                </c:pt>
                <c:pt idx="2">
                  <c:v>Average Statewide</c:v>
                </c:pt>
              </c:strCache>
            </c:strRef>
          </c:cat>
          <c:val>
            <c:numRef>
              <c:f>'2021Data'!$AQ$105:$AQ$107</c:f>
              <c:numCache>
                <c:formatCode>"$"#,##0.00</c:formatCode>
                <c:ptCount val="3"/>
                <c:pt idx="0">
                  <c:v>20.192003490972564</c:v>
                </c:pt>
                <c:pt idx="1">
                  <c:v>19.512424217072478</c:v>
                </c:pt>
                <c:pt idx="2">
                  <c:v>25.769166856154431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849-4103-88BB-34FCB405D37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-25"/>
        <c:axId val="208784768"/>
        <c:axId val="208786560"/>
      </c:barChart>
      <c:catAx>
        <c:axId val="2087847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1" i="0" u="none" strike="noStrike" baseline="0">
                <a:solidFill>
                  <a:srgbClr val="214F6B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08786560"/>
        <c:crosses val="autoZero"/>
        <c:auto val="1"/>
        <c:lblAlgn val="ctr"/>
        <c:lblOffset val="100"/>
        <c:noMultiLvlLbl val="0"/>
      </c:catAx>
      <c:valAx>
        <c:axId val="208786560"/>
        <c:scaling>
          <c:orientation val="minMax"/>
        </c:scaling>
        <c:delete val="1"/>
        <c:axPos val="l"/>
        <c:numFmt formatCode="&quot;$&quot;#,##0.00" sourceLinked="1"/>
        <c:majorTickMark val="none"/>
        <c:minorTickMark val="none"/>
        <c:tickLblPos val="none"/>
        <c:crossAx val="2087847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ysClr val="window" lastClr="FFFFFF"/>
    </a:solidFill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214F6B"/>
                </a:solidFill>
                <a:latin typeface="Calibri"/>
                <a:ea typeface="Calibri"/>
                <a:cs typeface="Calibri"/>
              </a:defRPr>
            </a:pPr>
            <a:r>
              <a:rPr lang="en-US" sz="1400" b="1" i="0" u="none" strike="noStrike" baseline="0">
                <a:solidFill>
                  <a:srgbClr val="214F6B"/>
                </a:solidFill>
                <a:latin typeface="Calibri"/>
              </a:rPr>
              <a:t>Total Local Government Revenue</a:t>
            </a:r>
          </a:p>
          <a:p>
            <a:pPr>
              <a:defRPr sz="1400" b="0" i="0" u="none" strike="noStrike" baseline="0">
                <a:solidFill>
                  <a:srgbClr val="214F6B"/>
                </a:solidFill>
                <a:latin typeface="Calibri"/>
                <a:ea typeface="Calibri"/>
                <a:cs typeface="Calibri"/>
              </a:defRPr>
            </a:pPr>
            <a:r>
              <a:rPr lang="en-US" sz="1400" b="1" i="0" u="none" strike="noStrike" baseline="0">
                <a:solidFill>
                  <a:srgbClr val="214F6B"/>
                </a:solidFill>
                <a:latin typeface="Calibri"/>
              </a:rPr>
              <a:t>Per Capita FY2021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4">
                <a:lumMod val="60000"/>
                <a:lumOff val="40000"/>
              </a:schemeClr>
            </a:solidFill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5EA3CE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FE08-4D07-AF3B-2E6A23743F23}"/>
              </c:ext>
            </c:extLst>
          </c:dPt>
          <c:dPt>
            <c:idx val="1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1-FE08-4D07-AF3B-2E6A23743F23}"/>
              </c:ext>
            </c:extLst>
          </c:dPt>
          <c:dPt>
            <c:idx val="2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2-FE08-4D07-AF3B-2E6A23743F23}"/>
              </c:ext>
            </c:extLst>
          </c:dPt>
          <c:dLbls>
            <c:dLbl>
              <c:idx val="0"/>
              <c:spPr>
                <a:effectLst>
                  <a:glow rad="101600">
                    <a:srgbClr val="00B050">
                      <a:alpha val="60000"/>
                    </a:srgbClr>
                  </a:glow>
                </a:effectLst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214F6B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FE08-4D07-AF3B-2E6A23743F2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0" i="0" u="none" strike="noStrike" baseline="0">
                    <a:solidFill>
                      <a:srgbClr val="214F6B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'2021Data'!$B$105:$B$107</c:f>
              <c:strCache>
                <c:ptCount val="3"/>
                <c:pt idx="0">
                  <c:v>ALAMANCE</c:v>
                </c:pt>
                <c:pt idx="1">
                  <c:v>Average 100,000-249,999 population</c:v>
                </c:pt>
                <c:pt idx="2">
                  <c:v>Average Statewide</c:v>
                </c:pt>
              </c:strCache>
            </c:strRef>
          </c:cat>
          <c:val>
            <c:numRef>
              <c:f>'2021Data'!$AJ$105:$AJ$107</c:f>
              <c:numCache>
                <c:formatCode>"$"#,##0.00</c:formatCode>
                <c:ptCount val="3"/>
                <c:pt idx="0">
                  <c:v>18.344982029976304</c:v>
                </c:pt>
                <c:pt idx="1">
                  <c:v>17.424225398541179</c:v>
                </c:pt>
                <c:pt idx="2">
                  <c:v>22.473312331344946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E08-4D07-AF3B-2E6A23743F2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-25"/>
        <c:axId val="208964224"/>
        <c:axId val="208970112"/>
      </c:barChart>
      <c:catAx>
        <c:axId val="208964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1" i="0" u="none" strike="noStrike" baseline="0">
                <a:solidFill>
                  <a:srgbClr val="214F6B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08970112"/>
        <c:crosses val="autoZero"/>
        <c:auto val="1"/>
        <c:lblAlgn val="ctr"/>
        <c:lblOffset val="100"/>
        <c:noMultiLvlLbl val="0"/>
      </c:catAx>
      <c:valAx>
        <c:axId val="208970112"/>
        <c:scaling>
          <c:orientation val="minMax"/>
        </c:scaling>
        <c:delete val="1"/>
        <c:axPos val="l"/>
        <c:numFmt formatCode="&quot;$&quot;#,##0.00" sourceLinked="1"/>
        <c:majorTickMark val="none"/>
        <c:minorTickMark val="none"/>
        <c:tickLblPos val="none"/>
        <c:crossAx val="2089642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ysClr val="window" lastClr="FFFFFF"/>
    </a:solidFill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214F6B"/>
                </a:solidFill>
                <a:latin typeface="Calibri"/>
                <a:ea typeface="Calibri"/>
                <a:cs typeface="Calibri"/>
              </a:defRPr>
            </a:pPr>
            <a:r>
              <a:rPr lang="en-US" sz="1400" b="1" i="0" u="none" strike="noStrike" baseline="0">
                <a:solidFill>
                  <a:srgbClr val="214F6B"/>
                </a:solidFill>
                <a:latin typeface="Calibri"/>
              </a:rPr>
              <a:t>Total Operating Expenditures</a:t>
            </a:r>
          </a:p>
          <a:p>
            <a:pPr>
              <a:defRPr sz="1400" b="0" i="0" u="none" strike="noStrike" baseline="0">
                <a:solidFill>
                  <a:srgbClr val="214F6B"/>
                </a:solidFill>
                <a:latin typeface="Calibri"/>
                <a:ea typeface="Calibri"/>
                <a:cs typeface="Calibri"/>
              </a:defRPr>
            </a:pPr>
            <a:r>
              <a:rPr lang="en-US" sz="1400" b="1" i="0" u="none" strike="noStrike" baseline="0">
                <a:solidFill>
                  <a:srgbClr val="214F6B"/>
                </a:solidFill>
                <a:latin typeface="Calibri"/>
              </a:rPr>
              <a:t>Per Capita FY2021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4">
                <a:lumMod val="75000"/>
              </a:schemeClr>
            </a:solidFill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5EA3CE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29E8-4B2D-87E9-6CA0FA2F52F6}"/>
              </c:ext>
            </c:extLst>
          </c:dPt>
          <c:dPt>
            <c:idx val="1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1-29E8-4B2D-87E9-6CA0FA2F52F6}"/>
              </c:ext>
            </c:extLst>
          </c:dPt>
          <c:dPt>
            <c:idx val="2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2-29E8-4B2D-87E9-6CA0FA2F52F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0" i="0" u="none" strike="noStrike" baseline="0">
                    <a:solidFill>
                      <a:srgbClr val="214F6B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'2021Data'!$B$105:$B$107</c:f>
              <c:strCache>
                <c:ptCount val="3"/>
                <c:pt idx="0">
                  <c:v>ALAMANCE</c:v>
                </c:pt>
                <c:pt idx="1">
                  <c:v>Average 100,000-249,999 population</c:v>
                </c:pt>
                <c:pt idx="2">
                  <c:v>Average Statewide</c:v>
                </c:pt>
              </c:strCache>
            </c:strRef>
          </c:cat>
          <c:val>
            <c:numRef>
              <c:f>'2021Data'!$W$105:$W$107</c:f>
              <c:numCache>
                <c:formatCode>"$"#,##0.00</c:formatCode>
                <c:ptCount val="3"/>
                <c:pt idx="0">
                  <c:v>18.344982029976304</c:v>
                </c:pt>
                <c:pt idx="1">
                  <c:v>18.311265333629759</c:v>
                </c:pt>
                <c:pt idx="2">
                  <c:v>23.833334203665633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9E8-4B2D-87E9-6CA0FA2F52F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-25"/>
        <c:axId val="209396864"/>
        <c:axId val="209398400"/>
      </c:barChart>
      <c:catAx>
        <c:axId val="209396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1" i="0" u="none" strike="noStrike" baseline="0">
                <a:solidFill>
                  <a:srgbClr val="214F6B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09398400"/>
        <c:crosses val="autoZero"/>
        <c:auto val="1"/>
        <c:lblAlgn val="ctr"/>
        <c:lblOffset val="100"/>
        <c:noMultiLvlLbl val="0"/>
      </c:catAx>
      <c:valAx>
        <c:axId val="209398400"/>
        <c:scaling>
          <c:orientation val="minMax"/>
        </c:scaling>
        <c:delete val="1"/>
        <c:axPos val="l"/>
        <c:numFmt formatCode="&quot;$&quot;#,##0.00" sourceLinked="1"/>
        <c:majorTickMark val="none"/>
        <c:minorTickMark val="none"/>
        <c:tickLblPos val="none"/>
        <c:crossAx val="20939686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ysClr val="window" lastClr="FFFFFF"/>
    </a:solidFill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/>
          <a:lstStyle/>
          <a:p>
            <a:pPr>
              <a:defRPr sz="1400">
                <a:solidFill>
                  <a:srgbClr val="214F6B"/>
                </a:solidFill>
              </a:defRPr>
            </a:pPr>
            <a:r>
              <a:rPr lang="en-US" sz="1400">
                <a:solidFill>
                  <a:srgbClr val="214F6B"/>
                </a:solidFill>
              </a:rPr>
              <a:t>Salaries/Wages Expenditures</a:t>
            </a:r>
          </a:p>
          <a:p>
            <a:pPr>
              <a:defRPr sz="1400">
                <a:solidFill>
                  <a:srgbClr val="214F6B"/>
                </a:solidFill>
              </a:defRPr>
            </a:pPr>
            <a:r>
              <a:rPr lang="en-US" sz="1400">
                <a:solidFill>
                  <a:srgbClr val="214F6B"/>
                </a:solidFill>
              </a:rPr>
              <a:t>Per Capita FY2021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4">
                <a:lumMod val="75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5EA3CE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30B6-42EC-A2B2-563893A2253C}"/>
              </c:ext>
            </c:extLst>
          </c:dPt>
          <c:dPt>
            <c:idx val="1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30B6-42EC-A2B2-563893A2253C}"/>
              </c:ext>
            </c:extLst>
          </c:dPt>
          <c:dPt>
            <c:idx val="2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2-30B6-42EC-A2B2-563893A2253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>
                    <a:solidFill>
                      <a:srgbClr val="214F6B"/>
                    </a:solidFill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'2021Data'!$B$105:$B$107</c:f>
              <c:strCache>
                <c:ptCount val="3"/>
                <c:pt idx="0">
                  <c:v>ALAMANCE</c:v>
                </c:pt>
                <c:pt idx="1">
                  <c:v>Average 100,000-249,999 population</c:v>
                </c:pt>
                <c:pt idx="2">
                  <c:v>Average Statewide</c:v>
                </c:pt>
              </c:strCache>
            </c:strRef>
          </c:cat>
          <c:val>
            <c:numRef>
              <c:f>'2021Data'!$M$105:$M$107</c:f>
              <c:numCache>
                <c:formatCode>"$"#,##0.00</c:formatCode>
                <c:ptCount val="3"/>
                <c:pt idx="0">
                  <c:v>13.669290956805275</c:v>
                </c:pt>
                <c:pt idx="1">
                  <c:v>13.733657827375085</c:v>
                </c:pt>
                <c:pt idx="2">
                  <c:v>17.285179884933431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0B6-42EC-A2B2-563893A2253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-25"/>
        <c:axId val="209415552"/>
        <c:axId val="209417344"/>
      </c:barChart>
      <c:catAx>
        <c:axId val="209415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100" b="1">
                <a:solidFill>
                  <a:srgbClr val="214F6B"/>
                </a:solidFill>
              </a:defRPr>
            </a:pPr>
            <a:endParaRPr lang="en-US"/>
          </a:p>
        </c:txPr>
        <c:crossAx val="209417344"/>
        <c:crosses val="autoZero"/>
        <c:auto val="1"/>
        <c:lblAlgn val="ctr"/>
        <c:lblOffset val="100"/>
        <c:noMultiLvlLbl val="0"/>
      </c:catAx>
      <c:valAx>
        <c:axId val="209417344"/>
        <c:scaling>
          <c:orientation val="minMax"/>
        </c:scaling>
        <c:delete val="1"/>
        <c:axPos val="l"/>
        <c:numFmt formatCode="&quot;$&quot;#,##0.00" sourceLinked="1"/>
        <c:majorTickMark val="none"/>
        <c:minorTickMark val="none"/>
        <c:tickLblPos val="none"/>
        <c:crossAx val="2094155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ysClr val="window" lastClr="FFFFFF"/>
    </a:solidFill>
  </c:spPr>
  <c:txPr>
    <a:bodyPr/>
    <a:lstStyle/>
    <a:p>
      <a:pPr>
        <a:defRPr>
          <a:latin typeface="Calibri" pitchFamily="34" charset="0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214F6B"/>
                </a:solidFill>
                <a:latin typeface="Calibri"/>
                <a:ea typeface="Calibri"/>
                <a:cs typeface="Calibri"/>
              </a:defRPr>
            </a:pPr>
            <a:r>
              <a:rPr lang="en-US" sz="1400" b="1" i="0" u="none" strike="noStrike" baseline="0">
                <a:solidFill>
                  <a:srgbClr val="214F6B"/>
                </a:solidFill>
                <a:latin typeface="Calibri"/>
              </a:rPr>
              <a:t>Library Materials Expenditures</a:t>
            </a:r>
          </a:p>
          <a:p>
            <a:pPr>
              <a:defRPr sz="1400" b="0" i="0" u="none" strike="noStrike" baseline="0">
                <a:solidFill>
                  <a:srgbClr val="214F6B"/>
                </a:solidFill>
                <a:latin typeface="Calibri"/>
                <a:ea typeface="Calibri"/>
                <a:cs typeface="Calibri"/>
              </a:defRPr>
            </a:pPr>
            <a:r>
              <a:rPr lang="en-US" sz="1400" b="1" i="0" u="none" strike="noStrike" baseline="0">
                <a:solidFill>
                  <a:srgbClr val="214F6B"/>
                </a:solidFill>
                <a:latin typeface="Calibri"/>
              </a:rPr>
              <a:t>Per Capita FY2021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5EA3CE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E564-48BB-BCC2-21614EE83A8D}"/>
              </c:ext>
            </c:extLst>
          </c:dPt>
          <c:dPt>
            <c:idx val="1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E564-48BB-BCC2-21614EE83A8D}"/>
              </c:ext>
            </c:extLst>
          </c:dPt>
          <c:dPt>
            <c:idx val="2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E564-48BB-BCC2-21614EE83A8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0" i="0" u="none" strike="noStrike" baseline="0">
                    <a:solidFill>
                      <a:srgbClr val="214F6B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'2021Data'!$B$105:$B$107</c:f>
              <c:strCache>
                <c:ptCount val="3"/>
                <c:pt idx="0">
                  <c:v>ALAMANCE</c:v>
                </c:pt>
                <c:pt idx="1">
                  <c:v>Average 100,000-249,999 population</c:v>
                </c:pt>
                <c:pt idx="2">
                  <c:v>Average Statewide</c:v>
                </c:pt>
              </c:strCache>
            </c:strRef>
          </c:cat>
          <c:val>
            <c:numRef>
              <c:f>'2021Data'!$R$105:$R$107</c:f>
              <c:numCache>
                <c:formatCode>"$"#,##0.00</c:formatCode>
                <c:ptCount val="3"/>
                <c:pt idx="0">
                  <c:v>1.8788220391885913</c:v>
                </c:pt>
                <c:pt idx="1">
                  <c:v>1.7303612025763977</c:v>
                </c:pt>
                <c:pt idx="2">
                  <c:v>2.4980739271535892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564-48BB-BCC2-21614EE83A8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-25"/>
        <c:axId val="211175296"/>
        <c:axId val="211176832"/>
      </c:barChart>
      <c:catAx>
        <c:axId val="2111752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1" i="0" u="none" strike="noStrike" baseline="0">
                <a:solidFill>
                  <a:srgbClr val="214F6B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11176832"/>
        <c:crosses val="autoZero"/>
        <c:auto val="1"/>
        <c:lblAlgn val="ctr"/>
        <c:lblOffset val="100"/>
        <c:noMultiLvlLbl val="0"/>
      </c:catAx>
      <c:valAx>
        <c:axId val="211176832"/>
        <c:scaling>
          <c:orientation val="minMax"/>
        </c:scaling>
        <c:delete val="1"/>
        <c:axPos val="l"/>
        <c:numFmt formatCode="&quot;$&quot;#,##0.00" sourceLinked="1"/>
        <c:majorTickMark val="none"/>
        <c:minorTickMark val="none"/>
        <c:tickLblPos val="none"/>
        <c:crossAx val="2111752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ysClr val="window" lastClr="FFFFFF"/>
    </a:solidFill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214F6B"/>
                </a:solidFill>
                <a:latin typeface="Calibri"/>
                <a:ea typeface="Calibri"/>
                <a:cs typeface="Calibri"/>
              </a:defRPr>
            </a:pPr>
            <a:r>
              <a:rPr lang="en-US" sz="1400">
                <a:solidFill>
                  <a:srgbClr val="214F6B"/>
                </a:solidFill>
              </a:rPr>
              <a:t>Library Materials Expenditures as a </a:t>
            </a:r>
            <a:br>
              <a:rPr lang="en-US" sz="1400">
                <a:solidFill>
                  <a:srgbClr val="214F6B"/>
                </a:solidFill>
              </a:rPr>
            </a:br>
            <a:r>
              <a:rPr lang="en-US" sz="1400">
                <a:solidFill>
                  <a:srgbClr val="214F6B"/>
                </a:solidFill>
              </a:rPr>
              <a:t>Percentage of Operating Expenditures FY2021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5">
                <a:lumMod val="75000"/>
              </a:schemeClr>
            </a:solidFill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5EA3CE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8631-4E89-92FC-34BAEE7A8FE3}"/>
              </c:ext>
            </c:extLst>
          </c:dPt>
          <c:dPt>
            <c:idx val="1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1-8631-4E89-92FC-34BAEE7A8FE3}"/>
              </c:ext>
            </c:extLst>
          </c:dPt>
          <c:dPt>
            <c:idx val="2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2-8631-4E89-92FC-34BAEE7A8FE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0" i="0" u="none" strike="noStrike" baseline="0">
                    <a:solidFill>
                      <a:srgbClr val="214F6B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'2021Data'!$B$105:$B$107</c:f>
              <c:strCache>
                <c:ptCount val="3"/>
                <c:pt idx="0">
                  <c:v>ALAMANCE</c:v>
                </c:pt>
                <c:pt idx="1">
                  <c:v>Average 100,000-249,999 population</c:v>
                </c:pt>
                <c:pt idx="2">
                  <c:v>Average Statewide</c:v>
                </c:pt>
              </c:strCache>
            </c:strRef>
          </c:cat>
          <c:val>
            <c:numRef>
              <c:f>'2021Data'!$Y$105:$Y$107</c:f>
              <c:numCache>
                <c:formatCode>0.00%</c:formatCode>
                <c:ptCount val="3"/>
                <c:pt idx="0">
                  <c:v>0.10241612862408557</c:v>
                </c:pt>
                <c:pt idx="1">
                  <c:v>9.4521500041288564E-2</c:v>
                </c:pt>
                <c:pt idx="2">
                  <c:v>0.10056538281533596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631-4E89-92FC-34BAEE7A8FE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-25"/>
        <c:axId val="211210624"/>
        <c:axId val="211212160"/>
      </c:barChart>
      <c:catAx>
        <c:axId val="2112106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1" i="0" u="none" strike="noStrike" baseline="0">
                <a:solidFill>
                  <a:srgbClr val="214F6B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11212160"/>
        <c:crosses val="autoZero"/>
        <c:auto val="1"/>
        <c:lblAlgn val="ctr"/>
        <c:lblOffset val="100"/>
        <c:noMultiLvlLbl val="0"/>
      </c:catAx>
      <c:valAx>
        <c:axId val="211212160"/>
        <c:scaling>
          <c:orientation val="minMax"/>
        </c:scaling>
        <c:delete val="1"/>
        <c:axPos val="l"/>
        <c:numFmt formatCode="0.00%" sourceLinked="1"/>
        <c:majorTickMark val="none"/>
        <c:minorTickMark val="none"/>
        <c:tickLblPos val="none"/>
        <c:crossAx val="2112106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ysClr val="window" lastClr="FFFFFF"/>
    </a:solidFill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/>
          <a:lstStyle/>
          <a:p>
            <a:pPr>
              <a:defRPr sz="1400">
                <a:solidFill>
                  <a:srgbClr val="214F6B"/>
                </a:solidFill>
              </a:defRPr>
            </a:pPr>
            <a:r>
              <a:rPr lang="en-US" sz="1400">
                <a:solidFill>
                  <a:srgbClr val="214F6B"/>
                </a:solidFill>
              </a:rPr>
              <a:t>Other Operating Expenditures as </a:t>
            </a:r>
            <a:br>
              <a:rPr lang="en-US" sz="1400">
                <a:solidFill>
                  <a:srgbClr val="214F6B"/>
                </a:solidFill>
              </a:rPr>
            </a:br>
            <a:r>
              <a:rPr lang="en-US" sz="1400">
                <a:solidFill>
                  <a:srgbClr val="214F6B"/>
                </a:solidFill>
              </a:rPr>
              <a:t>Percentage of Total Operating Expenditures FY2021</a:t>
            </a:r>
          </a:p>
        </c:rich>
      </c:tx>
      <c:overlay val="0"/>
      <c:spPr>
        <a:solidFill>
          <a:sysClr val="window" lastClr="FFFFFF"/>
        </a:solidFill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5">
                <a:lumMod val="75000"/>
              </a:schemeClr>
            </a:solidFill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5EA3CE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7EE1-440F-8F15-E8A5C33BAFD0}"/>
              </c:ext>
            </c:extLst>
          </c:dPt>
          <c:dPt>
            <c:idx val="1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1-7EE1-440F-8F15-E8A5C33BAFD0}"/>
              </c:ext>
            </c:extLst>
          </c:dPt>
          <c:dPt>
            <c:idx val="2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2-7EE1-440F-8F15-E8A5C33BAFD0}"/>
              </c:ext>
            </c:extLst>
          </c:dPt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>
                    <a:solidFill>
                      <a:srgbClr val="214F6B"/>
                    </a:solidFill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'2021Data'!$B$105:$B$107</c:f>
              <c:strCache>
                <c:ptCount val="3"/>
                <c:pt idx="0">
                  <c:v>ALAMANCE</c:v>
                </c:pt>
                <c:pt idx="1">
                  <c:v>Average 100,000-249,999 population</c:v>
                </c:pt>
                <c:pt idx="2">
                  <c:v>Average Statewide</c:v>
                </c:pt>
              </c:strCache>
            </c:strRef>
          </c:cat>
          <c:val>
            <c:numRef>
              <c:f>'2021Data'!$Z$105:$Z$107</c:f>
              <c:numCache>
                <c:formatCode>0.00%</c:formatCode>
                <c:ptCount val="3"/>
                <c:pt idx="0">
                  <c:v>0.15245962244128997</c:v>
                </c:pt>
                <c:pt idx="1">
                  <c:v>0.15307675511576721</c:v>
                </c:pt>
                <c:pt idx="2">
                  <c:v>0.16620975371798577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EE1-440F-8F15-E8A5C33BAFD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-25"/>
        <c:axId val="213793408"/>
        <c:axId val="213803392"/>
      </c:barChart>
      <c:catAx>
        <c:axId val="213793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b="1">
                <a:solidFill>
                  <a:srgbClr val="214F6B"/>
                </a:solidFill>
              </a:defRPr>
            </a:pPr>
            <a:endParaRPr lang="en-US"/>
          </a:p>
        </c:txPr>
        <c:crossAx val="213803392"/>
        <c:crosses val="autoZero"/>
        <c:auto val="1"/>
        <c:lblAlgn val="ctr"/>
        <c:lblOffset val="100"/>
        <c:noMultiLvlLbl val="0"/>
      </c:catAx>
      <c:valAx>
        <c:axId val="213803392"/>
        <c:scaling>
          <c:orientation val="minMax"/>
        </c:scaling>
        <c:delete val="1"/>
        <c:axPos val="l"/>
        <c:numFmt formatCode="0.00%" sourceLinked="1"/>
        <c:majorTickMark val="none"/>
        <c:minorTickMark val="none"/>
        <c:tickLblPos val="none"/>
        <c:crossAx val="21379340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ysClr val="window" lastClr="FFFFFF"/>
    </a:solidFill>
  </c:spPr>
  <c:txPr>
    <a:bodyPr/>
    <a:lstStyle/>
    <a:p>
      <a:pPr>
        <a:defRPr>
          <a:latin typeface="Calibri" pitchFamily="34" charset="0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214F6B"/>
                </a:solidFill>
                <a:latin typeface="Calibri"/>
                <a:ea typeface="Calibri"/>
                <a:cs typeface="Calibri"/>
              </a:defRPr>
            </a:pPr>
            <a:r>
              <a:rPr lang="en-US" sz="1400">
                <a:solidFill>
                  <a:srgbClr val="214F6B"/>
                </a:solidFill>
              </a:rPr>
              <a:t>Total Staff Expenditures as </a:t>
            </a:r>
            <a:br>
              <a:rPr lang="en-US" sz="1400">
                <a:solidFill>
                  <a:srgbClr val="214F6B"/>
                </a:solidFill>
              </a:rPr>
            </a:br>
            <a:r>
              <a:rPr lang="en-US" sz="1400">
                <a:solidFill>
                  <a:srgbClr val="214F6B"/>
                </a:solidFill>
              </a:rPr>
              <a:t>Percentage of Operating Expenditures FY2021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4">
                <a:lumMod val="75000"/>
              </a:schemeClr>
            </a:solidFill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5EA3CE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D498-48F4-96C0-554565BCA876}"/>
              </c:ext>
            </c:extLst>
          </c:dPt>
          <c:dPt>
            <c:idx val="1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1-D498-48F4-96C0-554565BCA876}"/>
              </c:ext>
            </c:extLst>
          </c:dPt>
          <c:dPt>
            <c:idx val="2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2-D498-48F4-96C0-554565BCA87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0" i="0" u="none" strike="noStrike" baseline="0">
                    <a:solidFill>
                      <a:srgbClr val="214F6B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'2021Data'!$B$105:$B$107</c:f>
              <c:strCache>
                <c:ptCount val="3"/>
                <c:pt idx="0">
                  <c:v>ALAMANCE</c:v>
                </c:pt>
                <c:pt idx="1">
                  <c:v>Average 100,000-249,999 population</c:v>
                </c:pt>
                <c:pt idx="2">
                  <c:v>Average Statewide</c:v>
                </c:pt>
              </c:strCache>
            </c:strRef>
          </c:cat>
          <c:val>
            <c:numRef>
              <c:f>'2021Data'!$X$105:$X$107</c:f>
              <c:numCache>
                <c:formatCode>0.00%</c:formatCode>
                <c:ptCount val="3"/>
                <c:pt idx="0">
                  <c:v>0.74512424893462448</c:v>
                </c:pt>
                <c:pt idx="1">
                  <c:v>0.75240174484294431</c:v>
                </c:pt>
                <c:pt idx="2">
                  <c:v>0.73322486346667848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498-48F4-96C0-554565BCA87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-25"/>
        <c:axId val="213582976"/>
        <c:axId val="213584512"/>
      </c:barChart>
      <c:catAx>
        <c:axId val="213582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1" i="0" u="none" strike="noStrike" baseline="0">
                <a:solidFill>
                  <a:srgbClr val="214F6B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13584512"/>
        <c:crosses val="autoZero"/>
        <c:auto val="1"/>
        <c:lblAlgn val="ctr"/>
        <c:lblOffset val="100"/>
        <c:noMultiLvlLbl val="0"/>
      </c:catAx>
      <c:valAx>
        <c:axId val="213584512"/>
        <c:scaling>
          <c:orientation val="minMax"/>
        </c:scaling>
        <c:delete val="1"/>
        <c:axPos val="l"/>
        <c:numFmt formatCode="0.00%" sourceLinked="1"/>
        <c:majorTickMark val="none"/>
        <c:minorTickMark val="none"/>
        <c:tickLblPos val="none"/>
        <c:crossAx val="2135829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ysClr val="window" lastClr="FFFFFF"/>
    </a:solidFill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214F6B"/>
                </a:solidFill>
                <a:latin typeface="Calibri"/>
                <a:ea typeface="Calibri"/>
                <a:cs typeface="Calibri"/>
              </a:defRPr>
            </a:pPr>
            <a:r>
              <a:rPr lang="en-US" sz="1400">
                <a:solidFill>
                  <a:srgbClr val="214F6B"/>
                </a:solidFill>
              </a:rPr>
              <a:t>Total Full-Time Equivalent Library Employees FY2021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4">
                <a:lumMod val="60000"/>
                <a:lumOff val="40000"/>
              </a:schemeClr>
            </a:solidFill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5EA3CE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C5A5-44C3-9C16-B0AAFCD17E30}"/>
              </c:ext>
            </c:extLst>
          </c:dPt>
          <c:dPt>
            <c:idx val="1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1-C5A5-44C3-9C16-B0AAFCD17E30}"/>
              </c:ext>
            </c:extLst>
          </c:dPt>
          <c:dPt>
            <c:idx val="2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2-C5A5-44C3-9C16-B0AAFCD17E3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0" i="0" u="none" strike="noStrike" baseline="0">
                    <a:solidFill>
                      <a:srgbClr val="214F6B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'2021Data'!$B$105:$B$107</c:f>
              <c:strCache>
                <c:ptCount val="3"/>
                <c:pt idx="0">
                  <c:v>ALAMANCE</c:v>
                </c:pt>
                <c:pt idx="1">
                  <c:v>Average 100,000-249,999 population</c:v>
                </c:pt>
                <c:pt idx="2">
                  <c:v>Average Statewide</c:v>
                </c:pt>
              </c:strCache>
            </c:strRef>
          </c:cat>
          <c:val>
            <c:numRef>
              <c:f>'2021Data'!$CS$105:$CS$107</c:f>
              <c:numCache>
                <c:formatCode>_(* #,##0.00_);_(* \(#,##0.00\);_(* "-"??_);_(@_)</c:formatCode>
                <c:ptCount val="3"/>
                <c:pt idx="0">
                  <c:v>65</c:v>
                </c:pt>
                <c:pt idx="1">
                  <c:v>41.591666666666661</c:v>
                </c:pt>
                <c:pt idx="2">
                  <c:v>37.284880952380959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5A5-44C3-9C16-B0AAFCD17E3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-25"/>
        <c:axId val="213610496"/>
        <c:axId val="213612032"/>
      </c:barChart>
      <c:catAx>
        <c:axId val="2136104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1" i="0" u="none" strike="noStrike" baseline="0">
                <a:solidFill>
                  <a:srgbClr val="214F6B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13612032"/>
        <c:crosses val="autoZero"/>
        <c:auto val="1"/>
        <c:lblAlgn val="ctr"/>
        <c:lblOffset val="100"/>
        <c:noMultiLvlLbl val="0"/>
      </c:catAx>
      <c:valAx>
        <c:axId val="213612032"/>
        <c:scaling>
          <c:orientation val="minMax"/>
        </c:scaling>
        <c:delete val="1"/>
        <c:axPos val="l"/>
        <c:numFmt formatCode="_(* #,##0.00_);_(* \(#,##0.00\);_(* &quot;-&quot;??_);_(@_)" sourceLinked="1"/>
        <c:majorTickMark val="none"/>
        <c:minorTickMark val="none"/>
        <c:tickLblPos val="none"/>
        <c:crossAx val="2136104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ysClr val="window" lastClr="FFFFFF"/>
    </a:solidFill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214F6B"/>
                </a:solidFill>
                <a:latin typeface="Calibri"/>
                <a:ea typeface="Calibri"/>
                <a:cs typeface="Calibri"/>
              </a:defRPr>
            </a:pPr>
            <a:r>
              <a:rPr lang="en-US" sz="1400">
                <a:solidFill>
                  <a:srgbClr val="214F6B"/>
                </a:solidFill>
              </a:rPr>
              <a:t>Total</a:t>
            </a:r>
            <a:r>
              <a:rPr lang="en-US" sz="1400" baseline="0">
                <a:solidFill>
                  <a:srgbClr val="214F6B"/>
                </a:solidFill>
              </a:rPr>
              <a:t> </a:t>
            </a:r>
            <a:r>
              <a:rPr lang="en-US" sz="1400">
                <a:solidFill>
                  <a:srgbClr val="214F6B"/>
                </a:solidFill>
              </a:rPr>
              <a:t>Collection Use Per Capita FY2021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6">
                <a:lumMod val="60000"/>
                <a:lumOff val="40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5EA3CE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D025-46EE-A8F4-B76DB24D2467}"/>
              </c:ext>
            </c:extLst>
          </c:dPt>
          <c:dPt>
            <c:idx val="1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2-7527-48C6-B167-A143F9A4BE8A}"/>
              </c:ext>
            </c:extLst>
          </c:dPt>
          <c:dPt>
            <c:idx val="2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7527-48C6-B167-A143F9A4BE8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0" i="0" u="none" strike="noStrike" baseline="0">
                    <a:solidFill>
                      <a:srgbClr val="214F6B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'2021Data'!$B$105:$B$107</c:f>
              <c:strCache>
                <c:ptCount val="3"/>
                <c:pt idx="0">
                  <c:v>ALAMANCE</c:v>
                </c:pt>
                <c:pt idx="1">
                  <c:v>Average 100,000-249,999 population</c:v>
                </c:pt>
                <c:pt idx="2">
                  <c:v>Average Statewide</c:v>
                </c:pt>
              </c:strCache>
            </c:strRef>
          </c:cat>
          <c:val>
            <c:numRef>
              <c:f>'2021Data'!$BU$105:$BU$107</c:f>
              <c:numCache>
                <c:formatCode>0.00</c:formatCode>
                <c:ptCount val="3"/>
                <c:pt idx="0">
                  <c:v>2.2906901337600076</c:v>
                </c:pt>
                <c:pt idx="1">
                  <c:v>3.2890371330046633</c:v>
                </c:pt>
                <c:pt idx="2">
                  <c:v>3.738997791934882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025-46EE-A8F4-B76DB24D246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-25"/>
        <c:axId val="207362688"/>
        <c:axId val="213954944"/>
      </c:barChart>
      <c:catAx>
        <c:axId val="207362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1" i="0" u="none" strike="noStrike" baseline="0">
                <a:solidFill>
                  <a:srgbClr val="214F6B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13954944"/>
        <c:crosses val="autoZero"/>
        <c:auto val="1"/>
        <c:lblAlgn val="ctr"/>
        <c:lblOffset val="100"/>
        <c:noMultiLvlLbl val="0"/>
      </c:catAx>
      <c:valAx>
        <c:axId val="213954944"/>
        <c:scaling>
          <c:orientation val="minMax"/>
        </c:scaling>
        <c:delete val="1"/>
        <c:axPos val="l"/>
        <c:numFmt formatCode="0.00" sourceLinked="1"/>
        <c:majorTickMark val="none"/>
        <c:minorTickMark val="none"/>
        <c:tickLblPos val="none"/>
        <c:crossAx val="20736268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ysClr val="window" lastClr="FFFFFF"/>
    </a:solidFill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/>
          <a:lstStyle/>
          <a:p>
            <a:pPr>
              <a:defRPr sz="1400">
                <a:solidFill>
                  <a:srgbClr val="214F6B"/>
                </a:solidFill>
              </a:defRPr>
            </a:pPr>
            <a:r>
              <a:rPr lang="en-US" sz="1400">
                <a:solidFill>
                  <a:srgbClr val="214F6B"/>
                </a:solidFill>
              </a:rPr>
              <a:t>Population per ALA-MLS Librarian FY2021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chemeClr val="accent1">
                <a:lumMod val="60000"/>
                <a:lumOff val="40000"/>
              </a:schemeClr>
            </a:solidFill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5EA3CE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2079-4C11-88BB-F7C82A93CCA8}"/>
              </c:ext>
            </c:extLst>
          </c:dPt>
          <c:dPt>
            <c:idx val="1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1-2079-4C11-88BB-F7C82A93CCA8}"/>
              </c:ext>
            </c:extLst>
          </c:dPt>
          <c:dPt>
            <c:idx val="2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2-2079-4C11-88BB-F7C82A93CCA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>
                    <a:solidFill>
                      <a:srgbClr val="214F6B"/>
                    </a:solidFill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'2021Data'!$B$105:$B$107</c:f>
              <c:strCache>
                <c:ptCount val="3"/>
                <c:pt idx="0">
                  <c:v>ALAMANCE</c:v>
                </c:pt>
                <c:pt idx="1">
                  <c:v>Average 100,000-249,999 population</c:v>
                </c:pt>
                <c:pt idx="2">
                  <c:v>Average Statewide</c:v>
                </c:pt>
              </c:strCache>
            </c:strRef>
          </c:cat>
          <c:val>
            <c:numRef>
              <c:f>'2021Data'!$CP$105:$CP$107</c:f>
              <c:numCache>
                <c:formatCode>_(* #,##0_);_(* \(#,##0\);_(* "-"??_);_(@_)</c:formatCode>
                <c:ptCount val="3"/>
                <c:pt idx="0">
                  <c:v>14999.727272727272</c:v>
                </c:pt>
                <c:pt idx="1">
                  <c:v>23456.446264211245</c:v>
                </c:pt>
                <c:pt idx="2">
                  <c:v>15957.084378333566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079-4C11-88BB-F7C82A93CCA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-25"/>
        <c:axId val="213636992"/>
        <c:axId val="213638528"/>
      </c:barChart>
      <c:catAx>
        <c:axId val="2136369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b="1">
                <a:solidFill>
                  <a:srgbClr val="214F6B"/>
                </a:solidFill>
              </a:defRPr>
            </a:pPr>
            <a:endParaRPr lang="en-US"/>
          </a:p>
        </c:txPr>
        <c:crossAx val="213638528"/>
        <c:crosses val="autoZero"/>
        <c:auto val="1"/>
        <c:lblAlgn val="ctr"/>
        <c:lblOffset val="100"/>
        <c:noMultiLvlLbl val="0"/>
      </c:catAx>
      <c:valAx>
        <c:axId val="213638528"/>
        <c:scaling>
          <c:orientation val="minMax"/>
        </c:scaling>
        <c:delete val="1"/>
        <c:axPos val="l"/>
        <c:numFmt formatCode="_(* #,##0_);_(* \(#,##0\);_(* &quot;-&quot;??_);_(@_)" sourceLinked="1"/>
        <c:majorTickMark val="none"/>
        <c:minorTickMark val="none"/>
        <c:tickLblPos val="none"/>
        <c:crossAx val="2136369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ysClr val="window" lastClr="FFFFFF"/>
    </a:solidFill>
  </c:spPr>
  <c:txPr>
    <a:bodyPr/>
    <a:lstStyle/>
    <a:p>
      <a:pPr>
        <a:defRPr>
          <a:latin typeface="Calibri" pitchFamily="34" charset="0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214F6B"/>
                </a:solidFill>
                <a:latin typeface="Calibri"/>
                <a:ea typeface="Calibri"/>
                <a:cs typeface="Calibri"/>
              </a:defRPr>
            </a:pPr>
            <a:r>
              <a:rPr lang="en-US" sz="1400">
                <a:solidFill>
                  <a:srgbClr val="214F6B"/>
                </a:solidFill>
              </a:rPr>
              <a:t>Unduplicated*</a:t>
            </a:r>
            <a:r>
              <a:rPr lang="en-US" sz="1400" baseline="0">
                <a:solidFill>
                  <a:srgbClr val="214F6B"/>
                </a:solidFill>
              </a:rPr>
              <a:t> </a:t>
            </a:r>
            <a:r>
              <a:rPr lang="en-US" sz="1400">
                <a:solidFill>
                  <a:srgbClr val="214F6B"/>
                </a:solidFill>
              </a:rPr>
              <a:t>Hours</a:t>
            </a:r>
            <a:r>
              <a:rPr lang="en-US" sz="1400" baseline="0">
                <a:solidFill>
                  <a:srgbClr val="214F6B"/>
                </a:solidFill>
              </a:rPr>
              <a:t> </a:t>
            </a:r>
            <a:r>
              <a:rPr lang="en-US" sz="1400">
                <a:solidFill>
                  <a:srgbClr val="214F6B"/>
                </a:solidFill>
              </a:rPr>
              <a:t>Open </a:t>
            </a:r>
            <a:br>
              <a:rPr lang="en-US" sz="1400">
                <a:solidFill>
                  <a:srgbClr val="214F6B"/>
                </a:solidFill>
              </a:rPr>
            </a:br>
            <a:r>
              <a:rPr lang="en-US" sz="1400">
                <a:solidFill>
                  <a:srgbClr val="214F6B"/>
                </a:solidFill>
              </a:rPr>
              <a:t>in a Typical Week FY2021</a:t>
            </a:r>
          </a:p>
        </c:rich>
      </c:tx>
      <c:layout>
        <c:manualLayout>
          <c:xMode val="edge"/>
          <c:yMode val="edge"/>
          <c:x val="0.2209764631461382"/>
          <c:y val="2.0746215840389954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chemeClr val="bg1">
                <a:lumMod val="75000"/>
              </a:schemeClr>
            </a:solidFill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5EA3CE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E0D1-4F15-B756-DB5458CCD6CF}"/>
              </c:ext>
            </c:extLst>
          </c:dPt>
          <c:dPt>
            <c:idx val="1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1-E0D1-4F15-B756-DB5458CCD6CF}"/>
              </c:ext>
            </c:extLst>
          </c:dPt>
          <c:dPt>
            <c:idx val="2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2-E0D1-4F15-B756-DB5458CCD6C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>
                    <a:solidFill>
                      <a:srgbClr val="214F6B"/>
                    </a:solidFill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'2021Data'!$B$105:$B$107</c:f>
              <c:strCache>
                <c:ptCount val="3"/>
                <c:pt idx="0">
                  <c:v>ALAMANCE</c:v>
                </c:pt>
                <c:pt idx="1">
                  <c:v>Average 100,000-249,999 population</c:v>
                </c:pt>
                <c:pt idx="2">
                  <c:v>Average Statewide</c:v>
                </c:pt>
              </c:strCache>
            </c:strRef>
          </c:cat>
          <c:val>
            <c:numRef>
              <c:f>'2021Data'!$DH$105:$DH$107</c:f>
              <c:numCache>
                <c:formatCode>_(* #,##0_);_(* \(#,##0\);_(* "-"??_);_(@_)</c:formatCode>
                <c:ptCount val="3"/>
                <c:pt idx="0">
                  <c:v>6.944368685491252E-2</c:v>
                </c:pt>
                <c:pt idx="1">
                  <c:v>5.399027807890603E-2</c:v>
                </c:pt>
                <c:pt idx="2">
                  <c:v>0.28128763825153807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0D1-4F15-B756-DB5458CCD6C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-25"/>
        <c:axId val="221299072"/>
        <c:axId val="221300608"/>
      </c:barChart>
      <c:catAx>
        <c:axId val="2212990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1" i="0" u="none" strike="noStrike" baseline="0">
                <a:solidFill>
                  <a:srgbClr val="214F6B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21300608"/>
        <c:crosses val="autoZero"/>
        <c:auto val="1"/>
        <c:lblAlgn val="ctr"/>
        <c:lblOffset val="100"/>
        <c:noMultiLvlLbl val="0"/>
      </c:catAx>
      <c:valAx>
        <c:axId val="221300608"/>
        <c:scaling>
          <c:orientation val="minMax"/>
        </c:scaling>
        <c:delete val="1"/>
        <c:axPos val="l"/>
        <c:numFmt formatCode="_(* #,##0_);_(* \(#,##0\);_(* &quot;-&quot;??_);_(@_)" sourceLinked="1"/>
        <c:majorTickMark val="none"/>
        <c:minorTickMark val="none"/>
        <c:tickLblPos val="none"/>
        <c:crossAx val="2212990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ysClr val="window" lastClr="FFFFFF"/>
    </a:solidFill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1"/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214F6B"/>
                </a:solidFill>
                <a:latin typeface="Calibri"/>
                <a:ea typeface="Calibri"/>
                <a:cs typeface="Calibri"/>
              </a:defRPr>
            </a:pPr>
            <a:r>
              <a:rPr lang="en-US" sz="1400">
                <a:solidFill>
                  <a:srgbClr val="214F6B"/>
                </a:solidFill>
              </a:rPr>
              <a:t>Population</a:t>
            </a:r>
            <a:r>
              <a:rPr lang="en-US" sz="1400" baseline="0">
                <a:solidFill>
                  <a:srgbClr val="214F6B"/>
                </a:solidFill>
              </a:rPr>
              <a:t> per Total Paid Staff</a:t>
            </a:r>
            <a:br>
              <a:rPr lang="en-US" sz="1400" baseline="0">
                <a:solidFill>
                  <a:srgbClr val="214F6B"/>
                </a:solidFill>
              </a:rPr>
            </a:br>
            <a:r>
              <a:rPr lang="en-US" sz="1400">
                <a:solidFill>
                  <a:srgbClr val="214F6B"/>
                </a:solidFill>
              </a:rPr>
              <a:t>FY2021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5EA3CE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88E1-44BC-8242-951577CACB6F}"/>
              </c:ext>
            </c:extLst>
          </c:dPt>
          <c:dPt>
            <c:idx val="1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1-88E1-44BC-8242-951577CACB6F}"/>
              </c:ext>
            </c:extLst>
          </c:dPt>
          <c:dPt>
            <c:idx val="2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2-88E1-44BC-8242-951577CACB6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0" i="0" u="none" strike="noStrike" baseline="0">
                    <a:solidFill>
                      <a:srgbClr val="214F6B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'2021Data'!$B$105:$B$107</c:f>
              <c:strCache>
                <c:ptCount val="3"/>
                <c:pt idx="0">
                  <c:v>ALAMANCE</c:v>
                </c:pt>
                <c:pt idx="1">
                  <c:v>Average 100,000-249,999 population</c:v>
                </c:pt>
                <c:pt idx="2">
                  <c:v>Average Statewide</c:v>
                </c:pt>
              </c:strCache>
            </c:strRef>
          </c:cat>
          <c:val>
            <c:numRef>
              <c:f>'2021Data'!$CT$105:$CT$107</c:f>
              <c:numCache>
                <c:formatCode>_(* #,##0_);_(* \(#,##0\);_(* "-"??_);_(@_)</c:formatCode>
                <c:ptCount val="3"/>
                <c:pt idx="0">
                  <c:v>2538.4153846153845</c:v>
                </c:pt>
                <c:pt idx="1">
                  <c:v>4228.959438064664</c:v>
                </c:pt>
                <c:pt idx="2">
                  <c:v>3613.7609206646866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8E1-44BC-8242-951577CACB6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-25"/>
        <c:axId val="221452928"/>
        <c:axId val="221467008"/>
      </c:barChart>
      <c:catAx>
        <c:axId val="2214529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1" i="0" u="none" strike="noStrike" baseline="0">
                <a:solidFill>
                  <a:srgbClr val="214F6B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21467008"/>
        <c:crosses val="autoZero"/>
        <c:auto val="1"/>
        <c:lblAlgn val="ctr"/>
        <c:lblOffset val="100"/>
        <c:noMultiLvlLbl val="0"/>
      </c:catAx>
      <c:valAx>
        <c:axId val="221467008"/>
        <c:scaling>
          <c:orientation val="minMax"/>
        </c:scaling>
        <c:delete val="1"/>
        <c:axPos val="l"/>
        <c:numFmt formatCode="_(* #,##0_);_(* \(#,##0\);_(* &quot;-&quot;??_);_(@_)" sourceLinked="1"/>
        <c:majorTickMark val="none"/>
        <c:minorTickMark val="none"/>
        <c:tickLblPos val="none"/>
        <c:crossAx val="2214529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ysClr val="window" lastClr="FFFFFF"/>
    </a:solidFill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214F6B"/>
                </a:solidFill>
                <a:latin typeface="Calibri"/>
                <a:ea typeface="Calibri"/>
                <a:cs typeface="Calibri"/>
              </a:defRPr>
            </a:pPr>
            <a:r>
              <a:rPr lang="en-US" sz="1400">
                <a:solidFill>
                  <a:srgbClr val="214F6B"/>
                </a:solidFill>
              </a:rPr>
              <a:t>Reference Per Capita</a:t>
            </a:r>
            <a:br>
              <a:rPr lang="en-US" sz="1400">
                <a:solidFill>
                  <a:srgbClr val="214F6B"/>
                </a:solidFill>
              </a:rPr>
            </a:br>
            <a:r>
              <a:rPr lang="en-US" sz="1400">
                <a:solidFill>
                  <a:srgbClr val="214F6B"/>
                </a:solidFill>
              </a:rPr>
              <a:t>FY2021</a:t>
            </a:r>
          </a:p>
        </c:rich>
      </c:tx>
      <c:overlay val="0"/>
      <c:spPr>
        <a:solidFill>
          <a:sysClr val="window" lastClr="FFFFFF"/>
        </a:solidFill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4">
                <a:lumMod val="60000"/>
                <a:lumOff val="40000"/>
              </a:schemeClr>
            </a:solidFill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5EA3CE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84E9-483C-AF7C-043A3965B3EC}"/>
              </c:ext>
            </c:extLst>
          </c:dPt>
          <c:dPt>
            <c:idx val="1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2-83EE-43CE-BA9C-ACA407885E33}"/>
              </c:ext>
            </c:extLst>
          </c:dPt>
          <c:dPt>
            <c:idx val="2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3-83EE-43CE-BA9C-ACA407885E3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0" i="0" u="none" strike="noStrike" baseline="0">
                    <a:solidFill>
                      <a:srgbClr val="214F6B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'2021Data'!$B$105:$B$107</c:f>
              <c:strCache>
                <c:ptCount val="3"/>
                <c:pt idx="0">
                  <c:v>ALAMANCE</c:v>
                </c:pt>
                <c:pt idx="1">
                  <c:v>Average 100,000-249,999 population</c:v>
                </c:pt>
                <c:pt idx="2">
                  <c:v>Average Statewide</c:v>
                </c:pt>
              </c:strCache>
            </c:strRef>
          </c:cat>
          <c:val>
            <c:numRef>
              <c:f>'2021Data'!$BO$105:$BO$107</c:f>
              <c:numCache>
                <c:formatCode>0.00</c:formatCode>
                <c:ptCount val="3"/>
                <c:pt idx="0">
                  <c:v>0.12579622659805936</c:v>
                </c:pt>
                <c:pt idx="1">
                  <c:v>0.32097172688404296</c:v>
                </c:pt>
                <c:pt idx="2">
                  <c:v>0.33245709175040428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4E9-483C-AF7C-043A3965B3E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-25"/>
        <c:axId val="210982400"/>
        <c:axId val="210983936"/>
      </c:barChart>
      <c:catAx>
        <c:axId val="2109824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1" i="0" u="none" strike="noStrike" baseline="0">
                <a:solidFill>
                  <a:srgbClr val="214F6B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10983936"/>
        <c:crosses val="autoZero"/>
        <c:auto val="1"/>
        <c:lblAlgn val="ctr"/>
        <c:lblOffset val="100"/>
        <c:noMultiLvlLbl val="0"/>
      </c:catAx>
      <c:valAx>
        <c:axId val="210983936"/>
        <c:scaling>
          <c:orientation val="minMax"/>
        </c:scaling>
        <c:delete val="1"/>
        <c:axPos val="l"/>
        <c:numFmt formatCode="0.00" sourceLinked="1"/>
        <c:majorTickMark val="none"/>
        <c:minorTickMark val="none"/>
        <c:tickLblPos val="none"/>
        <c:crossAx val="2109824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ysClr val="window" lastClr="FFFFFF"/>
    </a:solidFill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214F6B"/>
                </a:solidFill>
                <a:latin typeface="Calibri"/>
                <a:ea typeface="Calibri"/>
                <a:cs typeface="Calibri"/>
              </a:defRPr>
            </a:pPr>
            <a:r>
              <a:rPr lang="en-US" sz="1400" b="1" i="0" u="none" strike="noStrike" baseline="0">
                <a:solidFill>
                  <a:srgbClr val="214F6B"/>
                </a:solidFill>
                <a:latin typeface="Calibri"/>
              </a:rPr>
              <a:t>Library Square Footage</a:t>
            </a:r>
          </a:p>
          <a:p>
            <a:pPr>
              <a:defRPr sz="1400" b="0" i="0" u="none" strike="noStrike" baseline="0">
                <a:solidFill>
                  <a:srgbClr val="214F6B"/>
                </a:solidFill>
                <a:latin typeface="Calibri"/>
                <a:ea typeface="Calibri"/>
                <a:cs typeface="Calibri"/>
              </a:defRPr>
            </a:pPr>
            <a:r>
              <a:rPr lang="en-US" sz="1400" b="1" i="0" u="none" strike="noStrike" baseline="0">
                <a:solidFill>
                  <a:srgbClr val="214F6B"/>
                </a:solidFill>
                <a:latin typeface="Calibri"/>
              </a:rPr>
              <a:t>Per Capita FY2021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3.3950617283950615E-2"/>
          <c:y val="0.19460207612456748"/>
          <c:w val="0.96604938271604934"/>
          <c:h val="0.6335100672969512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bg1">
                <a:lumMod val="50000"/>
              </a:schemeClr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5EA3CE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3EA5-4498-95D5-B049A420A1E2}"/>
              </c:ext>
            </c:extLst>
          </c:dPt>
          <c:dPt>
            <c:idx val="1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EA5-4498-95D5-B049A420A1E2}"/>
              </c:ext>
            </c:extLst>
          </c:dPt>
          <c:dPt>
            <c:idx val="2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3EA5-4498-95D5-B049A420A1E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0" i="0" u="none" strike="noStrike" baseline="0">
                    <a:solidFill>
                      <a:srgbClr val="214F6B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'2021Data'!$B$105:$B$107</c:f>
              <c:strCache>
                <c:ptCount val="3"/>
                <c:pt idx="0">
                  <c:v>ALAMANCE</c:v>
                </c:pt>
                <c:pt idx="1">
                  <c:v>Average 100,000-249,999 population</c:v>
                </c:pt>
                <c:pt idx="2">
                  <c:v>Average Statewide</c:v>
                </c:pt>
              </c:strCache>
            </c:strRef>
          </c:cat>
          <c:val>
            <c:numRef>
              <c:f>'2021Data'!$I$105:$I$107</c:f>
              <c:numCache>
                <c:formatCode>0.00</c:formatCode>
                <c:ptCount val="3"/>
                <c:pt idx="0">
                  <c:v>0.34588999999999998</c:v>
                </c:pt>
                <c:pt idx="1">
                  <c:v>0.49835956521739133</c:v>
                </c:pt>
                <c:pt idx="2">
                  <c:v>0.55860402439024393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EA5-4498-95D5-B049A420A1E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-25"/>
        <c:axId val="222009600"/>
        <c:axId val="222015488"/>
      </c:barChart>
      <c:catAx>
        <c:axId val="2220096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1" i="0" u="none" strike="noStrike" baseline="0">
                <a:solidFill>
                  <a:srgbClr val="214F6B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22015488"/>
        <c:crosses val="autoZero"/>
        <c:auto val="1"/>
        <c:lblAlgn val="ctr"/>
        <c:lblOffset val="100"/>
        <c:noMultiLvlLbl val="0"/>
      </c:catAx>
      <c:valAx>
        <c:axId val="222015488"/>
        <c:scaling>
          <c:orientation val="minMax"/>
        </c:scaling>
        <c:delete val="1"/>
        <c:axPos val="l"/>
        <c:numFmt formatCode="0.00" sourceLinked="1"/>
        <c:majorTickMark val="none"/>
        <c:minorTickMark val="none"/>
        <c:tickLblPos val="none"/>
        <c:crossAx val="2220096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ysClr val="window" lastClr="FFFFFF"/>
    </a:solidFill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214F6B"/>
                </a:solidFill>
                <a:latin typeface="Calibri"/>
                <a:ea typeface="Calibri"/>
                <a:cs typeface="Calibri"/>
              </a:defRPr>
            </a:pPr>
            <a:r>
              <a:rPr lang="en-US" sz="1400">
                <a:solidFill>
                  <a:srgbClr val="214F6B"/>
                </a:solidFill>
              </a:rPr>
              <a:t>Physical</a:t>
            </a:r>
            <a:r>
              <a:rPr lang="en-US" sz="1400" baseline="0">
                <a:solidFill>
                  <a:srgbClr val="214F6B"/>
                </a:solidFill>
              </a:rPr>
              <a:t> Material Expenditure per Physical Circulation</a:t>
            </a:r>
            <a:r>
              <a:rPr lang="en-US" sz="1400">
                <a:solidFill>
                  <a:srgbClr val="214F6B"/>
                </a:solidFill>
              </a:rPr>
              <a:t> FY2021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4">
                <a:lumMod val="75000"/>
              </a:schemeClr>
            </a:solidFill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5EA3CE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4C69-4A92-BBA3-0F9366F75B62}"/>
              </c:ext>
            </c:extLst>
          </c:dPt>
          <c:dPt>
            <c:idx val="1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3-4C69-4A92-BBA3-0F9366F75B62}"/>
              </c:ext>
            </c:extLst>
          </c:dPt>
          <c:dPt>
            <c:idx val="2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5-4C69-4A92-BBA3-0F9366F75B6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0" i="0" u="none" strike="noStrike" baseline="0">
                    <a:solidFill>
                      <a:srgbClr val="214F6B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'2021Data'!$B$105:$B$107</c:f>
              <c:strCache>
                <c:ptCount val="3"/>
                <c:pt idx="0">
                  <c:v>ALAMANCE</c:v>
                </c:pt>
                <c:pt idx="1">
                  <c:v>Average 100,000-249,999 population</c:v>
                </c:pt>
                <c:pt idx="2">
                  <c:v>Average Statewide</c:v>
                </c:pt>
              </c:strCache>
            </c:strRef>
          </c:cat>
          <c:val>
            <c:numRef>
              <c:f>'2021Data'!$EA$105:$EA$107</c:f>
              <c:numCache>
                <c:formatCode>"$"#,##0.00</c:formatCode>
                <c:ptCount val="3"/>
                <c:pt idx="0">
                  <c:v>0.4683021675276906</c:v>
                </c:pt>
                <c:pt idx="1">
                  <c:v>0.45813858354941478</c:v>
                </c:pt>
                <c:pt idx="2">
                  <c:v>0.63319132090839281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C69-4A92-BBA3-0F9366F75B6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-25"/>
        <c:axId val="221974528"/>
        <c:axId val="221976064"/>
      </c:barChart>
      <c:catAx>
        <c:axId val="2219745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1" i="0" u="none" strike="noStrike" baseline="0">
                <a:solidFill>
                  <a:srgbClr val="214F6B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21976064"/>
        <c:crosses val="autoZero"/>
        <c:auto val="1"/>
        <c:lblAlgn val="ctr"/>
        <c:lblOffset val="100"/>
        <c:noMultiLvlLbl val="0"/>
      </c:catAx>
      <c:valAx>
        <c:axId val="221976064"/>
        <c:scaling>
          <c:orientation val="minMax"/>
        </c:scaling>
        <c:delete val="1"/>
        <c:axPos val="l"/>
        <c:numFmt formatCode="&quot;$&quot;#,##0.00" sourceLinked="1"/>
        <c:majorTickMark val="none"/>
        <c:minorTickMark val="none"/>
        <c:tickLblPos val="none"/>
        <c:crossAx val="2219745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ysClr val="window" lastClr="FFFFFF"/>
    </a:solidFill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214F6B"/>
                </a:solidFill>
                <a:latin typeface="Calibri"/>
                <a:ea typeface="Calibri"/>
                <a:cs typeface="Calibri"/>
              </a:defRPr>
            </a:pPr>
            <a:r>
              <a:rPr lang="en-US" sz="1400">
                <a:solidFill>
                  <a:srgbClr val="214F6B"/>
                </a:solidFill>
              </a:rPr>
              <a:t>Digital</a:t>
            </a:r>
            <a:r>
              <a:rPr lang="en-US" sz="1400" baseline="0">
                <a:solidFill>
                  <a:srgbClr val="214F6B"/>
                </a:solidFill>
              </a:rPr>
              <a:t> Material Expenditure per </a:t>
            </a:r>
            <a:br>
              <a:rPr lang="en-US" sz="1400" baseline="0">
                <a:solidFill>
                  <a:srgbClr val="214F6B"/>
                </a:solidFill>
              </a:rPr>
            </a:br>
            <a:r>
              <a:rPr lang="en-US" sz="1400" baseline="0">
                <a:solidFill>
                  <a:srgbClr val="214F6B"/>
                </a:solidFill>
              </a:rPr>
              <a:t>Digital Circulation</a:t>
            </a:r>
            <a:r>
              <a:rPr lang="en-US" sz="1400">
                <a:solidFill>
                  <a:srgbClr val="214F6B"/>
                </a:solidFill>
              </a:rPr>
              <a:t> FY2021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4">
                <a:lumMod val="75000"/>
              </a:schemeClr>
            </a:solidFill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5EA3CE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A0E-45A8-9692-EBD9A53A8976}"/>
              </c:ext>
            </c:extLst>
          </c:dPt>
          <c:dPt>
            <c:idx val="1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3-3A0E-45A8-9692-EBD9A53A8976}"/>
              </c:ext>
            </c:extLst>
          </c:dPt>
          <c:dPt>
            <c:idx val="2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5-3A0E-45A8-9692-EBD9A53A897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0" i="0" u="none" strike="noStrike" baseline="0">
                    <a:solidFill>
                      <a:srgbClr val="214F6B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'2021Data'!$B$105:$B$107</c:f>
              <c:strCache>
                <c:ptCount val="3"/>
                <c:pt idx="0">
                  <c:v>ALAMANCE</c:v>
                </c:pt>
                <c:pt idx="1">
                  <c:v>Average 100,000-249,999 population</c:v>
                </c:pt>
                <c:pt idx="2">
                  <c:v>Average Statewide</c:v>
                </c:pt>
              </c:strCache>
            </c:strRef>
          </c:cat>
          <c:val>
            <c:numRef>
              <c:f>'2021Data'!$EB$105:$EB$107</c:f>
              <c:numCache>
                <c:formatCode>"$"#,##0.00</c:formatCode>
                <c:ptCount val="3"/>
                <c:pt idx="0">
                  <c:v>0.69596418104348234</c:v>
                </c:pt>
                <c:pt idx="1">
                  <c:v>0.33440721502329701</c:v>
                </c:pt>
                <c:pt idx="2">
                  <c:v>0.5194011075956626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A0E-45A8-9692-EBD9A53A897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-25"/>
        <c:axId val="221974528"/>
        <c:axId val="221976064"/>
      </c:barChart>
      <c:catAx>
        <c:axId val="2219745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1" i="0" u="none" strike="noStrike" baseline="0">
                <a:solidFill>
                  <a:srgbClr val="214F6B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21976064"/>
        <c:crosses val="autoZero"/>
        <c:auto val="1"/>
        <c:lblAlgn val="ctr"/>
        <c:lblOffset val="100"/>
        <c:noMultiLvlLbl val="0"/>
      </c:catAx>
      <c:valAx>
        <c:axId val="221976064"/>
        <c:scaling>
          <c:orientation val="minMax"/>
        </c:scaling>
        <c:delete val="1"/>
        <c:axPos val="l"/>
        <c:numFmt formatCode="&quot;$&quot;#,##0.00" sourceLinked="1"/>
        <c:majorTickMark val="none"/>
        <c:minorTickMark val="none"/>
        <c:tickLblPos val="none"/>
        <c:crossAx val="2219745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ysClr val="window" lastClr="FFFFFF"/>
    </a:solidFill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214F6B"/>
                </a:solidFill>
                <a:latin typeface="Calibri"/>
                <a:ea typeface="Calibri"/>
                <a:cs typeface="Calibri"/>
              </a:defRPr>
            </a:pPr>
            <a:r>
              <a:rPr lang="en-US" sz="1400">
                <a:solidFill>
                  <a:srgbClr val="214F6B"/>
                </a:solidFill>
              </a:rPr>
              <a:t>Annual</a:t>
            </a:r>
            <a:r>
              <a:rPr lang="en-US" sz="1400" baseline="0">
                <a:solidFill>
                  <a:srgbClr val="214F6B"/>
                </a:solidFill>
              </a:rPr>
              <a:t> Volunteer Hours</a:t>
            </a:r>
            <a:br>
              <a:rPr lang="en-US" sz="1400" baseline="0">
                <a:solidFill>
                  <a:srgbClr val="214F6B"/>
                </a:solidFill>
              </a:rPr>
            </a:br>
            <a:r>
              <a:rPr lang="en-US" sz="1400">
                <a:solidFill>
                  <a:srgbClr val="214F6B"/>
                </a:solidFill>
              </a:rPr>
              <a:t>FY2021</a:t>
            </a:r>
          </a:p>
        </c:rich>
      </c:tx>
      <c:layout>
        <c:manualLayout>
          <c:xMode val="edge"/>
          <c:yMode val="edge"/>
          <c:x val="0.25098587213635332"/>
          <c:y val="4.5063923352692818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4">
                <a:lumMod val="75000"/>
              </a:schemeClr>
            </a:solidFill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5EA3CE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27D-470D-96BC-8992EDF2771D}"/>
              </c:ext>
            </c:extLst>
          </c:dPt>
          <c:dPt>
            <c:idx val="1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3-327D-470D-96BC-8992EDF2771D}"/>
              </c:ext>
            </c:extLst>
          </c:dPt>
          <c:dPt>
            <c:idx val="2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5-327D-470D-96BC-8992EDF2771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0" i="0" u="none" strike="noStrike" baseline="0">
                    <a:solidFill>
                      <a:srgbClr val="214F6B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'2021Data'!$B$105:$B$107</c:f>
              <c:strCache>
                <c:ptCount val="3"/>
                <c:pt idx="0">
                  <c:v>ALAMANCE</c:v>
                </c:pt>
                <c:pt idx="1">
                  <c:v>Average 100,000-249,999 population</c:v>
                </c:pt>
                <c:pt idx="2">
                  <c:v>Average Statewide</c:v>
                </c:pt>
              </c:strCache>
            </c:strRef>
          </c:cat>
          <c:val>
            <c:numRef>
              <c:f>'2021Data'!$CU$105:$CU$107</c:f>
              <c:numCache>
                <c:formatCode>_(* #,##0_);_(* \(#,##0\);_(* "-"??_);_(@_)</c:formatCode>
                <c:ptCount val="3"/>
                <c:pt idx="0">
                  <c:v>375</c:v>
                </c:pt>
                <c:pt idx="1">
                  <c:v>1032.5217391304348</c:v>
                </c:pt>
                <c:pt idx="2">
                  <c:v>539.66666666666663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27D-470D-96BC-8992EDF2771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-25"/>
        <c:axId val="221974528"/>
        <c:axId val="221976064"/>
      </c:barChart>
      <c:catAx>
        <c:axId val="2219745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1" i="0" u="none" strike="noStrike" baseline="0">
                <a:solidFill>
                  <a:srgbClr val="214F6B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21976064"/>
        <c:crosses val="autoZero"/>
        <c:auto val="1"/>
        <c:lblAlgn val="ctr"/>
        <c:lblOffset val="100"/>
        <c:noMultiLvlLbl val="0"/>
      </c:catAx>
      <c:valAx>
        <c:axId val="221976064"/>
        <c:scaling>
          <c:orientation val="minMax"/>
        </c:scaling>
        <c:delete val="1"/>
        <c:axPos val="l"/>
        <c:numFmt formatCode="_(* #,##0_);_(* \(#,##0\);_(* &quot;-&quot;??_);_(@_)" sourceLinked="1"/>
        <c:majorTickMark val="none"/>
        <c:minorTickMark val="none"/>
        <c:tickLblPos val="none"/>
        <c:crossAx val="2219745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ysClr val="window" lastClr="FFFFFF"/>
    </a:solidFill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600">
                <a:solidFill>
                  <a:srgbClr val="214F6B"/>
                </a:solidFill>
              </a:rPr>
              <a:t>Library Visits Per Capita FY2021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AAE0DC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44F9-41CF-9CE2-2F6F8384F45F}"/>
              </c:ext>
            </c:extLst>
          </c:dPt>
          <c:dPt>
            <c:idx val="1"/>
            <c:invertIfNegative val="0"/>
            <c:bubble3D val="0"/>
            <c:spPr>
              <a:solidFill>
                <a:srgbClr val="5EA3CE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A822-4E17-A6DB-46AB4F37940F}"/>
              </c:ext>
            </c:extLst>
          </c:dPt>
          <c:dPt>
            <c:idx val="2"/>
            <c:invertIfNegative val="0"/>
            <c:bubble3D val="0"/>
            <c:spPr>
              <a:solidFill>
                <a:srgbClr val="5EA3CE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A822-4E17-A6DB-46AB4F37940F}"/>
              </c:ext>
            </c:extLst>
          </c:dPt>
          <c:dPt>
            <c:idx val="3"/>
            <c:invertIfNegative val="0"/>
            <c:bubble3D val="0"/>
            <c:spPr>
              <a:solidFill>
                <a:srgbClr val="5EA3CE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A822-4E17-A6DB-46AB4F37940F}"/>
              </c:ext>
            </c:extLst>
          </c:dPt>
          <c:dPt>
            <c:idx val="4"/>
            <c:invertIfNegative val="0"/>
            <c:bubble3D val="0"/>
            <c:spPr>
              <a:solidFill>
                <a:srgbClr val="5EA3CE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A822-4E17-A6DB-46AB4F37940F}"/>
              </c:ext>
            </c:extLst>
          </c:dPt>
          <c:dPt>
            <c:idx val="5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44F9-41CF-9CE2-2F6F8384F45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0" i="0" u="none" strike="noStrike" baseline="0">
                    <a:solidFill>
                      <a:srgbClr val="214F6B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'2021Data'!$B$116:$B$121</c:f>
              <c:strCache>
                <c:ptCount val="6"/>
                <c:pt idx="0">
                  <c:v>ALAMANCE </c:v>
                </c:pt>
                <c:pt idx="1">
                  <c:v>ALAMANCE </c:v>
                </c:pt>
                <c:pt idx="2">
                  <c:v>ALAMANCE </c:v>
                </c:pt>
                <c:pt idx="3">
                  <c:v>ALAMANCE </c:v>
                </c:pt>
                <c:pt idx="4">
                  <c:v>ALAMANCE </c:v>
                </c:pt>
                <c:pt idx="5">
                  <c:v>Average Statewide</c:v>
                </c:pt>
              </c:strCache>
            </c:strRef>
          </c:cat>
          <c:val>
            <c:numRef>
              <c:f>'2021Data'!$CJ$116:$CJ$121</c:f>
              <c:numCache>
                <c:formatCode>0.00</c:formatCode>
                <c:ptCount val="6"/>
                <c:pt idx="0">
                  <c:v>0.53166421207658321</c:v>
                </c:pt>
                <c:pt idx="1">
                  <c:v>0.53166421207658321</c:v>
                </c:pt>
                <c:pt idx="2">
                  <c:v>0.53166421207658321</c:v>
                </c:pt>
                <c:pt idx="3">
                  <c:v>0.53166421207658321</c:v>
                </c:pt>
                <c:pt idx="4">
                  <c:v>0.53166421207658321</c:v>
                </c:pt>
                <c:pt idx="5">
                  <c:v>1.0138611254224486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4F9-41CF-9CE2-2F6F8384F45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-25"/>
        <c:axId val="221421568"/>
        <c:axId val="221423104"/>
      </c:barChart>
      <c:catAx>
        <c:axId val="221421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900" b="1" i="0" u="none" strike="noStrike" baseline="0">
                <a:solidFill>
                  <a:srgbClr val="214F6B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21423104"/>
        <c:crosses val="autoZero"/>
        <c:auto val="1"/>
        <c:lblAlgn val="ctr"/>
        <c:lblOffset val="100"/>
        <c:noMultiLvlLbl val="0"/>
      </c:catAx>
      <c:valAx>
        <c:axId val="221423104"/>
        <c:scaling>
          <c:orientation val="minMax"/>
        </c:scaling>
        <c:delete val="1"/>
        <c:axPos val="l"/>
        <c:numFmt formatCode="0.00" sourceLinked="1"/>
        <c:majorTickMark val="none"/>
        <c:minorTickMark val="none"/>
        <c:tickLblPos val="none"/>
        <c:crossAx val="2214215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ysClr val="window" lastClr="FFFFFF"/>
    </a:solidFill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1343" l="0.70000000000000062" r="0.70000000000000062" t="0.75000000000001343" header="0.30000000000000032" footer="0.30000000000000032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214F6B"/>
                </a:solidFill>
                <a:latin typeface="Calibri"/>
                <a:ea typeface="Calibri"/>
                <a:cs typeface="Calibri"/>
              </a:defRPr>
            </a:pPr>
            <a:r>
              <a:rPr lang="en-US" sz="1600">
                <a:solidFill>
                  <a:srgbClr val="214F6B"/>
                </a:solidFill>
              </a:rPr>
              <a:t>Collection</a:t>
            </a:r>
            <a:r>
              <a:rPr lang="en-US" sz="1600" baseline="0">
                <a:solidFill>
                  <a:srgbClr val="214F6B"/>
                </a:solidFill>
              </a:rPr>
              <a:t> Use </a:t>
            </a:r>
            <a:r>
              <a:rPr lang="en-US" sz="1600">
                <a:solidFill>
                  <a:srgbClr val="214F6B"/>
                </a:solidFill>
              </a:rPr>
              <a:t>Per Capita</a:t>
            </a:r>
            <a:r>
              <a:rPr lang="en-US" sz="1600" baseline="0">
                <a:solidFill>
                  <a:srgbClr val="214F6B"/>
                </a:solidFill>
              </a:rPr>
              <a:t> </a:t>
            </a:r>
            <a:r>
              <a:rPr lang="en-US" sz="1600" b="1" i="0" u="none" strike="noStrike" baseline="0">
                <a:solidFill>
                  <a:srgbClr val="214F6B"/>
                </a:solidFill>
              </a:rPr>
              <a:t>FY2021</a:t>
            </a:r>
            <a:endParaRPr lang="en-US" sz="1600">
              <a:solidFill>
                <a:srgbClr val="214F6B"/>
              </a:solidFill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6">
                <a:lumMod val="60000"/>
                <a:lumOff val="40000"/>
              </a:schemeClr>
            </a:solidFill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AAE0DC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1304-4831-B359-04222EA06730}"/>
              </c:ext>
            </c:extLst>
          </c:dPt>
          <c:dPt>
            <c:idx val="1"/>
            <c:invertIfNegative val="0"/>
            <c:bubble3D val="0"/>
            <c:spPr>
              <a:solidFill>
                <a:srgbClr val="5EA3CE"/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4-96C9-41A5-ADD2-ACA2B27A7F73}"/>
              </c:ext>
            </c:extLst>
          </c:dPt>
          <c:dPt>
            <c:idx val="2"/>
            <c:invertIfNegative val="0"/>
            <c:bubble3D val="0"/>
            <c:spPr>
              <a:solidFill>
                <a:srgbClr val="5EA3CE"/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5-96C9-41A5-ADD2-ACA2B27A7F73}"/>
              </c:ext>
            </c:extLst>
          </c:dPt>
          <c:dPt>
            <c:idx val="3"/>
            <c:invertIfNegative val="0"/>
            <c:bubble3D val="0"/>
            <c:spPr>
              <a:solidFill>
                <a:srgbClr val="5EA3CE"/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6-96C9-41A5-ADD2-ACA2B27A7F73}"/>
              </c:ext>
            </c:extLst>
          </c:dPt>
          <c:dPt>
            <c:idx val="4"/>
            <c:invertIfNegative val="0"/>
            <c:bubble3D val="0"/>
            <c:spPr>
              <a:solidFill>
                <a:srgbClr val="5EA3CE"/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7-96C9-41A5-ADD2-ACA2B27A7F73}"/>
              </c:ext>
            </c:extLst>
          </c:dPt>
          <c:dPt>
            <c:idx val="5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1-1304-4831-B359-04222EA0673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214F6B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'2021Data'!$B$116:$B$121</c:f>
              <c:strCache>
                <c:ptCount val="6"/>
                <c:pt idx="0">
                  <c:v>ALAMANCE </c:v>
                </c:pt>
                <c:pt idx="1">
                  <c:v>ALAMANCE </c:v>
                </c:pt>
                <c:pt idx="2">
                  <c:v>ALAMANCE </c:v>
                </c:pt>
                <c:pt idx="3">
                  <c:v>ALAMANCE </c:v>
                </c:pt>
                <c:pt idx="4">
                  <c:v>ALAMANCE </c:v>
                </c:pt>
                <c:pt idx="5">
                  <c:v>Average Statewide</c:v>
                </c:pt>
              </c:strCache>
            </c:strRef>
          </c:cat>
          <c:val>
            <c:numRef>
              <c:f>'2021Data'!$BU$116:$BU$121</c:f>
              <c:numCache>
                <c:formatCode>0.00</c:formatCode>
                <c:ptCount val="6"/>
                <c:pt idx="0">
                  <c:v>2.2906901337600076</c:v>
                </c:pt>
                <c:pt idx="1">
                  <c:v>2.2906901337600076</c:v>
                </c:pt>
                <c:pt idx="2">
                  <c:v>2.2906901337600076</c:v>
                </c:pt>
                <c:pt idx="3">
                  <c:v>2.2906901337600076</c:v>
                </c:pt>
                <c:pt idx="4">
                  <c:v>2.2906901337600076</c:v>
                </c:pt>
                <c:pt idx="5">
                  <c:v>3.738997791934882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304-4831-B359-04222EA0673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-25"/>
        <c:axId val="222193536"/>
        <c:axId val="222195072"/>
      </c:barChart>
      <c:catAx>
        <c:axId val="222193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900" b="1" i="0" u="none" strike="noStrike" baseline="0">
                <a:solidFill>
                  <a:srgbClr val="214F6B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22195072"/>
        <c:crosses val="autoZero"/>
        <c:auto val="1"/>
        <c:lblAlgn val="ctr"/>
        <c:lblOffset val="100"/>
        <c:noMultiLvlLbl val="0"/>
      </c:catAx>
      <c:valAx>
        <c:axId val="222195072"/>
        <c:scaling>
          <c:orientation val="minMax"/>
        </c:scaling>
        <c:delete val="1"/>
        <c:axPos val="l"/>
        <c:numFmt formatCode="0.00" sourceLinked="1"/>
        <c:majorTickMark val="none"/>
        <c:minorTickMark val="none"/>
        <c:tickLblPos val="none"/>
        <c:crossAx val="2221935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ysClr val="window" lastClr="FFFFFF"/>
    </a:solidFill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214F6B"/>
                </a:solidFill>
                <a:latin typeface="Calibri"/>
                <a:ea typeface="Calibri"/>
                <a:cs typeface="Calibri"/>
              </a:defRPr>
            </a:pPr>
            <a:r>
              <a:rPr lang="en-US" sz="1400">
                <a:solidFill>
                  <a:srgbClr val="214F6B"/>
                </a:solidFill>
              </a:rPr>
              <a:t>Program</a:t>
            </a:r>
            <a:r>
              <a:rPr lang="en-US" sz="1400" baseline="0">
                <a:solidFill>
                  <a:srgbClr val="214F6B"/>
                </a:solidFill>
              </a:rPr>
              <a:t> Attendance</a:t>
            </a:r>
            <a:r>
              <a:rPr lang="en-US" sz="1400">
                <a:solidFill>
                  <a:srgbClr val="214F6B"/>
                </a:solidFill>
              </a:rPr>
              <a:t> Per Capita FY2021</a:t>
            </a:r>
          </a:p>
        </c:rich>
      </c:tx>
      <c:layout>
        <c:manualLayout>
          <c:xMode val="edge"/>
          <c:yMode val="edge"/>
          <c:x val="0.17467658586636095"/>
          <c:y val="5.3650808196871541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3">
                <a:lumMod val="60000"/>
                <a:lumOff val="40000"/>
              </a:schemeClr>
            </a:solidFill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5EA3CE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0F2C-4B3B-959A-1DA2FCB4952F}"/>
              </c:ext>
            </c:extLst>
          </c:dPt>
          <c:dPt>
            <c:idx val="1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2-35EC-4532-823B-9C45E9EF6E1F}"/>
              </c:ext>
            </c:extLst>
          </c:dPt>
          <c:dPt>
            <c:idx val="2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3-35EC-4532-823B-9C45E9EF6E1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0" i="0" u="none" strike="noStrike" baseline="0">
                    <a:solidFill>
                      <a:srgbClr val="214F6B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'2021Data'!$B$105:$B$107</c:f>
              <c:strCache>
                <c:ptCount val="3"/>
                <c:pt idx="0">
                  <c:v>ALAMANCE</c:v>
                </c:pt>
                <c:pt idx="1">
                  <c:v>Average 100,000-249,999 population</c:v>
                </c:pt>
                <c:pt idx="2">
                  <c:v>Average Statewide</c:v>
                </c:pt>
              </c:strCache>
            </c:strRef>
          </c:cat>
          <c:val>
            <c:numRef>
              <c:f>'2021Data'!$CH$105:$CH$107</c:f>
              <c:numCache>
                <c:formatCode>0.00</c:formatCode>
                <c:ptCount val="3"/>
                <c:pt idx="0">
                  <c:v>2.8164148439062529E-2</c:v>
                </c:pt>
                <c:pt idx="1">
                  <c:v>1.5484674871923848E-2</c:v>
                </c:pt>
                <c:pt idx="2">
                  <c:v>8.8903126511871572E-2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F2C-4B3B-959A-1DA2FCB4952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-25"/>
        <c:axId val="215687552"/>
        <c:axId val="215689088"/>
      </c:barChart>
      <c:catAx>
        <c:axId val="215687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1" i="0" u="none" strike="noStrike" baseline="0">
                <a:solidFill>
                  <a:srgbClr val="214F6B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15689088"/>
        <c:crosses val="autoZero"/>
        <c:auto val="1"/>
        <c:lblAlgn val="ctr"/>
        <c:lblOffset val="100"/>
        <c:noMultiLvlLbl val="0"/>
      </c:catAx>
      <c:valAx>
        <c:axId val="215689088"/>
        <c:scaling>
          <c:orientation val="minMax"/>
        </c:scaling>
        <c:delete val="1"/>
        <c:axPos val="l"/>
        <c:numFmt formatCode="0.00" sourceLinked="1"/>
        <c:majorTickMark val="none"/>
        <c:minorTickMark val="none"/>
        <c:tickLblPos val="none"/>
        <c:crossAx val="2156875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ysClr val="window" lastClr="FFFFFF"/>
    </a:solidFill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600">
                <a:solidFill>
                  <a:srgbClr val="214F6B"/>
                </a:solidFill>
              </a:rPr>
              <a:t>Program Attendance Per Capita </a:t>
            </a:r>
            <a:r>
              <a:rPr lang="en-US" sz="1600" b="1" i="0" u="none" strike="noStrike" baseline="0">
                <a:solidFill>
                  <a:srgbClr val="214F6B"/>
                </a:solidFill>
              </a:rPr>
              <a:t>FY2021</a:t>
            </a:r>
            <a:endParaRPr lang="en-US" sz="1600">
              <a:solidFill>
                <a:srgbClr val="214F6B"/>
              </a:solidFill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4">
                <a:lumMod val="40000"/>
                <a:lumOff val="60000"/>
              </a:schemeClr>
            </a:solidFill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AAE0DC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50B3-4C19-B09D-F6A23221AF7E}"/>
              </c:ext>
            </c:extLst>
          </c:dPt>
          <c:dPt>
            <c:idx val="1"/>
            <c:invertIfNegative val="0"/>
            <c:bubble3D val="0"/>
            <c:spPr>
              <a:solidFill>
                <a:srgbClr val="5EA3CE"/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4-3CC7-474E-9D0E-27A231D4E354}"/>
              </c:ext>
            </c:extLst>
          </c:dPt>
          <c:dPt>
            <c:idx val="2"/>
            <c:invertIfNegative val="0"/>
            <c:bubble3D val="0"/>
            <c:spPr>
              <a:solidFill>
                <a:srgbClr val="5EA3CE"/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5-3CC7-474E-9D0E-27A231D4E354}"/>
              </c:ext>
            </c:extLst>
          </c:dPt>
          <c:dPt>
            <c:idx val="3"/>
            <c:invertIfNegative val="0"/>
            <c:bubble3D val="0"/>
            <c:spPr>
              <a:solidFill>
                <a:srgbClr val="5EA3CE"/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6-3CC7-474E-9D0E-27A231D4E354}"/>
              </c:ext>
            </c:extLst>
          </c:dPt>
          <c:dPt>
            <c:idx val="4"/>
            <c:invertIfNegative val="0"/>
            <c:bubble3D val="0"/>
            <c:spPr>
              <a:solidFill>
                <a:srgbClr val="5EA3CE"/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7-3CC7-474E-9D0E-27A231D4E354}"/>
              </c:ext>
            </c:extLst>
          </c:dPt>
          <c:dPt>
            <c:idx val="5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1-50B3-4C19-B09D-F6A23221AF7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0" i="0" u="none" strike="noStrike" baseline="0">
                    <a:solidFill>
                      <a:srgbClr val="214F6B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'2021Data'!$B$116:$B$121</c:f>
              <c:strCache>
                <c:ptCount val="6"/>
                <c:pt idx="0">
                  <c:v>ALAMANCE </c:v>
                </c:pt>
                <c:pt idx="1">
                  <c:v>ALAMANCE </c:v>
                </c:pt>
                <c:pt idx="2">
                  <c:v>ALAMANCE </c:v>
                </c:pt>
                <c:pt idx="3">
                  <c:v>ALAMANCE </c:v>
                </c:pt>
                <c:pt idx="4">
                  <c:v>ALAMANCE </c:v>
                </c:pt>
                <c:pt idx="5">
                  <c:v>Average Statewide</c:v>
                </c:pt>
              </c:strCache>
            </c:strRef>
          </c:cat>
          <c:val>
            <c:numRef>
              <c:f>'2021Data'!$CH$116:$CH$121</c:f>
              <c:numCache>
                <c:formatCode>0.00</c:formatCode>
                <c:ptCount val="6"/>
                <c:pt idx="0">
                  <c:v>2.8164148439062529E-2</c:v>
                </c:pt>
                <c:pt idx="1">
                  <c:v>2.8164148439062529E-2</c:v>
                </c:pt>
                <c:pt idx="2">
                  <c:v>2.8164148439062529E-2</c:v>
                </c:pt>
                <c:pt idx="3">
                  <c:v>2.8164148439062529E-2</c:v>
                </c:pt>
                <c:pt idx="4">
                  <c:v>2.8164148439062529E-2</c:v>
                </c:pt>
                <c:pt idx="5">
                  <c:v>8.8903126511871572E-2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0B3-4C19-B09D-F6A23221AF7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-25"/>
        <c:axId val="222228480"/>
        <c:axId val="222230016"/>
      </c:barChart>
      <c:catAx>
        <c:axId val="222228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900" b="1" i="0" u="none" strike="noStrike" baseline="0">
                <a:solidFill>
                  <a:srgbClr val="214F6B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22230016"/>
        <c:crosses val="autoZero"/>
        <c:auto val="1"/>
        <c:lblAlgn val="ctr"/>
        <c:lblOffset val="100"/>
        <c:noMultiLvlLbl val="0"/>
      </c:catAx>
      <c:valAx>
        <c:axId val="222230016"/>
        <c:scaling>
          <c:orientation val="minMax"/>
        </c:scaling>
        <c:delete val="1"/>
        <c:axPos val="l"/>
        <c:numFmt formatCode="0.00" sourceLinked="1"/>
        <c:majorTickMark val="none"/>
        <c:minorTickMark val="none"/>
        <c:tickLblPos val="none"/>
        <c:crossAx val="2222284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ysClr val="window" lastClr="FFFFFF"/>
    </a:solidFill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1465" l="0.70000000000000095" r="0.70000000000000095" t="0.75000000000001465" header="0.30000000000000032" footer="0.30000000000000032"/>
    <c:pageSetup orientation="portrait"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/>
          <a:lstStyle/>
          <a:p>
            <a:pPr algn="ctr">
              <a:defRPr sz="16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600">
                <a:solidFill>
                  <a:srgbClr val="214F6B"/>
                </a:solidFill>
              </a:rPr>
              <a:t>Reference Questions Per Capita </a:t>
            </a:r>
            <a:r>
              <a:rPr lang="en-US" sz="1600" b="1" i="0" u="none" strike="noStrike" baseline="0">
                <a:solidFill>
                  <a:srgbClr val="214F6B"/>
                </a:solidFill>
              </a:rPr>
              <a:t>FY2021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7.9083047311393914E-2"/>
          <c:y val="0.12163119683008659"/>
          <c:w val="0.87273500765917267"/>
          <c:h val="0.7143953208275691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4">
                <a:lumMod val="60000"/>
                <a:lumOff val="40000"/>
              </a:schemeClr>
            </a:solidFill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AAE0DC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43F6-40CA-B259-99E4C5662CF5}"/>
              </c:ext>
            </c:extLst>
          </c:dPt>
          <c:dPt>
            <c:idx val="1"/>
            <c:invertIfNegative val="0"/>
            <c:bubble3D val="0"/>
            <c:spPr>
              <a:solidFill>
                <a:srgbClr val="5EA3CE"/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4-94DF-426E-BE70-15E0BA072546}"/>
              </c:ext>
            </c:extLst>
          </c:dPt>
          <c:dPt>
            <c:idx val="2"/>
            <c:invertIfNegative val="0"/>
            <c:bubble3D val="0"/>
            <c:spPr>
              <a:solidFill>
                <a:srgbClr val="5EA3CE"/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5-94DF-426E-BE70-15E0BA072546}"/>
              </c:ext>
            </c:extLst>
          </c:dPt>
          <c:dPt>
            <c:idx val="3"/>
            <c:invertIfNegative val="0"/>
            <c:bubble3D val="0"/>
            <c:spPr>
              <a:solidFill>
                <a:srgbClr val="5EA3CE"/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6-94DF-426E-BE70-15E0BA072546}"/>
              </c:ext>
            </c:extLst>
          </c:dPt>
          <c:dPt>
            <c:idx val="4"/>
            <c:invertIfNegative val="0"/>
            <c:bubble3D val="0"/>
            <c:spPr>
              <a:solidFill>
                <a:srgbClr val="5EA3CE"/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7-94DF-426E-BE70-15E0BA072546}"/>
              </c:ext>
            </c:extLst>
          </c:dPt>
          <c:dPt>
            <c:idx val="5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1-43F6-40CA-B259-99E4C5662CF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0" i="0" u="none" strike="noStrike" baseline="0">
                    <a:solidFill>
                      <a:srgbClr val="214F6B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'2021Data'!$B$116:$B$121</c:f>
              <c:strCache>
                <c:ptCount val="6"/>
                <c:pt idx="0">
                  <c:v>ALAMANCE </c:v>
                </c:pt>
                <c:pt idx="1">
                  <c:v>ALAMANCE </c:v>
                </c:pt>
                <c:pt idx="2">
                  <c:v>ALAMANCE </c:v>
                </c:pt>
                <c:pt idx="3">
                  <c:v>ALAMANCE </c:v>
                </c:pt>
                <c:pt idx="4">
                  <c:v>ALAMANCE </c:v>
                </c:pt>
                <c:pt idx="5">
                  <c:v>Average Statewide</c:v>
                </c:pt>
              </c:strCache>
            </c:strRef>
          </c:cat>
          <c:val>
            <c:numRef>
              <c:f>'2021Data'!$BO$116:$BO$121</c:f>
              <c:numCache>
                <c:formatCode>0.00</c:formatCode>
                <c:ptCount val="6"/>
                <c:pt idx="0">
                  <c:v>0.12579622659805936</c:v>
                </c:pt>
                <c:pt idx="1">
                  <c:v>0.12579622659805936</c:v>
                </c:pt>
                <c:pt idx="2">
                  <c:v>0.12579622659805936</c:v>
                </c:pt>
                <c:pt idx="3">
                  <c:v>0.12579622659805936</c:v>
                </c:pt>
                <c:pt idx="4">
                  <c:v>0.12579622659805936</c:v>
                </c:pt>
                <c:pt idx="5">
                  <c:v>0.33245709175040428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3F6-40CA-B259-99E4C5662CF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-25"/>
        <c:axId val="222250880"/>
        <c:axId val="222252416"/>
      </c:barChart>
      <c:catAx>
        <c:axId val="222250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800" b="1" i="0" u="none" strike="noStrike" baseline="0">
                <a:solidFill>
                  <a:srgbClr val="214F6B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22252416"/>
        <c:crosses val="autoZero"/>
        <c:auto val="1"/>
        <c:lblAlgn val="ctr"/>
        <c:lblOffset val="100"/>
        <c:noMultiLvlLbl val="0"/>
      </c:catAx>
      <c:valAx>
        <c:axId val="222252416"/>
        <c:scaling>
          <c:orientation val="minMax"/>
        </c:scaling>
        <c:delete val="1"/>
        <c:axPos val="l"/>
        <c:numFmt formatCode="0.00" sourceLinked="1"/>
        <c:majorTickMark val="none"/>
        <c:minorTickMark val="none"/>
        <c:tickLblPos val="none"/>
        <c:crossAx val="2222508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ysClr val="window" lastClr="FFFFFF"/>
    </a:solidFill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1"/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/>
          <a:lstStyle/>
          <a:p>
            <a:pPr>
              <a:defRPr sz="1600">
                <a:solidFill>
                  <a:srgbClr val="214F6B"/>
                </a:solidFill>
                <a:latin typeface="Calibri" pitchFamily="34" charset="0"/>
              </a:defRPr>
            </a:pPr>
            <a:r>
              <a:rPr lang="en-US" sz="1600">
                <a:solidFill>
                  <a:srgbClr val="214F6B"/>
                </a:solidFill>
                <a:latin typeface="Calibri" pitchFamily="34" charset="0"/>
              </a:rPr>
              <a:t>Population per Professional Librarian (MLS)</a:t>
            </a:r>
          </a:p>
          <a:p>
            <a:pPr>
              <a:defRPr sz="1600">
                <a:solidFill>
                  <a:srgbClr val="214F6B"/>
                </a:solidFill>
                <a:latin typeface="Calibri" pitchFamily="34" charset="0"/>
              </a:defRPr>
            </a:pPr>
            <a:r>
              <a:rPr lang="en-US" sz="1600" b="1" i="0" u="none" strike="noStrike" baseline="0">
                <a:solidFill>
                  <a:srgbClr val="214F6B"/>
                </a:solidFill>
              </a:rPr>
              <a:t>FY2021</a:t>
            </a:r>
            <a:endParaRPr lang="en-US" sz="1600">
              <a:solidFill>
                <a:srgbClr val="214F6B"/>
              </a:solidFill>
              <a:latin typeface="Calibri" pitchFamily="34" charset="0"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bg2">
                <a:lumMod val="75000"/>
              </a:schemeClr>
            </a:solidFill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AAE0DC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F5E2-4184-AB34-0C4F9F917065}"/>
              </c:ext>
            </c:extLst>
          </c:dPt>
          <c:dPt>
            <c:idx val="1"/>
            <c:invertIfNegative val="0"/>
            <c:bubble3D val="0"/>
            <c:spPr>
              <a:solidFill>
                <a:srgbClr val="5EA3CE"/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8-E842-4817-B6AB-3E05656DDC73}"/>
              </c:ext>
            </c:extLst>
          </c:dPt>
          <c:dPt>
            <c:idx val="2"/>
            <c:invertIfNegative val="0"/>
            <c:bubble3D val="0"/>
            <c:spPr>
              <a:solidFill>
                <a:srgbClr val="5EA3CE"/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4-1369-497A-9D51-296A3D6A5300}"/>
              </c:ext>
            </c:extLst>
          </c:dPt>
          <c:dPt>
            <c:idx val="3"/>
            <c:invertIfNegative val="0"/>
            <c:bubble3D val="0"/>
            <c:spPr>
              <a:solidFill>
                <a:srgbClr val="5EA3CE"/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5-1369-497A-9D51-296A3D6A5300}"/>
              </c:ext>
            </c:extLst>
          </c:dPt>
          <c:dPt>
            <c:idx val="4"/>
            <c:invertIfNegative val="0"/>
            <c:bubble3D val="0"/>
            <c:spPr>
              <a:solidFill>
                <a:srgbClr val="5EA3CE"/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9-E842-4817-B6AB-3E05656DDC73}"/>
              </c:ext>
            </c:extLst>
          </c:dPt>
          <c:dPt>
            <c:idx val="5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1-F5E2-4184-AB34-0C4F9F91706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>
                    <a:solidFill>
                      <a:srgbClr val="214F6B"/>
                    </a:solidFill>
                    <a:latin typeface="Calibri" panose="020F0502020204030204" pitchFamily="34" charset="0"/>
                    <a:cs typeface="Calibri" panose="020F0502020204030204" pitchFamily="34" charset="0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'2021Data'!$B$116:$B$121</c:f>
              <c:strCache>
                <c:ptCount val="6"/>
                <c:pt idx="0">
                  <c:v>ALAMANCE </c:v>
                </c:pt>
                <c:pt idx="1">
                  <c:v>ALAMANCE </c:v>
                </c:pt>
                <c:pt idx="2">
                  <c:v>ALAMANCE </c:v>
                </c:pt>
                <c:pt idx="3">
                  <c:v>ALAMANCE </c:v>
                </c:pt>
                <c:pt idx="4">
                  <c:v>ALAMANCE </c:v>
                </c:pt>
                <c:pt idx="5">
                  <c:v>Average Statewide</c:v>
                </c:pt>
              </c:strCache>
            </c:strRef>
          </c:cat>
          <c:val>
            <c:numRef>
              <c:f>'2021Data'!$CP$116:$CP$121</c:f>
              <c:numCache>
                <c:formatCode>_(* #,##0_);_(* \(#,##0\);_(* "-"??_);_(@_)</c:formatCode>
                <c:ptCount val="6"/>
                <c:pt idx="0">
                  <c:v>14999.727272727272</c:v>
                </c:pt>
                <c:pt idx="1">
                  <c:v>14999.727272727272</c:v>
                </c:pt>
                <c:pt idx="2">
                  <c:v>14999.727272727272</c:v>
                </c:pt>
                <c:pt idx="3">
                  <c:v>14999.727272727272</c:v>
                </c:pt>
                <c:pt idx="4">
                  <c:v>14999.727272727272</c:v>
                </c:pt>
                <c:pt idx="5">
                  <c:v>15957.084378333566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5E2-4184-AB34-0C4F9F91706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-25"/>
        <c:axId val="222294016"/>
        <c:axId val="222295552"/>
      </c:barChart>
      <c:catAx>
        <c:axId val="2222940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1">
                <a:solidFill>
                  <a:srgbClr val="214F6B"/>
                </a:solidFill>
                <a:latin typeface="Calibri" pitchFamily="34" charset="0"/>
              </a:defRPr>
            </a:pPr>
            <a:endParaRPr lang="en-US"/>
          </a:p>
        </c:txPr>
        <c:crossAx val="222295552"/>
        <c:crosses val="autoZero"/>
        <c:auto val="1"/>
        <c:lblAlgn val="ctr"/>
        <c:lblOffset val="100"/>
        <c:noMultiLvlLbl val="0"/>
      </c:catAx>
      <c:valAx>
        <c:axId val="222295552"/>
        <c:scaling>
          <c:orientation val="minMax"/>
        </c:scaling>
        <c:delete val="1"/>
        <c:axPos val="l"/>
        <c:numFmt formatCode="_(* #,##0_);_(* \(#,##0\);_(* &quot;-&quot;??_);_(@_)" sourceLinked="1"/>
        <c:majorTickMark val="none"/>
        <c:minorTickMark val="none"/>
        <c:tickLblPos val="none"/>
        <c:crossAx val="222294016"/>
        <c:crosses val="autoZero"/>
        <c:crossBetween val="between"/>
        <c:majorUnit val="500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ysClr val="window" lastClr="FFFFFF"/>
    </a:solidFill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214F6B"/>
                </a:solidFill>
                <a:latin typeface="Calibri"/>
                <a:ea typeface="Calibri"/>
                <a:cs typeface="Calibri"/>
              </a:defRPr>
            </a:pPr>
            <a:r>
              <a:rPr lang="en-US" sz="1600">
                <a:solidFill>
                  <a:srgbClr val="214F6B"/>
                </a:solidFill>
              </a:rPr>
              <a:t>Public Service</a:t>
            </a:r>
            <a:r>
              <a:rPr lang="en-US" sz="1600" baseline="0">
                <a:solidFill>
                  <a:srgbClr val="214F6B"/>
                </a:solidFill>
              </a:rPr>
              <a:t> Hours Per Capita</a:t>
            </a:r>
            <a:r>
              <a:rPr lang="en-US" sz="1600">
                <a:solidFill>
                  <a:srgbClr val="214F6B"/>
                </a:solidFill>
              </a:rPr>
              <a:t> </a:t>
            </a:r>
            <a:r>
              <a:rPr lang="en-US" sz="1600" b="1" i="0" u="none" strike="noStrike" baseline="0">
                <a:solidFill>
                  <a:srgbClr val="214F6B"/>
                </a:solidFill>
              </a:rPr>
              <a:t>FY2021</a:t>
            </a:r>
            <a:endParaRPr lang="en-US" sz="1600">
              <a:solidFill>
                <a:srgbClr val="214F6B"/>
              </a:solidFill>
            </a:endParaRPr>
          </a:p>
        </c:rich>
      </c:tx>
      <c:layout>
        <c:manualLayout>
          <c:xMode val="edge"/>
          <c:yMode val="edge"/>
          <c:x val="0.28923654920073189"/>
          <c:y val="4.1837506135489005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2">
                <a:lumMod val="75000"/>
              </a:schemeClr>
            </a:solidFill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AAE0DC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108B-421B-A9BF-FE01B0E65068}"/>
              </c:ext>
            </c:extLst>
          </c:dPt>
          <c:dPt>
            <c:idx val="1"/>
            <c:invertIfNegative val="0"/>
            <c:bubble3D val="0"/>
            <c:spPr>
              <a:solidFill>
                <a:srgbClr val="5EA3CE"/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4-6A41-4D3E-9DC8-B28EF167B85F}"/>
              </c:ext>
            </c:extLst>
          </c:dPt>
          <c:dPt>
            <c:idx val="2"/>
            <c:invertIfNegative val="0"/>
            <c:bubble3D val="0"/>
            <c:spPr>
              <a:solidFill>
                <a:srgbClr val="5EA3CE"/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5-6A41-4D3E-9DC8-B28EF167B85F}"/>
              </c:ext>
            </c:extLst>
          </c:dPt>
          <c:dPt>
            <c:idx val="3"/>
            <c:invertIfNegative val="0"/>
            <c:bubble3D val="0"/>
            <c:spPr>
              <a:solidFill>
                <a:srgbClr val="5EA3CE"/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6-6A41-4D3E-9DC8-B28EF167B85F}"/>
              </c:ext>
            </c:extLst>
          </c:dPt>
          <c:dPt>
            <c:idx val="4"/>
            <c:invertIfNegative val="0"/>
            <c:bubble3D val="0"/>
            <c:spPr>
              <a:solidFill>
                <a:srgbClr val="5EA3CE"/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7-6A41-4D3E-9DC8-B28EF167B85F}"/>
              </c:ext>
            </c:extLst>
          </c:dPt>
          <c:dPt>
            <c:idx val="5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1-108B-421B-A9BF-FE01B0E65068}"/>
              </c:ext>
            </c:extLst>
          </c:dPt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0" i="0" u="none" strike="noStrike" baseline="0">
                    <a:solidFill>
                      <a:srgbClr val="214F6B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'2021Data'!$B$116:$B$121</c:f>
              <c:strCache>
                <c:ptCount val="6"/>
                <c:pt idx="0">
                  <c:v>ALAMANCE </c:v>
                </c:pt>
                <c:pt idx="1">
                  <c:v>ALAMANCE </c:v>
                </c:pt>
                <c:pt idx="2">
                  <c:v>ALAMANCE </c:v>
                </c:pt>
                <c:pt idx="3">
                  <c:v>ALAMANCE </c:v>
                </c:pt>
                <c:pt idx="4">
                  <c:v>ALAMANCE </c:v>
                </c:pt>
                <c:pt idx="5">
                  <c:v>Average Statewide</c:v>
                </c:pt>
              </c:strCache>
            </c:strRef>
          </c:cat>
          <c:val>
            <c:numRef>
              <c:f>'2021Data'!$DH$116:$DH$121</c:f>
              <c:numCache>
                <c:formatCode>_(* #,##0_);_(* \(#,##0\);_(* "-"??_);_(@_)</c:formatCode>
                <c:ptCount val="6"/>
                <c:pt idx="0">
                  <c:v>6.944368685491252E-2</c:v>
                </c:pt>
                <c:pt idx="1">
                  <c:v>6.944368685491252E-2</c:v>
                </c:pt>
                <c:pt idx="2">
                  <c:v>6.944368685491252E-2</c:v>
                </c:pt>
                <c:pt idx="3">
                  <c:v>6.944368685491252E-2</c:v>
                </c:pt>
                <c:pt idx="4">
                  <c:v>6.944368685491252E-2</c:v>
                </c:pt>
                <c:pt idx="5">
                  <c:v>0.28128763825153807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08B-421B-A9BF-FE01B0E6506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-25"/>
        <c:axId val="222324608"/>
        <c:axId val="222326144"/>
      </c:barChart>
      <c:catAx>
        <c:axId val="2223246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900" b="1" i="0" u="none" strike="noStrike" baseline="0">
                <a:solidFill>
                  <a:srgbClr val="214F6B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22326144"/>
        <c:crosses val="autoZero"/>
        <c:auto val="1"/>
        <c:lblAlgn val="ctr"/>
        <c:lblOffset val="100"/>
        <c:noMultiLvlLbl val="0"/>
      </c:catAx>
      <c:valAx>
        <c:axId val="222326144"/>
        <c:scaling>
          <c:orientation val="minMax"/>
        </c:scaling>
        <c:delete val="1"/>
        <c:axPos val="l"/>
        <c:numFmt formatCode="_(* #,##0_);_(* \(#,##0\);_(* &quot;-&quot;??_);_(@_)" sourceLinked="1"/>
        <c:majorTickMark val="none"/>
        <c:minorTickMark val="none"/>
        <c:tickLblPos val="none"/>
        <c:crossAx val="22232460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ysClr val="window" lastClr="FFFFFF"/>
    </a:solidFill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/>
          <a:lstStyle/>
          <a:p>
            <a:pPr>
              <a:defRPr sz="1600">
                <a:solidFill>
                  <a:srgbClr val="214F6B"/>
                </a:solidFill>
              </a:defRPr>
            </a:pPr>
            <a:r>
              <a:rPr lang="en-US" sz="1600">
                <a:solidFill>
                  <a:srgbClr val="214F6B"/>
                </a:solidFill>
              </a:rPr>
              <a:t>Population per Total Paid Staff </a:t>
            </a:r>
            <a:r>
              <a:rPr lang="en-US" sz="1600" b="1" i="0" u="none" strike="noStrike" baseline="0">
                <a:solidFill>
                  <a:srgbClr val="214F6B"/>
                </a:solidFill>
              </a:rPr>
              <a:t>FY2021</a:t>
            </a:r>
            <a:endParaRPr lang="en-US" sz="1600">
              <a:solidFill>
                <a:srgbClr val="214F6B"/>
              </a:solidFill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2.6412027631044291E-2"/>
          <c:y val="0.23991138334860504"/>
          <c:w val="0.9553027224705406"/>
          <c:h val="0.657365683850263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bg2">
                <a:lumMod val="75000"/>
              </a:schemeClr>
            </a:solidFill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AAE0DC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10BB-48BF-9BE8-436DE523BBD0}"/>
              </c:ext>
            </c:extLst>
          </c:dPt>
          <c:dPt>
            <c:idx val="1"/>
            <c:invertIfNegative val="0"/>
            <c:bubble3D val="0"/>
            <c:spPr>
              <a:solidFill>
                <a:srgbClr val="5EA3CE"/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7-E747-4DF0-82D0-58D3B214B964}"/>
              </c:ext>
            </c:extLst>
          </c:dPt>
          <c:dPt>
            <c:idx val="2"/>
            <c:invertIfNegative val="0"/>
            <c:bubble3D val="0"/>
            <c:spPr>
              <a:solidFill>
                <a:srgbClr val="5EA3CE"/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6-E747-4DF0-82D0-58D3B214B964}"/>
              </c:ext>
            </c:extLst>
          </c:dPt>
          <c:dPt>
            <c:idx val="3"/>
            <c:invertIfNegative val="0"/>
            <c:bubble3D val="0"/>
            <c:spPr>
              <a:solidFill>
                <a:srgbClr val="5EA3CE"/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5-E747-4DF0-82D0-58D3B214B964}"/>
              </c:ext>
            </c:extLst>
          </c:dPt>
          <c:dPt>
            <c:idx val="4"/>
            <c:invertIfNegative val="0"/>
            <c:bubble3D val="0"/>
            <c:spPr>
              <a:solidFill>
                <a:srgbClr val="5EA3CE"/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4-E747-4DF0-82D0-58D3B214B964}"/>
              </c:ext>
            </c:extLst>
          </c:dPt>
          <c:dPt>
            <c:idx val="5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1-10BB-48BF-9BE8-436DE523BBD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rgbClr val="214F6B"/>
                    </a:solidFill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'2021Data'!$B$116:$B$121</c:f>
              <c:strCache>
                <c:ptCount val="6"/>
                <c:pt idx="0">
                  <c:v>ALAMANCE </c:v>
                </c:pt>
                <c:pt idx="1">
                  <c:v>ALAMANCE </c:v>
                </c:pt>
                <c:pt idx="2">
                  <c:v>ALAMANCE </c:v>
                </c:pt>
                <c:pt idx="3">
                  <c:v>ALAMANCE </c:v>
                </c:pt>
                <c:pt idx="4">
                  <c:v>ALAMANCE </c:v>
                </c:pt>
                <c:pt idx="5">
                  <c:v>Average Statewide</c:v>
                </c:pt>
              </c:strCache>
            </c:strRef>
          </c:cat>
          <c:val>
            <c:numRef>
              <c:f>'2021Data'!$CT$116:$CT$121</c:f>
              <c:numCache>
                <c:formatCode>_(* #,##0_);_(* \(#,##0\);_(* "-"??_);_(@_)</c:formatCode>
                <c:ptCount val="6"/>
                <c:pt idx="0">
                  <c:v>2538.4153846153845</c:v>
                </c:pt>
                <c:pt idx="1">
                  <c:v>2538.4153846153845</c:v>
                </c:pt>
                <c:pt idx="2">
                  <c:v>2538.4153846153845</c:v>
                </c:pt>
                <c:pt idx="3">
                  <c:v>2538.4153846153845</c:v>
                </c:pt>
                <c:pt idx="4">
                  <c:v>2538.4153846153845</c:v>
                </c:pt>
                <c:pt idx="5">
                  <c:v>3613.7609206646866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0BB-48BF-9BE8-436DE523BBD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-25"/>
        <c:axId val="222351360"/>
        <c:axId val="222352896"/>
      </c:barChart>
      <c:catAx>
        <c:axId val="2223513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1">
                <a:solidFill>
                  <a:srgbClr val="214F6B"/>
                </a:solidFill>
              </a:defRPr>
            </a:pPr>
            <a:endParaRPr lang="en-US"/>
          </a:p>
        </c:txPr>
        <c:crossAx val="222352896"/>
        <c:crosses val="autoZero"/>
        <c:auto val="1"/>
        <c:lblAlgn val="ctr"/>
        <c:lblOffset val="100"/>
        <c:noMultiLvlLbl val="0"/>
      </c:catAx>
      <c:valAx>
        <c:axId val="222352896"/>
        <c:scaling>
          <c:orientation val="minMax"/>
        </c:scaling>
        <c:delete val="1"/>
        <c:axPos val="l"/>
        <c:numFmt formatCode="_(* #,##0_);_(* \(#,##0\);_(* &quot;-&quot;??_);_(@_)" sourceLinked="1"/>
        <c:majorTickMark val="none"/>
        <c:minorTickMark val="none"/>
        <c:tickLblPos val="none"/>
        <c:crossAx val="22235136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ysClr val="window" lastClr="FFFFFF"/>
    </a:solidFill>
  </c:spPr>
  <c:txPr>
    <a:bodyPr/>
    <a:lstStyle/>
    <a:p>
      <a:pPr>
        <a:defRPr>
          <a:latin typeface="Calibri" pitchFamily="34" charset="0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214F6B"/>
                </a:solidFill>
                <a:latin typeface="Calibri"/>
                <a:ea typeface="Calibri"/>
                <a:cs typeface="Calibri"/>
              </a:defRPr>
            </a:pPr>
            <a:r>
              <a:rPr lang="en-US" sz="1600">
                <a:solidFill>
                  <a:srgbClr val="214F6B"/>
                </a:solidFill>
              </a:rPr>
              <a:t>Colletion Use Per Paid Staff </a:t>
            </a:r>
            <a:r>
              <a:rPr lang="en-US" sz="1600" b="1" i="0" u="none" strike="noStrike" kern="1200" baseline="0">
                <a:solidFill>
                  <a:srgbClr val="214F6B"/>
                </a:solidFill>
                <a:latin typeface="Calibri"/>
                <a:ea typeface="Calibri"/>
                <a:cs typeface="Calibri"/>
              </a:rPr>
              <a:t>FY2021</a:t>
            </a:r>
            <a:endParaRPr lang="en-US" sz="1400" b="1" i="0" u="none" strike="noStrike" kern="1200" baseline="0">
              <a:solidFill>
                <a:srgbClr val="214F6B"/>
              </a:solidFill>
              <a:latin typeface="Calibri"/>
              <a:ea typeface="Calibri"/>
              <a:cs typeface="Calibri"/>
            </a:endParaRPr>
          </a:p>
        </c:rich>
      </c:tx>
      <c:layout>
        <c:manualLayout>
          <c:xMode val="edge"/>
          <c:yMode val="edge"/>
          <c:x val="0.25659988108181037"/>
          <c:y val="2.7345240115969657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bg2">
                <a:lumMod val="75000"/>
              </a:schemeClr>
            </a:solidFill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AAE0DC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46BE-4427-818F-5B5D481424EF}"/>
              </c:ext>
            </c:extLst>
          </c:dPt>
          <c:dPt>
            <c:idx val="1"/>
            <c:invertIfNegative val="0"/>
            <c:bubble3D val="0"/>
            <c:spPr>
              <a:solidFill>
                <a:srgbClr val="5EA3CE"/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4-C2C7-40D2-A28C-CA7C08953889}"/>
              </c:ext>
            </c:extLst>
          </c:dPt>
          <c:dPt>
            <c:idx val="2"/>
            <c:invertIfNegative val="0"/>
            <c:bubble3D val="0"/>
            <c:spPr>
              <a:solidFill>
                <a:srgbClr val="5EA3CE"/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5-C2C7-40D2-A28C-CA7C08953889}"/>
              </c:ext>
            </c:extLst>
          </c:dPt>
          <c:dPt>
            <c:idx val="3"/>
            <c:invertIfNegative val="0"/>
            <c:bubble3D val="0"/>
            <c:spPr>
              <a:solidFill>
                <a:srgbClr val="5EA3CE"/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6-C2C7-40D2-A28C-CA7C08953889}"/>
              </c:ext>
            </c:extLst>
          </c:dPt>
          <c:dPt>
            <c:idx val="4"/>
            <c:invertIfNegative val="0"/>
            <c:bubble3D val="0"/>
            <c:spPr>
              <a:solidFill>
                <a:srgbClr val="5EA3CE"/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7-C2C7-40D2-A28C-CA7C08953889}"/>
              </c:ext>
            </c:extLst>
          </c:dPt>
          <c:dPt>
            <c:idx val="5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1-46BE-4427-818F-5B5D481424E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214F6B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'2021Data'!$B$116:$B$121</c:f>
              <c:strCache>
                <c:ptCount val="6"/>
                <c:pt idx="0">
                  <c:v>ALAMANCE </c:v>
                </c:pt>
                <c:pt idx="1">
                  <c:v>ALAMANCE </c:v>
                </c:pt>
                <c:pt idx="2">
                  <c:v>ALAMANCE </c:v>
                </c:pt>
                <c:pt idx="3">
                  <c:v>ALAMANCE </c:v>
                </c:pt>
                <c:pt idx="4">
                  <c:v>ALAMANCE </c:v>
                </c:pt>
                <c:pt idx="5">
                  <c:v>Average Statewide</c:v>
                </c:pt>
              </c:strCache>
            </c:strRef>
          </c:cat>
          <c:val>
            <c:numRef>
              <c:f>'2021Data'!$BV$116:$BV$121</c:f>
              <c:numCache>
                <c:formatCode>_(* #,##0_);_(* \(#,##0\);_(* "-"??_);_(@_)</c:formatCode>
                <c:ptCount val="6"/>
                <c:pt idx="0">
                  <c:v>5814.7230769230773</c:v>
                </c:pt>
                <c:pt idx="1">
                  <c:v>5814.7230769230773</c:v>
                </c:pt>
                <c:pt idx="2">
                  <c:v>5814.7230769230773</c:v>
                </c:pt>
                <c:pt idx="3">
                  <c:v>5814.7230769230773</c:v>
                </c:pt>
                <c:pt idx="4">
                  <c:v>5814.7230769230773</c:v>
                </c:pt>
                <c:pt idx="5">
                  <c:v>11306.861663737302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6BE-4427-818F-5B5D481424E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-25"/>
        <c:axId val="222402432"/>
        <c:axId val="222403968"/>
      </c:barChart>
      <c:catAx>
        <c:axId val="222402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900" b="1" i="0" u="none" strike="noStrike" baseline="0">
                <a:solidFill>
                  <a:srgbClr val="214F6B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22403968"/>
        <c:crosses val="autoZero"/>
        <c:auto val="1"/>
        <c:lblAlgn val="ctr"/>
        <c:lblOffset val="100"/>
        <c:noMultiLvlLbl val="0"/>
      </c:catAx>
      <c:valAx>
        <c:axId val="222403968"/>
        <c:scaling>
          <c:orientation val="minMax"/>
        </c:scaling>
        <c:delete val="1"/>
        <c:axPos val="l"/>
        <c:numFmt formatCode="_(* #,##0_);_(* \(#,##0\);_(* &quot;-&quot;??_);_(@_)" sourceLinked="1"/>
        <c:majorTickMark val="none"/>
        <c:minorTickMark val="none"/>
        <c:tickLblPos val="none"/>
        <c:crossAx val="222402432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solidFill>
      <a:sysClr val="window" lastClr="FFFFFF"/>
    </a:solidFill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214F6B"/>
                </a:solidFill>
                <a:latin typeface="Calibri"/>
                <a:ea typeface="Calibri"/>
                <a:cs typeface="Calibri"/>
              </a:defRPr>
            </a:pPr>
            <a:r>
              <a:rPr lang="en-US" sz="1600">
                <a:solidFill>
                  <a:srgbClr val="214F6B"/>
                </a:solidFill>
              </a:rPr>
              <a:t>Books In Print Per Capita </a:t>
            </a:r>
            <a:r>
              <a:rPr lang="en-US" sz="1600" b="1" i="0" u="none" strike="noStrike" baseline="0">
                <a:solidFill>
                  <a:srgbClr val="214F6B"/>
                </a:solidFill>
              </a:rPr>
              <a:t>FY2021</a:t>
            </a:r>
            <a:endParaRPr lang="en-US" sz="1600">
              <a:solidFill>
                <a:srgbClr val="214F6B"/>
              </a:solidFill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8.0446277548639755E-2"/>
          <c:y val="0.15647106779274225"/>
          <c:w val="0.89627329917093657"/>
          <c:h val="0.6444528795542681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3">
                <a:lumMod val="60000"/>
                <a:lumOff val="40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AAE0DC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5746-48E1-8C30-B77FA530F0DF}"/>
              </c:ext>
            </c:extLst>
          </c:dPt>
          <c:dPt>
            <c:idx val="1"/>
            <c:invertIfNegative val="0"/>
            <c:bubble3D val="0"/>
            <c:spPr>
              <a:solidFill>
                <a:srgbClr val="5EA3CE"/>
              </a:solidFill>
            </c:spPr>
            <c:extLst>
              <c:ext xmlns:c16="http://schemas.microsoft.com/office/drawing/2014/chart" uri="{C3380CC4-5D6E-409C-BE32-E72D297353CC}">
                <c16:uniqueId val="{00000004-925C-40C8-B804-EAB41553712C}"/>
              </c:ext>
            </c:extLst>
          </c:dPt>
          <c:dPt>
            <c:idx val="2"/>
            <c:invertIfNegative val="0"/>
            <c:bubble3D val="0"/>
            <c:spPr>
              <a:solidFill>
                <a:srgbClr val="5EA3CE"/>
              </a:solidFill>
            </c:spPr>
            <c:extLst>
              <c:ext xmlns:c16="http://schemas.microsoft.com/office/drawing/2014/chart" uri="{C3380CC4-5D6E-409C-BE32-E72D297353CC}">
                <c16:uniqueId val="{00000005-925C-40C8-B804-EAB41553712C}"/>
              </c:ext>
            </c:extLst>
          </c:dPt>
          <c:dPt>
            <c:idx val="3"/>
            <c:invertIfNegative val="0"/>
            <c:bubble3D val="0"/>
            <c:spPr>
              <a:solidFill>
                <a:srgbClr val="5EA3CE"/>
              </a:solidFill>
            </c:spPr>
            <c:extLst>
              <c:ext xmlns:c16="http://schemas.microsoft.com/office/drawing/2014/chart" uri="{C3380CC4-5D6E-409C-BE32-E72D297353CC}">
                <c16:uniqueId val="{00000006-925C-40C8-B804-EAB41553712C}"/>
              </c:ext>
            </c:extLst>
          </c:dPt>
          <c:dPt>
            <c:idx val="4"/>
            <c:invertIfNegative val="0"/>
            <c:bubble3D val="0"/>
            <c:spPr>
              <a:solidFill>
                <a:srgbClr val="5EA3CE"/>
              </a:solidFill>
            </c:spPr>
            <c:extLst>
              <c:ext xmlns:c16="http://schemas.microsoft.com/office/drawing/2014/chart" uri="{C3380CC4-5D6E-409C-BE32-E72D297353CC}">
                <c16:uniqueId val="{00000007-925C-40C8-B804-EAB41553712C}"/>
              </c:ext>
            </c:extLst>
          </c:dPt>
          <c:dPt>
            <c:idx val="5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5746-48E1-8C30-B77FA530F0D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214F6B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'2021Data'!$B$116:$B$121</c:f>
              <c:strCache>
                <c:ptCount val="6"/>
                <c:pt idx="0">
                  <c:v>ALAMANCE </c:v>
                </c:pt>
                <c:pt idx="1">
                  <c:v>ALAMANCE </c:v>
                </c:pt>
                <c:pt idx="2">
                  <c:v>ALAMANCE </c:v>
                </c:pt>
                <c:pt idx="3">
                  <c:v>ALAMANCE </c:v>
                </c:pt>
                <c:pt idx="4">
                  <c:v>ALAMANCE </c:v>
                </c:pt>
                <c:pt idx="5">
                  <c:v>Average Statewide</c:v>
                </c:pt>
              </c:strCache>
            </c:strRef>
          </c:cat>
          <c:val>
            <c:numRef>
              <c:f>'2021Data'!$BA$116:$BA$121</c:f>
              <c:numCache>
                <c:formatCode>0.00</c:formatCode>
                <c:ptCount val="6"/>
                <c:pt idx="0">
                  <c:v>1.0161396873882556</c:v>
                </c:pt>
                <c:pt idx="1">
                  <c:v>1.0161396873882556</c:v>
                </c:pt>
                <c:pt idx="2">
                  <c:v>1.0161396873882556</c:v>
                </c:pt>
                <c:pt idx="3">
                  <c:v>1.0161396873882556</c:v>
                </c:pt>
                <c:pt idx="4">
                  <c:v>1.0161396873882556</c:v>
                </c:pt>
                <c:pt idx="5">
                  <c:v>1.792033036647688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746-48E1-8C30-B77FA530F0D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-25"/>
        <c:axId val="223485952"/>
        <c:axId val="223487488"/>
      </c:barChart>
      <c:catAx>
        <c:axId val="223485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800" b="1" i="0" u="none" strike="noStrike" baseline="0">
                <a:solidFill>
                  <a:srgbClr val="214F6B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23487488"/>
        <c:crosses val="autoZero"/>
        <c:auto val="1"/>
        <c:lblAlgn val="ctr"/>
        <c:lblOffset val="100"/>
        <c:noMultiLvlLbl val="0"/>
      </c:catAx>
      <c:valAx>
        <c:axId val="223487488"/>
        <c:scaling>
          <c:orientation val="minMax"/>
        </c:scaling>
        <c:delete val="1"/>
        <c:axPos val="l"/>
        <c:numFmt formatCode="0.00" sourceLinked="1"/>
        <c:majorTickMark val="none"/>
        <c:minorTickMark val="none"/>
        <c:tickLblPos val="none"/>
        <c:crossAx val="2234859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ysClr val="window" lastClr="FFFFFF"/>
    </a:solidFill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/>
          <a:lstStyle/>
          <a:p>
            <a:pPr>
              <a:defRPr sz="1600">
                <a:solidFill>
                  <a:srgbClr val="214F6B"/>
                </a:solidFill>
              </a:defRPr>
            </a:pPr>
            <a:r>
              <a:rPr lang="en-US" sz="1600">
                <a:solidFill>
                  <a:srgbClr val="214F6B"/>
                </a:solidFill>
              </a:rPr>
              <a:t>Collection</a:t>
            </a:r>
            <a:r>
              <a:rPr lang="en-US" sz="1600" baseline="0">
                <a:solidFill>
                  <a:srgbClr val="214F6B"/>
                </a:solidFill>
              </a:rPr>
              <a:t> Use</a:t>
            </a:r>
            <a:r>
              <a:rPr lang="en-US" sz="1600">
                <a:solidFill>
                  <a:srgbClr val="214F6B"/>
                </a:solidFill>
              </a:rPr>
              <a:t> per Library Visit </a:t>
            </a:r>
            <a:r>
              <a:rPr lang="en-US" sz="1600" b="1" i="0" baseline="0">
                <a:solidFill>
                  <a:srgbClr val="214F6B"/>
                </a:solidFill>
              </a:rPr>
              <a:t>FY2021</a:t>
            </a:r>
            <a:endParaRPr lang="en-US" sz="1800" b="0" i="0" baseline="0">
              <a:solidFill>
                <a:srgbClr val="214F6B"/>
              </a:solidFill>
            </a:endParaRPr>
          </a:p>
        </c:rich>
      </c:tx>
      <c:layout>
        <c:manualLayout>
          <c:xMode val="edge"/>
          <c:yMode val="edge"/>
          <c:x val="0.23173483019542382"/>
          <c:y val="2.7257390790827375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bg2">
                <a:lumMod val="75000"/>
              </a:schemeClr>
            </a:solidFill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AAE0DC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C8D2-44EB-B09B-9DD659F4905E}"/>
              </c:ext>
            </c:extLst>
          </c:dPt>
          <c:dPt>
            <c:idx val="1"/>
            <c:invertIfNegative val="0"/>
            <c:bubble3D val="0"/>
            <c:spPr>
              <a:solidFill>
                <a:srgbClr val="5EA3CE"/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4-B68C-4668-8F60-9534BAAE4254}"/>
              </c:ext>
            </c:extLst>
          </c:dPt>
          <c:dPt>
            <c:idx val="2"/>
            <c:invertIfNegative val="0"/>
            <c:bubble3D val="0"/>
            <c:spPr>
              <a:solidFill>
                <a:srgbClr val="5EA3CE"/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5-B68C-4668-8F60-9534BAAE4254}"/>
              </c:ext>
            </c:extLst>
          </c:dPt>
          <c:dPt>
            <c:idx val="3"/>
            <c:invertIfNegative val="0"/>
            <c:bubble3D val="0"/>
            <c:spPr>
              <a:solidFill>
                <a:srgbClr val="5EA3CE"/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6-B68C-4668-8F60-9534BAAE4254}"/>
              </c:ext>
            </c:extLst>
          </c:dPt>
          <c:dPt>
            <c:idx val="4"/>
            <c:invertIfNegative val="0"/>
            <c:bubble3D val="0"/>
            <c:spPr>
              <a:solidFill>
                <a:srgbClr val="5EA3CE"/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7-B68C-4668-8F60-9534BAAE4254}"/>
              </c:ext>
            </c:extLst>
          </c:dPt>
          <c:dPt>
            <c:idx val="5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1-C8D2-44EB-B09B-9DD659F4905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>
                    <a:solidFill>
                      <a:srgbClr val="214F6B"/>
                    </a:solidFill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'2021Data'!$B$116:$B$121</c:f>
              <c:strCache>
                <c:ptCount val="6"/>
                <c:pt idx="0">
                  <c:v>ALAMANCE </c:v>
                </c:pt>
                <c:pt idx="1">
                  <c:v>ALAMANCE </c:v>
                </c:pt>
                <c:pt idx="2">
                  <c:v>ALAMANCE </c:v>
                </c:pt>
                <c:pt idx="3">
                  <c:v>ALAMANCE </c:v>
                </c:pt>
                <c:pt idx="4">
                  <c:v>ALAMANCE </c:v>
                </c:pt>
                <c:pt idx="5">
                  <c:v>Average Statewide</c:v>
                </c:pt>
              </c:strCache>
            </c:strRef>
          </c:cat>
          <c:val>
            <c:numRef>
              <c:f>'2021Data'!$BX$116:$BX$121</c:f>
              <c:numCache>
                <c:formatCode>_(* #,##0.00_);_(* \(#,##0.00\);_(* "-"??_);_(@_)</c:formatCode>
                <c:ptCount val="6"/>
                <c:pt idx="0">
                  <c:v>4.3085279801192389</c:v>
                </c:pt>
                <c:pt idx="1">
                  <c:v>4.3085279801192389</c:v>
                </c:pt>
                <c:pt idx="2">
                  <c:v>4.3085279801192389</c:v>
                </c:pt>
                <c:pt idx="3">
                  <c:v>4.3085279801192389</c:v>
                </c:pt>
                <c:pt idx="4">
                  <c:v>4.3085279801192389</c:v>
                </c:pt>
                <c:pt idx="5" formatCode="0.00">
                  <c:v>6.4088385529678416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8D2-44EB-B09B-9DD659F4905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-25"/>
        <c:axId val="223555584"/>
        <c:axId val="223557120"/>
      </c:barChart>
      <c:catAx>
        <c:axId val="223555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900" b="1">
                <a:solidFill>
                  <a:srgbClr val="214F6B"/>
                </a:solidFill>
              </a:defRPr>
            </a:pPr>
            <a:endParaRPr lang="en-US"/>
          </a:p>
        </c:txPr>
        <c:crossAx val="223557120"/>
        <c:crosses val="autoZero"/>
        <c:auto val="1"/>
        <c:lblAlgn val="ctr"/>
        <c:lblOffset val="100"/>
        <c:noMultiLvlLbl val="0"/>
      </c:catAx>
      <c:valAx>
        <c:axId val="223557120"/>
        <c:scaling>
          <c:orientation val="minMax"/>
        </c:scaling>
        <c:delete val="1"/>
        <c:axPos val="l"/>
        <c:numFmt formatCode="_(* #,##0.00_);_(* \(#,##0.00\);_(* &quot;-&quot;??_);_(@_)" sourceLinked="1"/>
        <c:majorTickMark val="none"/>
        <c:minorTickMark val="none"/>
        <c:tickLblPos val="none"/>
        <c:crossAx val="2235555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ysClr val="window" lastClr="FFFFFF"/>
    </a:solidFill>
  </c:spPr>
  <c:txPr>
    <a:bodyPr/>
    <a:lstStyle/>
    <a:p>
      <a:pPr>
        <a:defRPr>
          <a:latin typeface="Calibri" pitchFamily="34" charset="0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/>
          <a:lstStyle/>
          <a:p>
            <a:pPr>
              <a:defRPr sz="1600">
                <a:solidFill>
                  <a:srgbClr val="214F6B"/>
                </a:solidFill>
              </a:defRPr>
            </a:pPr>
            <a:r>
              <a:rPr lang="en-US" sz="1600">
                <a:solidFill>
                  <a:srgbClr val="214F6B"/>
                </a:solidFill>
              </a:rPr>
              <a:t>Collection Turnover Rate </a:t>
            </a:r>
            <a:r>
              <a:rPr lang="en-US" sz="1600" b="1" i="0" u="none" strike="noStrike" baseline="0">
                <a:solidFill>
                  <a:srgbClr val="214F6B"/>
                </a:solidFill>
              </a:rPr>
              <a:t>FY2021</a:t>
            </a:r>
            <a:endParaRPr lang="en-US" sz="1600">
              <a:solidFill>
                <a:srgbClr val="214F6B"/>
              </a:solidFill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AAE0DC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88C6-4412-8B2D-4642B7D0D206}"/>
              </c:ext>
            </c:extLst>
          </c:dPt>
          <c:dPt>
            <c:idx val="1"/>
            <c:invertIfNegative val="0"/>
            <c:bubble3D val="0"/>
            <c:spPr>
              <a:solidFill>
                <a:srgbClr val="5EA3CE"/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4-8C46-43FB-A826-BBBE86844D6C}"/>
              </c:ext>
            </c:extLst>
          </c:dPt>
          <c:dPt>
            <c:idx val="2"/>
            <c:invertIfNegative val="0"/>
            <c:bubble3D val="0"/>
            <c:spPr>
              <a:solidFill>
                <a:srgbClr val="5EA3CE"/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5-8C46-43FB-A826-BBBE86844D6C}"/>
              </c:ext>
            </c:extLst>
          </c:dPt>
          <c:dPt>
            <c:idx val="3"/>
            <c:invertIfNegative val="0"/>
            <c:bubble3D val="0"/>
            <c:spPr>
              <a:solidFill>
                <a:srgbClr val="5EA3CE"/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6-8C46-43FB-A826-BBBE86844D6C}"/>
              </c:ext>
            </c:extLst>
          </c:dPt>
          <c:dPt>
            <c:idx val="4"/>
            <c:invertIfNegative val="0"/>
            <c:bubble3D val="0"/>
            <c:spPr>
              <a:solidFill>
                <a:srgbClr val="5EA3CE"/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7-8C46-43FB-A826-BBBE86844D6C}"/>
              </c:ext>
            </c:extLst>
          </c:dPt>
          <c:dPt>
            <c:idx val="5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1-88C6-4412-8B2D-4642B7D0D206}"/>
              </c:ext>
            </c:extLst>
          </c:dPt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rgbClr val="214F6B"/>
                    </a:solidFill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'2021Data'!$B$116:$B$121</c:f>
              <c:strCache>
                <c:ptCount val="6"/>
                <c:pt idx="0">
                  <c:v>ALAMANCE </c:v>
                </c:pt>
                <c:pt idx="1">
                  <c:v>ALAMANCE </c:v>
                </c:pt>
                <c:pt idx="2">
                  <c:v>ALAMANCE </c:v>
                </c:pt>
                <c:pt idx="3">
                  <c:v>ALAMANCE </c:v>
                </c:pt>
                <c:pt idx="4">
                  <c:v>ALAMANCE </c:v>
                </c:pt>
                <c:pt idx="5">
                  <c:v>Average Statewide</c:v>
                </c:pt>
              </c:strCache>
            </c:strRef>
          </c:cat>
          <c:val>
            <c:numRef>
              <c:f>'2021Data'!$BY$116:$BY$121</c:f>
              <c:numCache>
                <c:formatCode>0.00</c:formatCode>
                <c:ptCount val="6"/>
                <c:pt idx="0">
                  <c:v>0.99572159828863926</c:v>
                </c:pt>
                <c:pt idx="1">
                  <c:v>0.99572159828863926</c:v>
                </c:pt>
                <c:pt idx="2">
                  <c:v>0.99572159828863926</c:v>
                </c:pt>
                <c:pt idx="3">
                  <c:v>0.99572159828863926</c:v>
                </c:pt>
                <c:pt idx="4">
                  <c:v>0.99572159828863926</c:v>
                </c:pt>
                <c:pt idx="5">
                  <c:v>0.8712747121516603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8C6-4412-8B2D-4642B7D0D20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-25"/>
        <c:axId val="223578368"/>
        <c:axId val="223584256"/>
      </c:barChart>
      <c:catAx>
        <c:axId val="2235783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900" b="1">
                <a:solidFill>
                  <a:srgbClr val="214F6B"/>
                </a:solidFill>
              </a:defRPr>
            </a:pPr>
            <a:endParaRPr lang="en-US"/>
          </a:p>
        </c:txPr>
        <c:crossAx val="223584256"/>
        <c:crosses val="autoZero"/>
        <c:auto val="1"/>
        <c:lblAlgn val="ctr"/>
        <c:lblOffset val="100"/>
        <c:noMultiLvlLbl val="0"/>
      </c:catAx>
      <c:valAx>
        <c:axId val="223584256"/>
        <c:scaling>
          <c:orientation val="minMax"/>
        </c:scaling>
        <c:delete val="1"/>
        <c:axPos val="l"/>
        <c:numFmt formatCode="#,##0.00" sourceLinked="0"/>
        <c:majorTickMark val="none"/>
        <c:minorTickMark val="none"/>
        <c:tickLblPos val="none"/>
        <c:crossAx val="2235783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ysClr val="window" lastClr="FFFFFF"/>
    </a:solidFill>
  </c:spPr>
  <c:txPr>
    <a:bodyPr/>
    <a:lstStyle/>
    <a:p>
      <a:pPr>
        <a:defRPr>
          <a:latin typeface="Calibri" pitchFamily="34" charset="0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600">
                <a:solidFill>
                  <a:srgbClr val="214F6B"/>
                </a:solidFill>
              </a:rPr>
              <a:t>Collection Use Per Capita Physical (lighter) vs. Digital (darker)</a:t>
            </a:r>
            <a:r>
              <a:rPr lang="en-US" sz="1600" b="1" i="0" u="none" strike="noStrike" baseline="0">
                <a:solidFill>
                  <a:srgbClr val="214F6B"/>
                </a:solidFill>
              </a:rPr>
              <a:t> FY2021</a:t>
            </a:r>
            <a:endParaRPr lang="en-US" sz="1600">
              <a:solidFill>
                <a:srgbClr val="214F6B"/>
              </a:solidFill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Physical</c:v>
          </c:tx>
          <c:spPr>
            <a:solidFill>
              <a:schemeClr val="accent4"/>
            </a:solidFill>
            <a:ln>
              <a:noFill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AAE0DC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3260-40A5-93A9-96DA416682DF}"/>
              </c:ext>
            </c:extLst>
          </c:dPt>
          <c:dPt>
            <c:idx val="1"/>
            <c:invertIfNegative val="0"/>
            <c:bubble3D val="0"/>
            <c:spPr>
              <a:solidFill>
                <a:srgbClr val="5EA3CE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8-E3C5-4E64-9292-E3FB2641E723}"/>
              </c:ext>
            </c:extLst>
          </c:dPt>
          <c:dPt>
            <c:idx val="2"/>
            <c:invertIfNegative val="0"/>
            <c:bubble3D val="0"/>
            <c:spPr>
              <a:solidFill>
                <a:srgbClr val="5EA3CE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9-E3C5-4E64-9292-E3FB2641E723}"/>
              </c:ext>
            </c:extLst>
          </c:dPt>
          <c:dPt>
            <c:idx val="3"/>
            <c:invertIfNegative val="0"/>
            <c:bubble3D val="0"/>
            <c:spPr>
              <a:solidFill>
                <a:srgbClr val="5EA3CE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A-E3C5-4E64-9292-E3FB2641E723}"/>
              </c:ext>
            </c:extLst>
          </c:dPt>
          <c:dPt>
            <c:idx val="4"/>
            <c:invertIfNegative val="0"/>
            <c:bubble3D val="0"/>
            <c:spPr>
              <a:solidFill>
                <a:srgbClr val="5EA3CE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B-E3C5-4E64-9292-E3FB2641E723}"/>
              </c:ext>
            </c:extLst>
          </c:dPt>
          <c:dPt>
            <c:idx val="5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1-3260-40A5-93A9-96DA416682D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ysClr val="windowText" lastClr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'2021Data'!$B$116:$B$121</c:f>
              <c:strCache>
                <c:ptCount val="6"/>
                <c:pt idx="0">
                  <c:v>ALAMANCE </c:v>
                </c:pt>
                <c:pt idx="1">
                  <c:v>ALAMANCE </c:v>
                </c:pt>
                <c:pt idx="2">
                  <c:v>ALAMANCE </c:v>
                </c:pt>
                <c:pt idx="3">
                  <c:v>ALAMANCE </c:v>
                </c:pt>
                <c:pt idx="4">
                  <c:v>ALAMANCE </c:v>
                </c:pt>
                <c:pt idx="5">
                  <c:v>Average Statewide</c:v>
                </c:pt>
              </c:strCache>
            </c:strRef>
          </c:cat>
          <c:val>
            <c:numRef>
              <c:f>'2021Data'!$DY$116:$DY$121</c:f>
              <c:numCache>
                <c:formatCode>0.00</c:formatCode>
                <c:ptCount val="6"/>
                <c:pt idx="0">
                  <c:v>1.5069364897543591</c:v>
                </c:pt>
                <c:pt idx="1">
                  <c:v>1.5069364897543591</c:v>
                </c:pt>
                <c:pt idx="2">
                  <c:v>1.5069364897543591</c:v>
                </c:pt>
                <c:pt idx="3">
                  <c:v>1.5069364897543591</c:v>
                </c:pt>
                <c:pt idx="4">
                  <c:v>1.5069364897543591</c:v>
                </c:pt>
                <c:pt idx="5">
                  <c:v>2.0869680540050135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260-40A5-93A9-96DA416682DF}"/>
            </c:ext>
          </c:extLst>
        </c:ser>
        <c:ser>
          <c:idx val="1"/>
          <c:order val="1"/>
          <c:tx>
            <c:v>Digital</c:v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36938C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260-40A5-93A9-96DA416682DF}"/>
              </c:ext>
            </c:extLst>
          </c:dPt>
          <c:dPt>
            <c:idx val="1"/>
            <c:invertIfNegative val="0"/>
            <c:bubble3D val="0"/>
            <c:spPr>
              <a:solidFill>
                <a:srgbClr val="214F6B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E3C5-4E64-9292-E3FB2641E723}"/>
              </c:ext>
            </c:extLst>
          </c:dPt>
          <c:dPt>
            <c:idx val="2"/>
            <c:invertIfNegative val="0"/>
            <c:bubble3D val="0"/>
            <c:spPr>
              <a:solidFill>
                <a:srgbClr val="214F6B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E3C5-4E64-9292-E3FB2641E723}"/>
              </c:ext>
            </c:extLst>
          </c:dPt>
          <c:dPt>
            <c:idx val="3"/>
            <c:invertIfNegative val="0"/>
            <c:bubble3D val="0"/>
            <c:spPr>
              <a:solidFill>
                <a:srgbClr val="214F6B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E3C5-4E64-9292-E3FB2641E723}"/>
              </c:ext>
            </c:extLst>
          </c:dPt>
          <c:dPt>
            <c:idx val="4"/>
            <c:invertIfNegative val="0"/>
            <c:bubble3D val="0"/>
            <c:spPr>
              <a:solidFill>
                <a:srgbClr val="214F6B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E-E3C5-4E64-9292-E3FB2641E723}"/>
              </c:ext>
            </c:extLst>
          </c:dPt>
          <c:dPt>
            <c:idx val="5"/>
            <c:invertIfNegative val="0"/>
            <c:bubble3D val="0"/>
            <c:spPr>
              <a:solidFill>
                <a:schemeClr val="tx1">
                  <a:lumMod val="65000"/>
                  <a:lumOff val="3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3260-40A5-93A9-96DA416682D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rgbClr val="214F6B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'2021Data'!$B$116:$B$121</c:f>
              <c:strCache>
                <c:ptCount val="6"/>
                <c:pt idx="0">
                  <c:v>ALAMANCE </c:v>
                </c:pt>
                <c:pt idx="1">
                  <c:v>ALAMANCE </c:v>
                </c:pt>
                <c:pt idx="2">
                  <c:v>ALAMANCE </c:v>
                </c:pt>
                <c:pt idx="3">
                  <c:v>ALAMANCE </c:v>
                </c:pt>
                <c:pt idx="4">
                  <c:v>ALAMANCE </c:v>
                </c:pt>
                <c:pt idx="5">
                  <c:v>Average Statewide</c:v>
                </c:pt>
              </c:strCache>
            </c:strRef>
          </c:cat>
          <c:val>
            <c:numRef>
              <c:f>'2021Data'!$DZ$116:$DZ$121</c:f>
              <c:numCache>
                <c:formatCode>0.00</c:formatCode>
                <c:ptCount val="6"/>
                <c:pt idx="0">
                  <c:v>0.78375364400564862</c:v>
                </c:pt>
                <c:pt idx="1">
                  <c:v>0.78375364400564862</c:v>
                </c:pt>
                <c:pt idx="2">
                  <c:v>0.78375364400564862</c:v>
                </c:pt>
                <c:pt idx="3">
                  <c:v>0.78375364400564862</c:v>
                </c:pt>
                <c:pt idx="4">
                  <c:v>0.78375364400564862</c:v>
                </c:pt>
                <c:pt idx="5">
                  <c:v>1.6520297379298698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260-40A5-93A9-96DA416682D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-25"/>
        <c:axId val="226842880"/>
        <c:axId val="226852864"/>
      </c:barChart>
      <c:catAx>
        <c:axId val="226842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900" b="1" i="0" u="none" strike="noStrike" baseline="0">
                <a:solidFill>
                  <a:srgbClr val="214F6B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26852864"/>
        <c:crosses val="autoZero"/>
        <c:auto val="1"/>
        <c:lblAlgn val="ctr"/>
        <c:lblOffset val="100"/>
        <c:noMultiLvlLbl val="0"/>
      </c:catAx>
      <c:valAx>
        <c:axId val="226852864"/>
        <c:scaling>
          <c:orientation val="minMax"/>
        </c:scaling>
        <c:delete val="1"/>
        <c:axPos val="l"/>
        <c:numFmt formatCode="0.00" sourceLinked="1"/>
        <c:majorTickMark val="none"/>
        <c:minorTickMark val="none"/>
        <c:tickLblPos val="none"/>
        <c:crossAx val="226842880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solidFill>
      <a:sysClr val="window" lastClr="FFFFFF"/>
    </a:solidFill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214F6B"/>
                </a:solidFill>
                <a:latin typeface="Calibri"/>
                <a:ea typeface="Calibri"/>
                <a:cs typeface="Calibri"/>
              </a:defRPr>
            </a:pPr>
            <a:r>
              <a:rPr lang="en-US" sz="1400">
                <a:solidFill>
                  <a:srgbClr val="214F6B"/>
                </a:solidFill>
              </a:rPr>
              <a:t>Books in Print Per Capita FY2021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bg2">
                <a:lumMod val="50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5EA3CE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6A87-46A8-9978-2D6C8DDE80F4}"/>
              </c:ext>
            </c:extLst>
          </c:dPt>
          <c:dPt>
            <c:idx val="1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6A87-46A8-9978-2D6C8DDE80F4}"/>
              </c:ext>
            </c:extLst>
          </c:dPt>
          <c:dPt>
            <c:idx val="2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2-6A87-46A8-9978-2D6C8DDE80F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0" i="0" u="none" strike="noStrike" baseline="0">
                    <a:solidFill>
                      <a:srgbClr val="214F6B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'2021Data'!$B$105:$B$107</c:f>
              <c:strCache>
                <c:ptCount val="3"/>
                <c:pt idx="0">
                  <c:v>ALAMANCE</c:v>
                </c:pt>
                <c:pt idx="1">
                  <c:v>Average 100,000-249,999 population</c:v>
                </c:pt>
                <c:pt idx="2">
                  <c:v>Average Statewide</c:v>
                </c:pt>
              </c:strCache>
            </c:strRef>
          </c:cat>
          <c:val>
            <c:numRef>
              <c:f>'2021Data'!$BA$105:$BA$107</c:f>
              <c:numCache>
                <c:formatCode>0.00</c:formatCode>
                <c:ptCount val="3"/>
                <c:pt idx="0">
                  <c:v>1.0161396873882556</c:v>
                </c:pt>
                <c:pt idx="1">
                  <c:v>1.3668542608196013</c:v>
                </c:pt>
                <c:pt idx="2">
                  <c:v>1.792033036647688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A87-46A8-9978-2D6C8DDE80F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-25"/>
        <c:axId val="215718144"/>
        <c:axId val="215732224"/>
      </c:barChart>
      <c:catAx>
        <c:axId val="215718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1" i="0" u="none" strike="noStrike" baseline="0">
                <a:solidFill>
                  <a:srgbClr val="214F6B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15732224"/>
        <c:crosses val="autoZero"/>
        <c:auto val="1"/>
        <c:lblAlgn val="ctr"/>
        <c:lblOffset val="100"/>
        <c:noMultiLvlLbl val="0"/>
      </c:catAx>
      <c:valAx>
        <c:axId val="215732224"/>
        <c:scaling>
          <c:orientation val="minMax"/>
        </c:scaling>
        <c:delete val="1"/>
        <c:axPos val="l"/>
        <c:numFmt formatCode="0.00" sourceLinked="1"/>
        <c:majorTickMark val="none"/>
        <c:minorTickMark val="none"/>
        <c:tickLblPos val="none"/>
        <c:crossAx val="2157181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ysClr val="window" lastClr="FFFFFF"/>
    </a:solidFill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600">
                <a:solidFill>
                  <a:srgbClr val="214F6B"/>
                </a:solidFill>
              </a:rPr>
              <a:t>Children's</a:t>
            </a:r>
            <a:r>
              <a:rPr lang="en-US" sz="1600" baseline="0">
                <a:solidFill>
                  <a:srgbClr val="214F6B"/>
                </a:solidFill>
              </a:rPr>
              <a:t> </a:t>
            </a:r>
            <a:r>
              <a:rPr lang="en-US" sz="1600">
                <a:solidFill>
                  <a:srgbClr val="214F6B"/>
                </a:solidFill>
              </a:rPr>
              <a:t>Circulation Per Capita </a:t>
            </a:r>
            <a:r>
              <a:rPr lang="en-US" sz="1600" b="1" i="0" u="none" strike="noStrike" baseline="0">
                <a:solidFill>
                  <a:srgbClr val="214F6B"/>
                </a:solidFill>
              </a:rPr>
              <a:t>FY2021</a:t>
            </a:r>
            <a:endParaRPr lang="en-US" sz="1600">
              <a:solidFill>
                <a:srgbClr val="214F6B"/>
              </a:solidFill>
            </a:endParaRPr>
          </a:p>
        </c:rich>
      </c:tx>
      <c:layout>
        <c:manualLayout>
          <c:xMode val="edge"/>
          <c:yMode val="edge"/>
          <c:x val="0.28582621890236681"/>
          <c:y val="5.924799898944660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199027678358387E-2"/>
          <c:y val="0.28571587254664838"/>
          <c:w val="0.90717638988308258"/>
          <c:h val="0.56647586287208984"/>
        </c:manualLayout>
      </c:layout>
      <c:barChart>
        <c:barDir val="col"/>
        <c:grouping val="clustered"/>
        <c:varyColors val="0"/>
        <c:ser>
          <c:idx val="0"/>
          <c:order val="0"/>
          <c:tx>
            <c:v>Physical</c:v>
          </c:tx>
          <c:spPr>
            <a:solidFill>
              <a:schemeClr val="accent4">
                <a:lumMod val="60000"/>
                <a:lumOff val="40000"/>
              </a:schemeClr>
            </a:solidFill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AAE0DC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7B08-43A2-A7A1-47DC2DCCF4A6}"/>
              </c:ext>
            </c:extLst>
          </c:dPt>
          <c:dPt>
            <c:idx val="1"/>
            <c:invertIfNegative val="0"/>
            <c:bubble3D val="0"/>
            <c:spPr>
              <a:solidFill>
                <a:srgbClr val="5EA3CE"/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6-6882-439D-817E-E0E75DFCDCC6}"/>
              </c:ext>
            </c:extLst>
          </c:dPt>
          <c:dPt>
            <c:idx val="2"/>
            <c:invertIfNegative val="0"/>
            <c:bubble3D val="0"/>
            <c:spPr>
              <a:solidFill>
                <a:srgbClr val="5EA3CE"/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7-6882-439D-817E-E0E75DFCDCC6}"/>
              </c:ext>
            </c:extLst>
          </c:dPt>
          <c:dPt>
            <c:idx val="3"/>
            <c:invertIfNegative val="0"/>
            <c:bubble3D val="0"/>
            <c:spPr>
              <a:solidFill>
                <a:srgbClr val="5EA3CE"/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8-6882-439D-817E-E0E75DFCDCC6}"/>
              </c:ext>
            </c:extLst>
          </c:dPt>
          <c:dPt>
            <c:idx val="4"/>
            <c:invertIfNegative val="0"/>
            <c:bubble3D val="0"/>
            <c:spPr>
              <a:solidFill>
                <a:srgbClr val="5EA3CE"/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9-6882-439D-817E-E0E75DFCDCC6}"/>
              </c:ext>
            </c:extLst>
          </c:dPt>
          <c:dPt>
            <c:idx val="5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1-7B08-43A2-A7A1-47DC2DCCF4A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214F6B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'2021Data'!$B$116:$B$121</c:f>
              <c:strCache>
                <c:ptCount val="6"/>
                <c:pt idx="0">
                  <c:v>ALAMANCE </c:v>
                </c:pt>
                <c:pt idx="1">
                  <c:v>ALAMANCE </c:v>
                </c:pt>
                <c:pt idx="2">
                  <c:v>ALAMANCE </c:v>
                </c:pt>
                <c:pt idx="3">
                  <c:v>ALAMANCE </c:v>
                </c:pt>
                <c:pt idx="4">
                  <c:v>ALAMANCE </c:v>
                </c:pt>
                <c:pt idx="5">
                  <c:v>Average Statewide</c:v>
                </c:pt>
              </c:strCache>
            </c:strRef>
          </c:cat>
          <c:val>
            <c:numRef>
              <c:f>'2021Data'!$DW$116:$DW$121</c:f>
              <c:numCache>
                <c:formatCode>0.00</c:formatCode>
                <c:ptCount val="6"/>
                <c:pt idx="0">
                  <c:v>0.53788250695467188</c:v>
                </c:pt>
                <c:pt idx="1">
                  <c:v>0.53788250695467188</c:v>
                </c:pt>
                <c:pt idx="2">
                  <c:v>0.53788250695467188</c:v>
                </c:pt>
                <c:pt idx="3">
                  <c:v>0.53788250695467188</c:v>
                </c:pt>
                <c:pt idx="4">
                  <c:v>0.53788250695467188</c:v>
                </c:pt>
                <c:pt idx="5">
                  <c:v>0.97036736670569801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B08-43A2-A7A1-47DC2DCCF4A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-25"/>
        <c:axId val="226884608"/>
        <c:axId val="226767616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v>Digital</c:v>
                </c:tx>
                <c:spPr>
                  <a:solidFill>
                    <a:schemeClr val="accent2">
                      <a:lumMod val="75000"/>
                    </a:schemeClr>
                  </a:solidFill>
                  <a:ln>
                    <a:solidFill>
                      <a:schemeClr val="tx2">
                        <a:lumMod val="60000"/>
                        <a:lumOff val="40000"/>
                      </a:schemeClr>
                    </a:solidFill>
                  </a:ln>
                  <a:effectLst/>
                </c:spPr>
                <c:invertIfNegative val="0"/>
                <c:dPt>
                  <c:idx val="0"/>
                  <c:invertIfNegative val="0"/>
                  <c:bubble3D val="0"/>
                  <c:spPr>
                    <a:solidFill>
                      <a:schemeClr val="accent1">
                        <a:lumMod val="75000"/>
                      </a:schemeClr>
                    </a:solidFill>
                    <a:ln>
                      <a:solidFill>
                        <a:schemeClr val="tx2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3-7B08-43A2-A7A1-47DC2DCCF4A6}"/>
                    </c:ext>
                  </c:extLst>
                </c:dPt>
                <c:dLbls>
                  <c:dLbl>
                    <c:idx val="0"/>
                    <c:spPr>
                      <a:effectLst/>
                    </c:spPr>
                    <c:txPr>
                      <a:bodyPr/>
                      <a:lstStyle/>
                      <a:p>
                        <a:pPr>
                          <a:defRPr/>
                        </a:pPr>
                        <a:endParaRPr lang="en-US"/>
                      </a:p>
                    </c:txPr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xmlns:c16="http://schemas.microsoft.com/office/drawing/2014/chart" uri="{C3380CC4-5D6E-409C-BE32-E72D297353CC}">
                        <c16:uniqueId val="{00000003-7B08-43A2-A7A1-47DC2DCCF4A6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0"/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'2021Data'!$B$116:$B$121</c15:sqref>
                        </c15:formulaRef>
                      </c:ext>
                    </c:extLst>
                    <c:strCache>
                      <c:ptCount val="6"/>
                      <c:pt idx="0">
                        <c:v>ALAMANCE </c:v>
                      </c:pt>
                      <c:pt idx="1">
                        <c:v>ALAMANCE </c:v>
                      </c:pt>
                      <c:pt idx="2">
                        <c:v>ALAMANCE </c:v>
                      </c:pt>
                      <c:pt idx="3">
                        <c:v>ALAMANCE </c:v>
                      </c:pt>
                      <c:pt idx="4">
                        <c:v>ALAMANCE </c:v>
                      </c:pt>
                      <c:pt idx="5">
                        <c:v>Average Statewide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'2021Data'!$DX$116:$DX$121</c15:sqref>
                        </c15:formulaRef>
                      </c:ext>
                    </c:extLst>
                    <c:numCache>
                      <c:formatCode>0.00</c:formatCode>
                      <c:ptCount val="6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4-7B08-43A2-A7A1-47DC2DCCF4A6}"/>
                  </c:ext>
                </c:extLst>
              </c15:ser>
            </c15:filteredBarSeries>
          </c:ext>
        </c:extLst>
      </c:barChart>
      <c:catAx>
        <c:axId val="2268846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900" b="1" i="0" u="none" strike="noStrike" baseline="0">
                <a:solidFill>
                  <a:srgbClr val="214F6B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26767616"/>
        <c:crosses val="autoZero"/>
        <c:auto val="1"/>
        <c:lblAlgn val="ctr"/>
        <c:lblOffset val="100"/>
        <c:noMultiLvlLbl val="0"/>
      </c:catAx>
      <c:valAx>
        <c:axId val="226767616"/>
        <c:scaling>
          <c:orientation val="minMax"/>
        </c:scaling>
        <c:delete val="1"/>
        <c:axPos val="l"/>
        <c:numFmt formatCode="0.00" sourceLinked="1"/>
        <c:majorTickMark val="none"/>
        <c:minorTickMark val="none"/>
        <c:tickLblPos val="none"/>
        <c:crossAx val="226884608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solidFill>
      <a:sysClr val="window" lastClr="FFFFFF"/>
    </a:solidFill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214F6B"/>
                </a:solidFill>
                <a:latin typeface="Calibri"/>
                <a:ea typeface="Calibri"/>
                <a:cs typeface="Calibri"/>
              </a:defRPr>
            </a:pPr>
            <a:r>
              <a:rPr lang="en-US" sz="1600">
                <a:solidFill>
                  <a:srgbClr val="214F6B"/>
                </a:solidFill>
              </a:rPr>
              <a:t>Collection</a:t>
            </a:r>
            <a:r>
              <a:rPr lang="en-US" sz="1600" baseline="0">
                <a:solidFill>
                  <a:srgbClr val="214F6B"/>
                </a:solidFill>
              </a:rPr>
              <a:t> </a:t>
            </a:r>
            <a:r>
              <a:rPr lang="en-US" sz="1600">
                <a:solidFill>
                  <a:srgbClr val="214F6B"/>
                </a:solidFill>
              </a:rPr>
              <a:t>Holdings Per Capita </a:t>
            </a:r>
            <a:r>
              <a:rPr lang="en-US" sz="1600" b="1" i="0" u="none" strike="noStrike" baseline="0">
                <a:solidFill>
                  <a:srgbClr val="214F6B"/>
                </a:solidFill>
              </a:rPr>
              <a:t>FY2021</a:t>
            </a:r>
            <a:endParaRPr lang="en-US" sz="1600">
              <a:solidFill>
                <a:srgbClr val="214F6B"/>
              </a:solidFill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AAE0DC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8B84-427F-B4F3-176A7DEC40D6}"/>
              </c:ext>
            </c:extLst>
          </c:dPt>
          <c:dPt>
            <c:idx val="1"/>
            <c:invertIfNegative val="0"/>
            <c:bubble3D val="0"/>
            <c:spPr>
              <a:solidFill>
                <a:srgbClr val="5EA3CE"/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4-F891-4877-9E4C-0FF6640AA648}"/>
              </c:ext>
            </c:extLst>
          </c:dPt>
          <c:dPt>
            <c:idx val="2"/>
            <c:invertIfNegative val="0"/>
            <c:bubble3D val="0"/>
            <c:spPr>
              <a:solidFill>
                <a:srgbClr val="5EA3CE"/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5-F891-4877-9E4C-0FF6640AA648}"/>
              </c:ext>
            </c:extLst>
          </c:dPt>
          <c:dPt>
            <c:idx val="3"/>
            <c:invertIfNegative val="0"/>
            <c:bubble3D val="0"/>
            <c:spPr>
              <a:solidFill>
                <a:srgbClr val="5EA3CE"/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6-F891-4877-9E4C-0FF6640AA648}"/>
              </c:ext>
            </c:extLst>
          </c:dPt>
          <c:dPt>
            <c:idx val="4"/>
            <c:invertIfNegative val="0"/>
            <c:bubble3D val="0"/>
            <c:spPr>
              <a:solidFill>
                <a:srgbClr val="5EA3CE"/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7-F891-4877-9E4C-0FF6640AA648}"/>
              </c:ext>
            </c:extLst>
          </c:dPt>
          <c:dPt>
            <c:idx val="5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1-8B84-427F-B4F3-176A7DEC40D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50" b="0" i="0" u="none" strike="noStrike" baseline="0">
                    <a:solidFill>
                      <a:srgbClr val="214F6B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'2021Data'!$B$116:$B$121</c:f>
              <c:strCache>
                <c:ptCount val="6"/>
                <c:pt idx="0">
                  <c:v>ALAMANCE </c:v>
                </c:pt>
                <c:pt idx="1">
                  <c:v>ALAMANCE </c:v>
                </c:pt>
                <c:pt idx="2">
                  <c:v>ALAMANCE </c:v>
                </c:pt>
                <c:pt idx="3">
                  <c:v>ALAMANCE </c:v>
                </c:pt>
                <c:pt idx="4">
                  <c:v>ALAMANCE </c:v>
                </c:pt>
                <c:pt idx="5">
                  <c:v>Average Statewide</c:v>
                </c:pt>
              </c:strCache>
            </c:strRef>
          </c:cat>
          <c:val>
            <c:numRef>
              <c:f>'2021Data'!$BL$116:$BL$121</c:f>
              <c:numCache>
                <c:formatCode>0.00</c:formatCode>
                <c:ptCount val="6"/>
                <c:pt idx="0">
                  <c:v>2.300532736958854</c:v>
                </c:pt>
                <c:pt idx="1">
                  <c:v>2.300532736958854</c:v>
                </c:pt>
                <c:pt idx="2">
                  <c:v>2.300532736958854</c:v>
                </c:pt>
                <c:pt idx="3">
                  <c:v>2.300532736958854</c:v>
                </c:pt>
                <c:pt idx="4">
                  <c:v>2.300532736958854</c:v>
                </c:pt>
                <c:pt idx="5">
                  <c:v>7.1829446509588957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B84-427F-B4F3-176A7DEC40D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-25"/>
        <c:axId val="226813440"/>
        <c:axId val="226814976"/>
      </c:barChart>
      <c:catAx>
        <c:axId val="226813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1" i="0" u="none" strike="noStrike" baseline="0">
                <a:solidFill>
                  <a:srgbClr val="214F6B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26814976"/>
        <c:crosses val="autoZero"/>
        <c:auto val="1"/>
        <c:lblAlgn val="ctr"/>
        <c:lblOffset val="100"/>
        <c:noMultiLvlLbl val="0"/>
      </c:catAx>
      <c:valAx>
        <c:axId val="226814976"/>
        <c:scaling>
          <c:orientation val="minMax"/>
        </c:scaling>
        <c:delete val="1"/>
        <c:axPos val="l"/>
        <c:numFmt formatCode="0.00" sourceLinked="1"/>
        <c:majorTickMark val="none"/>
        <c:minorTickMark val="none"/>
        <c:tickLblPos val="none"/>
        <c:crossAx val="2268134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ysClr val="window" lastClr="FFFFFF"/>
    </a:solidFill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214F6B"/>
                </a:solidFill>
                <a:latin typeface="Calibri"/>
                <a:ea typeface="Calibri"/>
                <a:cs typeface="Calibri"/>
              </a:defRPr>
            </a:pPr>
            <a:r>
              <a:rPr lang="en-US" sz="1600">
                <a:solidFill>
                  <a:srgbClr val="214F6B"/>
                </a:solidFill>
              </a:rPr>
              <a:t>Operating Revenue Per Capita </a:t>
            </a:r>
            <a:r>
              <a:rPr lang="en-US" sz="1600" b="1" i="0" u="none" strike="noStrike" baseline="0">
                <a:solidFill>
                  <a:srgbClr val="214F6B"/>
                </a:solidFill>
              </a:rPr>
              <a:t>FY2021</a:t>
            </a:r>
            <a:endParaRPr lang="en-US" sz="1600">
              <a:solidFill>
                <a:srgbClr val="214F6B"/>
              </a:solidFill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2">
                <a:lumMod val="75000"/>
              </a:schemeClr>
            </a:solidFill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AAE0DC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2F88-4BD1-ABBF-66CE52730B59}"/>
              </c:ext>
            </c:extLst>
          </c:dPt>
          <c:dPt>
            <c:idx val="1"/>
            <c:invertIfNegative val="0"/>
            <c:bubble3D val="0"/>
            <c:spPr>
              <a:solidFill>
                <a:srgbClr val="5EA3CE"/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4-764D-443A-8B5F-BD1F259CDC2D}"/>
              </c:ext>
            </c:extLst>
          </c:dPt>
          <c:dPt>
            <c:idx val="2"/>
            <c:invertIfNegative val="0"/>
            <c:bubble3D val="0"/>
            <c:spPr>
              <a:solidFill>
                <a:srgbClr val="5EA3CE"/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5-764D-443A-8B5F-BD1F259CDC2D}"/>
              </c:ext>
            </c:extLst>
          </c:dPt>
          <c:dPt>
            <c:idx val="3"/>
            <c:invertIfNegative val="0"/>
            <c:bubble3D val="0"/>
            <c:spPr>
              <a:solidFill>
                <a:srgbClr val="5EA3CE"/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4-0A1E-4A40-B0DF-BEB5BB10CF33}"/>
              </c:ext>
            </c:extLst>
          </c:dPt>
          <c:dPt>
            <c:idx val="4"/>
            <c:invertIfNegative val="0"/>
            <c:bubble3D val="0"/>
            <c:spPr>
              <a:solidFill>
                <a:srgbClr val="5EA3CE"/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6-764D-443A-8B5F-BD1F259CDC2D}"/>
              </c:ext>
            </c:extLst>
          </c:dPt>
          <c:dPt>
            <c:idx val="5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1-2F88-4BD1-ABBF-66CE52730B5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50" b="0" i="0" u="none" strike="noStrike" baseline="0">
                    <a:solidFill>
                      <a:srgbClr val="214F6B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'2021Data'!$B$116:$B$121</c:f>
              <c:strCache>
                <c:ptCount val="6"/>
                <c:pt idx="0">
                  <c:v>ALAMANCE </c:v>
                </c:pt>
                <c:pt idx="1">
                  <c:v>ALAMANCE </c:v>
                </c:pt>
                <c:pt idx="2">
                  <c:v>ALAMANCE </c:v>
                </c:pt>
                <c:pt idx="3">
                  <c:v>ALAMANCE </c:v>
                </c:pt>
                <c:pt idx="4">
                  <c:v>ALAMANCE </c:v>
                </c:pt>
                <c:pt idx="5">
                  <c:v>Average Statewide</c:v>
                </c:pt>
              </c:strCache>
            </c:strRef>
          </c:cat>
          <c:val>
            <c:numRef>
              <c:f>'2021Data'!$AQ$116:$AQ$121</c:f>
              <c:numCache>
                <c:formatCode>"$"#,##0.00</c:formatCode>
                <c:ptCount val="6"/>
                <c:pt idx="0">
                  <c:v>20.192003490972564</c:v>
                </c:pt>
                <c:pt idx="1">
                  <c:v>20.192003490972564</c:v>
                </c:pt>
                <c:pt idx="2">
                  <c:v>20.192003490972564</c:v>
                </c:pt>
                <c:pt idx="3">
                  <c:v>20.192003490972564</c:v>
                </c:pt>
                <c:pt idx="4">
                  <c:v>20.192003490972564</c:v>
                </c:pt>
                <c:pt idx="5">
                  <c:v>25.769166856154431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F88-4BD1-ABBF-66CE52730B5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-25"/>
        <c:axId val="226943744"/>
        <c:axId val="226945280"/>
      </c:barChart>
      <c:catAx>
        <c:axId val="226943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900" b="1" i="0" u="none" strike="noStrike" baseline="0">
                <a:solidFill>
                  <a:srgbClr val="214F6B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26945280"/>
        <c:crosses val="autoZero"/>
        <c:auto val="1"/>
        <c:lblAlgn val="ctr"/>
        <c:lblOffset val="100"/>
        <c:noMultiLvlLbl val="0"/>
      </c:catAx>
      <c:valAx>
        <c:axId val="226945280"/>
        <c:scaling>
          <c:orientation val="minMax"/>
        </c:scaling>
        <c:delete val="1"/>
        <c:axPos val="l"/>
        <c:numFmt formatCode="&quot;$&quot;#,##0.00" sourceLinked="1"/>
        <c:majorTickMark val="none"/>
        <c:minorTickMark val="none"/>
        <c:tickLblPos val="none"/>
        <c:crossAx val="2269437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ysClr val="window" lastClr="FFFFFF"/>
    </a:solidFill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/>
          <a:lstStyle/>
          <a:p>
            <a:pPr>
              <a:defRPr sz="1600" b="0" i="0" u="none" strike="noStrike" baseline="0">
                <a:solidFill>
                  <a:srgbClr val="214F6B"/>
                </a:solidFill>
                <a:latin typeface="Calibri"/>
                <a:ea typeface="Calibri"/>
                <a:cs typeface="Calibri"/>
              </a:defRPr>
            </a:pPr>
            <a:r>
              <a:rPr lang="en-US" sz="1600" b="1" i="0" u="none" strike="noStrike" baseline="0">
                <a:solidFill>
                  <a:srgbClr val="214F6B"/>
                </a:solidFill>
                <a:latin typeface="Calibri"/>
              </a:rPr>
              <a:t>Total Local Government Revenue</a:t>
            </a:r>
          </a:p>
          <a:p>
            <a:pPr>
              <a:defRPr sz="1600" b="0" i="0" u="none" strike="noStrike" baseline="0">
                <a:solidFill>
                  <a:srgbClr val="214F6B"/>
                </a:solidFill>
                <a:latin typeface="Calibri"/>
                <a:ea typeface="Calibri"/>
                <a:cs typeface="Calibri"/>
              </a:defRPr>
            </a:pPr>
            <a:r>
              <a:rPr lang="en-US" sz="1600" b="1" i="0" u="none" strike="noStrike" baseline="0">
                <a:solidFill>
                  <a:srgbClr val="214F6B"/>
                </a:solidFill>
                <a:latin typeface="Calibri"/>
              </a:rPr>
              <a:t>Per Capita </a:t>
            </a:r>
            <a:r>
              <a:rPr lang="en-US" sz="1600" b="1" i="0" u="none" strike="noStrike" baseline="0">
                <a:solidFill>
                  <a:srgbClr val="214F6B"/>
                </a:solidFill>
              </a:rPr>
              <a:t>FY2021</a:t>
            </a:r>
            <a:endParaRPr lang="en-US" sz="1600" b="1" i="0" u="none" strike="noStrike" baseline="0">
              <a:solidFill>
                <a:srgbClr val="214F6B"/>
              </a:solidFill>
              <a:latin typeface="Calibri"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2">
                <a:lumMod val="75000"/>
              </a:schemeClr>
            </a:solidFill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AAE0DC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2B57-4ED7-99F4-575C74F578C4}"/>
              </c:ext>
            </c:extLst>
          </c:dPt>
          <c:dPt>
            <c:idx val="1"/>
            <c:invertIfNegative val="0"/>
            <c:bubble3D val="0"/>
            <c:spPr>
              <a:solidFill>
                <a:srgbClr val="5EA3CE"/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7-4105-44FD-B0BF-8E0792A46997}"/>
              </c:ext>
            </c:extLst>
          </c:dPt>
          <c:dPt>
            <c:idx val="2"/>
            <c:invertIfNegative val="0"/>
            <c:bubble3D val="0"/>
            <c:spPr>
              <a:solidFill>
                <a:srgbClr val="5EA3CE"/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6-4105-44FD-B0BF-8E0792A46997}"/>
              </c:ext>
            </c:extLst>
          </c:dPt>
          <c:dPt>
            <c:idx val="3"/>
            <c:invertIfNegative val="0"/>
            <c:bubble3D val="0"/>
            <c:spPr>
              <a:solidFill>
                <a:srgbClr val="5EA3CE"/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5-4105-44FD-B0BF-8E0792A46997}"/>
              </c:ext>
            </c:extLst>
          </c:dPt>
          <c:dPt>
            <c:idx val="4"/>
            <c:invertIfNegative val="0"/>
            <c:bubble3D val="0"/>
            <c:spPr>
              <a:solidFill>
                <a:srgbClr val="5EA3CE"/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4-4105-44FD-B0BF-8E0792A46997}"/>
              </c:ext>
            </c:extLst>
          </c:dPt>
          <c:dPt>
            <c:idx val="5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1-2B57-4ED7-99F4-575C74F578C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50" b="0" i="0" u="none" strike="noStrike" baseline="0">
                    <a:solidFill>
                      <a:srgbClr val="214F6B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'2021Data'!$B$116:$B$121</c:f>
              <c:strCache>
                <c:ptCount val="6"/>
                <c:pt idx="0">
                  <c:v>ALAMANCE </c:v>
                </c:pt>
                <c:pt idx="1">
                  <c:v>ALAMANCE </c:v>
                </c:pt>
                <c:pt idx="2">
                  <c:v>ALAMANCE </c:v>
                </c:pt>
                <c:pt idx="3">
                  <c:v>ALAMANCE </c:v>
                </c:pt>
                <c:pt idx="4">
                  <c:v>ALAMANCE </c:v>
                </c:pt>
                <c:pt idx="5">
                  <c:v>Average Statewide</c:v>
                </c:pt>
              </c:strCache>
            </c:strRef>
          </c:cat>
          <c:val>
            <c:numRef>
              <c:f>'2021Data'!$AJ$116:$AJ$121</c:f>
              <c:numCache>
                <c:formatCode>"$"#,##0.00</c:formatCode>
                <c:ptCount val="6"/>
                <c:pt idx="0">
                  <c:v>18.344982029976304</c:v>
                </c:pt>
                <c:pt idx="1">
                  <c:v>18.344982029976304</c:v>
                </c:pt>
                <c:pt idx="2">
                  <c:v>18.344982029976304</c:v>
                </c:pt>
                <c:pt idx="3">
                  <c:v>18.344982029976304</c:v>
                </c:pt>
                <c:pt idx="4">
                  <c:v>18.344982029976304</c:v>
                </c:pt>
                <c:pt idx="5">
                  <c:v>22.473312331344946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B57-4ED7-99F4-575C74F578C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-25"/>
        <c:axId val="226974336"/>
        <c:axId val="226976128"/>
      </c:barChart>
      <c:catAx>
        <c:axId val="226974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900" b="1" i="0" u="none" strike="noStrike" baseline="0">
                <a:solidFill>
                  <a:srgbClr val="214F6B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26976128"/>
        <c:crosses val="autoZero"/>
        <c:auto val="1"/>
        <c:lblAlgn val="ctr"/>
        <c:lblOffset val="100"/>
        <c:noMultiLvlLbl val="0"/>
      </c:catAx>
      <c:valAx>
        <c:axId val="226976128"/>
        <c:scaling>
          <c:orientation val="minMax"/>
        </c:scaling>
        <c:delete val="1"/>
        <c:axPos val="l"/>
        <c:numFmt formatCode="&quot;$&quot;#,##0.00" sourceLinked="1"/>
        <c:majorTickMark val="none"/>
        <c:minorTickMark val="none"/>
        <c:tickLblPos val="none"/>
        <c:crossAx val="2269743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ysClr val="window" lastClr="FFFFFF"/>
    </a:solidFill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214F6B"/>
                </a:solidFill>
                <a:latin typeface="Calibri"/>
                <a:ea typeface="Calibri"/>
                <a:cs typeface="Calibri"/>
              </a:defRPr>
            </a:pPr>
            <a:r>
              <a:rPr lang="en-US" sz="1600">
                <a:solidFill>
                  <a:srgbClr val="214F6B"/>
                </a:solidFill>
              </a:rPr>
              <a:t>Total Operating Expenditures</a:t>
            </a:r>
          </a:p>
          <a:p>
            <a:pPr>
              <a:defRPr sz="1600" b="1" i="0" u="none" strike="noStrike" baseline="0">
                <a:solidFill>
                  <a:srgbClr val="214F6B"/>
                </a:solidFill>
                <a:latin typeface="Calibri"/>
                <a:ea typeface="Calibri"/>
                <a:cs typeface="Calibri"/>
              </a:defRPr>
            </a:pPr>
            <a:r>
              <a:rPr lang="en-US" sz="1600">
                <a:solidFill>
                  <a:srgbClr val="214F6B"/>
                </a:solidFill>
              </a:rPr>
              <a:t>Per Capita </a:t>
            </a:r>
            <a:r>
              <a:rPr lang="en-US" sz="1600" b="1" i="0" u="none" strike="noStrike" baseline="0">
                <a:solidFill>
                  <a:srgbClr val="214F6B"/>
                </a:solidFill>
              </a:rPr>
              <a:t>FY2021</a:t>
            </a:r>
            <a:endParaRPr lang="en-US" sz="1600">
              <a:solidFill>
                <a:srgbClr val="214F6B"/>
              </a:solidFill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4"/>
            </a:solidFill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AAE0DC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41D5-48F5-A58F-826ABBB5E4E2}"/>
              </c:ext>
            </c:extLst>
          </c:dPt>
          <c:dPt>
            <c:idx val="1"/>
            <c:invertIfNegative val="0"/>
            <c:bubble3D val="0"/>
            <c:spPr>
              <a:solidFill>
                <a:srgbClr val="5EA3CE"/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4-D97B-4BCA-BE86-936F916C55DA}"/>
              </c:ext>
            </c:extLst>
          </c:dPt>
          <c:dPt>
            <c:idx val="2"/>
            <c:invertIfNegative val="0"/>
            <c:bubble3D val="0"/>
            <c:spPr>
              <a:solidFill>
                <a:srgbClr val="5EA3CE"/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5-D97B-4BCA-BE86-936F916C55DA}"/>
              </c:ext>
            </c:extLst>
          </c:dPt>
          <c:dPt>
            <c:idx val="3"/>
            <c:invertIfNegative val="0"/>
            <c:bubble3D val="0"/>
            <c:spPr>
              <a:solidFill>
                <a:srgbClr val="5EA3CE"/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6-D97B-4BCA-BE86-936F916C55DA}"/>
              </c:ext>
            </c:extLst>
          </c:dPt>
          <c:dPt>
            <c:idx val="4"/>
            <c:invertIfNegative val="0"/>
            <c:bubble3D val="0"/>
            <c:spPr>
              <a:solidFill>
                <a:srgbClr val="5EA3CE"/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7-D97B-4BCA-BE86-936F916C55DA}"/>
              </c:ext>
            </c:extLst>
          </c:dPt>
          <c:dPt>
            <c:idx val="5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1-41D5-48F5-A58F-826ABBB5E4E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50" b="0" i="0" u="none" strike="noStrike" baseline="0">
                    <a:solidFill>
                      <a:srgbClr val="214F6B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'2021Data'!$B$116:$B$121</c:f>
              <c:strCache>
                <c:ptCount val="6"/>
                <c:pt idx="0">
                  <c:v>ALAMANCE </c:v>
                </c:pt>
                <c:pt idx="1">
                  <c:v>ALAMANCE </c:v>
                </c:pt>
                <c:pt idx="2">
                  <c:v>ALAMANCE </c:v>
                </c:pt>
                <c:pt idx="3">
                  <c:v>ALAMANCE </c:v>
                </c:pt>
                <c:pt idx="4">
                  <c:v>ALAMANCE </c:v>
                </c:pt>
                <c:pt idx="5">
                  <c:v>Average Statewide</c:v>
                </c:pt>
              </c:strCache>
            </c:strRef>
          </c:cat>
          <c:val>
            <c:numRef>
              <c:f>'2021Data'!$W$116:$W$121</c:f>
              <c:numCache>
                <c:formatCode>"$"#,##0.00</c:formatCode>
                <c:ptCount val="6"/>
                <c:pt idx="0">
                  <c:v>18.344982029976304</c:v>
                </c:pt>
                <c:pt idx="1">
                  <c:v>18.344982029976304</c:v>
                </c:pt>
                <c:pt idx="2">
                  <c:v>18.344982029976304</c:v>
                </c:pt>
                <c:pt idx="3">
                  <c:v>18.344982029976304</c:v>
                </c:pt>
                <c:pt idx="4">
                  <c:v>18.344982029976304</c:v>
                </c:pt>
                <c:pt idx="5">
                  <c:v>23.833334203665633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1D5-48F5-A58F-826ABBB5E4E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-25"/>
        <c:axId val="227025280"/>
        <c:axId val="227026816"/>
      </c:barChart>
      <c:catAx>
        <c:axId val="2270252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1" i="0" u="none" strike="noStrike" baseline="0">
                <a:solidFill>
                  <a:srgbClr val="214F6B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27026816"/>
        <c:crosses val="autoZero"/>
        <c:auto val="1"/>
        <c:lblAlgn val="ctr"/>
        <c:lblOffset val="100"/>
        <c:noMultiLvlLbl val="0"/>
      </c:catAx>
      <c:valAx>
        <c:axId val="227026816"/>
        <c:scaling>
          <c:orientation val="minMax"/>
        </c:scaling>
        <c:delete val="1"/>
        <c:axPos val="l"/>
        <c:numFmt formatCode="&quot;$&quot;#,##0.00" sourceLinked="1"/>
        <c:majorTickMark val="none"/>
        <c:minorTickMark val="none"/>
        <c:tickLblPos val="none"/>
        <c:crossAx val="2270252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ysClr val="window" lastClr="FFFFFF"/>
    </a:solidFill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600">
                <a:solidFill>
                  <a:srgbClr val="214F6B"/>
                </a:solidFill>
              </a:rPr>
              <a:t>Other Operating Expenditures as Percentage of </a:t>
            </a:r>
            <a:br>
              <a:rPr lang="en-US" sz="1600">
                <a:solidFill>
                  <a:srgbClr val="214F6B"/>
                </a:solidFill>
              </a:rPr>
            </a:br>
            <a:r>
              <a:rPr lang="en-US" sz="1600">
                <a:solidFill>
                  <a:srgbClr val="214F6B"/>
                </a:solidFill>
              </a:rPr>
              <a:t>Total Operating Expenditures </a:t>
            </a:r>
            <a:r>
              <a:rPr lang="en-US" sz="1600" b="1" i="0" u="none" strike="noStrike" baseline="0">
                <a:solidFill>
                  <a:srgbClr val="214F6B"/>
                </a:solidFill>
              </a:rPr>
              <a:t>FY2021</a:t>
            </a:r>
            <a:endParaRPr lang="en-US" sz="1600">
              <a:solidFill>
                <a:srgbClr val="214F6B"/>
              </a:solidFill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4"/>
            </a:solidFill>
            <a:ln>
              <a:solidFill>
                <a:srgbClr val="0070C0"/>
              </a:solidFill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AAE0DC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A351-4731-A38A-4C58AC95ABFE}"/>
              </c:ext>
            </c:extLst>
          </c:dPt>
          <c:dPt>
            <c:idx val="1"/>
            <c:invertIfNegative val="0"/>
            <c:bubble3D val="0"/>
            <c:spPr>
              <a:solidFill>
                <a:srgbClr val="5EA3CE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4-2BA3-4C7B-A6C1-010C16E3837B}"/>
              </c:ext>
            </c:extLst>
          </c:dPt>
          <c:dPt>
            <c:idx val="2"/>
            <c:invertIfNegative val="0"/>
            <c:bubble3D val="0"/>
            <c:spPr>
              <a:solidFill>
                <a:srgbClr val="5EA3CE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5-2BA3-4C7B-A6C1-010C16E3837B}"/>
              </c:ext>
            </c:extLst>
          </c:dPt>
          <c:dPt>
            <c:idx val="3"/>
            <c:invertIfNegative val="0"/>
            <c:bubble3D val="0"/>
            <c:spPr>
              <a:solidFill>
                <a:srgbClr val="5EA3CE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6-2BA3-4C7B-A6C1-010C16E3837B}"/>
              </c:ext>
            </c:extLst>
          </c:dPt>
          <c:dPt>
            <c:idx val="4"/>
            <c:invertIfNegative val="0"/>
            <c:bubble3D val="0"/>
            <c:spPr>
              <a:solidFill>
                <a:srgbClr val="5EA3CE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7-2BA3-4C7B-A6C1-010C16E3837B}"/>
              </c:ext>
            </c:extLst>
          </c:dPt>
          <c:dPt>
            <c:idx val="5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1-A351-4731-A38A-4C58AC95ABFE}"/>
              </c:ext>
            </c:extLst>
          </c:dPt>
          <c:dLbls>
            <c:dLbl>
              <c:idx val="1"/>
              <c:layout>
                <c:manualLayout>
                  <c:x val="0"/>
                  <c:y val="4.1363607614952535E-3"/>
                </c:manualLayout>
              </c:layout>
              <c:tx>
                <c:rich>
                  <a:bodyPr/>
                  <a:lstStyle/>
                  <a:p>
                    <a:fld id="{8C370A0E-9F50-4045-8F75-7022E6544C7C}" type="VALUE">
                      <a:rPr lang="en-US">
                        <a:solidFill>
                          <a:schemeClr val="tx1"/>
                        </a:solidFill>
                      </a:rPr>
                      <a:pPr/>
                      <a:t>[VALUE]</a:t>
                    </a:fld>
                    <a:endParaRPr lang="en-US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4-2BA3-4C7B-A6C1-010C16E3837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214F6B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'2021Data'!$B$116:$B$121</c:f>
              <c:strCache>
                <c:ptCount val="6"/>
                <c:pt idx="0">
                  <c:v>ALAMANCE </c:v>
                </c:pt>
                <c:pt idx="1">
                  <c:v>ALAMANCE </c:v>
                </c:pt>
                <c:pt idx="2">
                  <c:v>ALAMANCE </c:v>
                </c:pt>
                <c:pt idx="3">
                  <c:v>ALAMANCE </c:v>
                </c:pt>
                <c:pt idx="4">
                  <c:v>ALAMANCE </c:v>
                </c:pt>
                <c:pt idx="5">
                  <c:v>Average Statewide</c:v>
                </c:pt>
              </c:strCache>
            </c:strRef>
          </c:cat>
          <c:val>
            <c:numRef>
              <c:f>'2021Data'!$Z$116:$Z$121</c:f>
              <c:numCache>
                <c:formatCode>0.00%</c:formatCode>
                <c:ptCount val="6"/>
                <c:pt idx="0">
                  <c:v>0.15245962244128997</c:v>
                </c:pt>
                <c:pt idx="1">
                  <c:v>0.15245962244128997</c:v>
                </c:pt>
                <c:pt idx="2">
                  <c:v>0.15245962244128997</c:v>
                </c:pt>
                <c:pt idx="3">
                  <c:v>0.15245962244128997</c:v>
                </c:pt>
                <c:pt idx="4">
                  <c:v>0.15245962244128997</c:v>
                </c:pt>
                <c:pt idx="5">
                  <c:v>0.16620975371798577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351-4731-A38A-4C58AC95ABF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-25"/>
        <c:axId val="227055872"/>
        <c:axId val="227057664"/>
      </c:barChart>
      <c:catAx>
        <c:axId val="227055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900" b="1" i="0" u="none" strike="noStrike" baseline="0">
                <a:solidFill>
                  <a:srgbClr val="214F6B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27057664"/>
        <c:crosses val="autoZero"/>
        <c:auto val="1"/>
        <c:lblAlgn val="ctr"/>
        <c:lblOffset val="100"/>
        <c:noMultiLvlLbl val="0"/>
      </c:catAx>
      <c:valAx>
        <c:axId val="227057664"/>
        <c:scaling>
          <c:orientation val="minMax"/>
        </c:scaling>
        <c:delete val="1"/>
        <c:axPos val="l"/>
        <c:numFmt formatCode="0.00%" sourceLinked="1"/>
        <c:majorTickMark val="none"/>
        <c:minorTickMark val="none"/>
        <c:tickLblPos val="none"/>
        <c:crossAx val="2270558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ysClr val="window" lastClr="FFFFFF"/>
    </a:solidFill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/>
          <a:lstStyle/>
          <a:p>
            <a:pPr>
              <a:defRPr sz="1600" b="0" i="0" u="none" strike="noStrike" baseline="0">
                <a:solidFill>
                  <a:srgbClr val="214F6B"/>
                </a:solidFill>
                <a:latin typeface="Calibri"/>
                <a:ea typeface="Calibri"/>
                <a:cs typeface="Calibri"/>
              </a:defRPr>
            </a:pPr>
            <a:r>
              <a:rPr lang="en-US" sz="1600" b="1" i="0" u="none" strike="noStrike" baseline="0">
                <a:solidFill>
                  <a:srgbClr val="214F6B"/>
                </a:solidFill>
                <a:latin typeface="Calibri"/>
              </a:rPr>
              <a:t>Library Materials Expenditures</a:t>
            </a:r>
          </a:p>
          <a:p>
            <a:pPr>
              <a:defRPr sz="1600" b="0" i="0" u="none" strike="noStrike" baseline="0">
                <a:solidFill>
                  <a:srgbClr val="214F6B"/>
                </a:solidFill>
                <a:latin typeface="Calibri"/>
                <a:ea typeface="Calibri"/>
                <a:cs typeface="Calibri"/>
              </a:defRPr>
            </a:pPr>
            <a:r>
              <a:rPr lang="en-US" sz="1600" b="1" i="0" u="none" strike="noStrike" baseline="0">
                <a:solidFill>
                  <a:srgbClr val="214F6B"/>
                </a:solidFill>
                <a:latin typeface="Calibri"/>
              </a:rPr>
              <a:t>Per Capita </a:t>
            </a:r>
            <a:r>
              <a:rPr lang="en-US" sz="1600" b="1" i="0" u="none" strike="noStrike" baseline="0">
                <a:solidFill>
                  <a:srgbClr val="214F6B"/>
                </a:solidFill>
              </a:rPr>
              <a:t>FY2021</a:t>
            </a:r>
            <a:endParaRPr lang="en-US" sz="1600" b="1" i="0" u="none" strike="noStrike" baseline="0">
              <a:solidFill>
                <a:srgbClr val="214F6B"/>
              </a:solidFill>
              <a:latin typeface="Calibri"/>
            </a:endParaRPr>
          </a:p>
        </c:rich>
      </c:tx>
      <c:layout>
        <c:manualLayout>
          <c:xMode val="edge"/>
          <c:yMode val="edge"/>
          <c:x val="0.30860661230082542"/>
          <c:y val="3.1111111111111252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4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AAE0DC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A3D9-4BD8-AA31-FBC3D02FBA86}"/>
              </c:ext>
            </c:extLst>
          </c:dPt>
          <c:dPt>
            <c:idx val="1"/>
            <c:invertIfNegative val="0"/>
            <c:bubble3D val="0"/>
            <c:spPr>
              <a:solidFill>
                <a:srgbClr val="5EA3CE"/>
              </a:solidFill>
            </c:spPr>
            <c:extLst>
              <c:ext xmlns:c16="http://schemas.microsoft.com/office/drawing/2014/chart" uri="{C3380CC4-5D6E-409C-BE32-E72D297353CC}">
                <c16:uniqueId val="{00000004-F9FE-449F-9902-C4D0FFE5CFB4}"/>
              </c:ext>
            </c:extLst>
          </c:dPt>
          <c:dPt>
            <c:idx val="2"/>
            <c:invertIfNegative val="0"/>
            <c:bubble3D val="0"/>
            <c:spPr>
              <a:solidFill>
                <a:srgbClr val="5EA3CE"/>
              </a:solidFill>
            </c:spPr>
            <c:extLst>
              <c:ext xmlns:c16="http://schemas.microsoft.com/office/drawing/2014/chart" uri="{C3380CC4-5D6E-409C-BE32-E72D297353CC}">
                <c16:uniqueId val="{00000005-F9FE-449F-9902-C4D0FFE5CFB4}"/>
              </c:ext>
            </c:extLst>
          </c:dPt>
          <c:dPt>
            <c:idx val="3"/>
            <c:invertIfNegative val="0"/>
            <c:bubble3D val="0"/>
            <c:spPr>
              <a:solidFill>
                <a:srgbClr val="5EA3CE"/>
              </a:solidFill>
            </c:spPr>
            <c:extLst>
              <c:ext xmlns:c16="http://schemas.microsoft.com/office/drawing/2014/chart" uri="{C3380CC4-5D6E-409C-BE32-E72D297353CC}">
                <c16:uniqueId val="{00000006-F9FE-449F-9902-C4D0FFE5CFB4}"/>
              </c:ext>
            </c:extLst>
          </c:dPt>
          <c:dPt>
            <c:idx val="4"/>
            <c:invertIfNegative val="0"/>
            <c:bubble3D val="0"/>
            <c:spPr>
              <a:solidFill>
                <a:srgbClr val="5EA3CE"/>
              </a:solidFill>
            </c:spPr>
            <c:extLst>
              <c:ext xmlns:c16="http://schemas.microsoft.com/office/drawing/2014/chart" uri="{C3380CC4-5D6E-409C-BE32-E72D297353CC}">
                <c16:uniqueId val="{00000007-F9FE-449F-9902-C4D0FFE5CFB4}"/>
              </c:ext>
            </c:extLst>
          </c:dPt>
          <c:dPt>
            <c:idx val="5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A3D9-4BD8-AA31-FBC3D02FBA8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50" b="0" i="0" u="none" strike="noStrike" baseline="0">
                    <a:solidFill>
                      <a:srgbClr val="214F6B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'2021Data'!$B$116:$B$121</c:f>
              <c:strCache>
                <c:ptCount val="6"/>
                <c:pt idx="0">
                  <c:v>ALAMANCE </c:v>
                </c:pt>
                <c:pt idx="1">
                  <c:v>ALAMANCE </c:v>
                </c:pt>
                <c:pt idx="2">
                  <c:v>ALAMANCE </c:v>
                </c:pt>
                <c:pt idx="3">
                  <c:v>ALAMANCE </c:v>
                </c:pt>
                <c:pt idx="4">
                  <c:v>ALAMANCE </c:v>
                </c:pt>
                <c:pt idx="5">
                  <c:v>Average Statewide</c:v>
                </c:pt>
              </c:strCache>
            </c:strRef>
          </c:cat>
          <c:val>
            <c:numRef>
              <c:f>'2021Data'!$R$116:$R$121</c:f>
              <c:numCache>
                <c:formatCode>"$"#,##0.00</c:formatCode>
                <c:ptCount val="6"/>
                <c:pt idx="0">
                  <c:v>1.8788220391885913</c:v>
                </c:pt>
                <c:pt idx="1">
                  <c:v>1.8788220391885913</c:v>
                </c:pt>
                <c:pt idx="2">
                  <c:v>1.8788220391885913</c:v>
                </c:pt>
                <c:pt idx="3">
                  <c:v>1.8788220391885913</c:v>
                </c:pt>
                <c:pt idx="4">
                  <c:v>1.8788220391885913</c:v>
                </c:pt>
                <c:pt idx="5">
                  <c:v>2.4980739271535892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3D9-4BD8-AA31-FBC3D02FBA8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-25"/>
        <c:axId val="227164544"/>
        <c:axId val="227166080"/>
      </c:barChart>
      <c:catAx>
        <c:axId val="227164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1" i="0" u="none" strike="noStrike" baseline="0">
                <a:solidFill>
                  <a:srgbClr val="214F6B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27166080"/>
        <c:crosses val="autoZero"/>
        <c:auto val="1"/>
        <c:lblAlgn val="ctr"/>
        <c:lblOffset val="100"/>
        <c:noMultiLvlLbl val="0"/>
      </c:catAx>
      <c:valAx>
        <c:axId val="227166080"/>
        <c:scaling>
          <c:orientation val="minMax"/>
        </c:scaling>
        <c:delete val="1"/>
        <c:axPos val="l"/>
        <c:numFmt formatCode="&quot;$&quot;#,##0.00" sourceLinked="1"/>
        <c:majorTickMark val="none"/>
        <c:minorTickMark val="none"/>
        <c:tickLblPos val="none"/>
        <c:crossAx val="2271645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ysClr val="window" lastClr="FFFFFF"/>
    </a:solidFill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/>
          <a:lstStyle/>
          <a:p>
            <a:pPr>
              <a:defRPr sz="1600" b="0" i="0" u="none" strike="noStrike" baseline="0">
                <a:solidFill>
                  <a:srgbClr val="214F6B"/>
                </a:solidFill>
                <a:latin typeface="Calibri"/>
                <a:ea typeface="Calibri"/>
                <a:cs typeface="Calibri"/>
              </a:defRPr>
            </a:pPr>
            <a:r>
              <a:rPr lang="en-US" sz="1600" b="1" i="0" u="none" strike="noStrike" baseline="0">
                <a:solidFill>
                  <a:srgbClr val="214F6B"/>
                </a:solidFill>
                <a:latin typeface="Calibri"/>
              </a:rPr>
              <a:t>Salaries/Wages Expenditures</a:t>
            </a:r>
          </a:p>
          <a:p>
            <a:pPr>
              <a:defRPr sz="1600" b="0" i="0" u="none" strike="noStrike" baseline="0">
                <a:solidFill>
                  <a:srgbClr val="214F6B"/>
                </a:solidFill>
                <a:latin typeface="Calibri"/>
                <a:ea typeface="Calibri"/>
                <a:cs typeface="Calibri"/>
              </a:defRPr>
            </a:pPr>
            <a:r>
              <a:rPr lang="en-US" sz="1600" b="1" i="0" u="none" strike="noStrike" baseline="0">
                <a:solidFill>
                  <a:srgbClr val="214F6B"/>
                </a:solidFill>
                <a:latin typeface="Calibri"/>
              </a:rPr>
              <a:t>Per Capita </a:t>
            </a:r>
            <a:r>
              <a:rPr lang="en-US" sz="1600" b="1" i="0" u="none" strike="noStrike" baseline="0">
                <a:solidFill>
                  <a:srgbClr val="214F6B"/>
                </a:solidFill>
              </a:rPr>
              <a:t>FY2021</a:t>
            </a:r>
            <a:endParaRPr lang="en-US" sz="1600" b="1" i="0" u="none" strike="noStrike" baseline="0">
              <a:solidFill>
                <a:srgbClr val="214F6B"/>
              </a:solidFill>
              <a:latin typeface="Calibri"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4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AAE0DC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379A-49F5-90A4-D7900B5F1FA2}"/>
              </c:ext>
            </c:extLst>
          </c:dPt>
          <c:dPt>
            <c:idx val="1"/>
            <c:invertIfNegative val="0"/>
            <c:bubble3D val="0"/>
            <c:spPr>
              <a:solidFill>
                <a:srgbClr val="5EA3CE"/>
              </a:solidFill>
            </c:spPr>
            <c:extLst>
              <c:ext xmlns:c16="http://schemas.microsoft.com/office/drawing/2014/chart" uri="{C3380CC4-5D6E-409C-BE32-E72D297353CC}">
                <c16:uniqueId val="{00000004-05B2-42CB-93FC-D0909061154B}"/>
              </c:ext>
            </c:extLst>
          </c:dPt>
          <c:dPt>
            <c:idx val="2"/>
            <c:invertIfNegative val="0"/>
            <c:bubble3D val="0"/>
            <c:spPr>
              <a:solidFill>
                <a:srgbClr val="5EA3CE"/>
              </a:solidFill>
            </c:spPr>
            <c:extLst>
              <c:ext xmlns:c16="http://schemas.microsoft.com/office/drawing/2014/chart" uri="{C3380CC4-5D6E-409C-BE32-E72D297353CC}">
                <c16:uniqueId val="{00000005-05B2-42CB-93FC-D0909061154B}"/>
              </c:ext>
            </c:extLst>
          </c:dPt>
          <c:dPt>
            <c:idx val="3"/>
            <c:invertIfNegative val="0"/>
            <c:bubble3D val="0"/>
            <c:spPr>
              <a:solidFill>
                <a:srgbClr val="5EA3CE"/>
              </a:solidFill>
            </c:spPr>
            <c:extLst>
              <c:ext xmlns:c16="http://schemas.microsoft.com/office/drawing/2014/chart" uri="{C3380CC4-5D6E-409C-BE32-E72D297353CC}">
                <c16:uniqueId val="{00000006-05B2-42CB-93FC-D0909061154B}"/>
              </c:ext>
            </c:extLst>
          </c:dPt>
          <c:dPt>
            <c:idx val="4"/>
            <c:invertIfNegative val="0"/>
            <c:bubble3D val="0"/>
            <c:spPr>
              <a:solidFill>
                <a:srgbClr val="5EA3CE"/>
              </a:solidFill>
            </c:spPr>
            <c:extLst>
              <c:ext xmlns:c16="http://schemas.microsoft.com/office/drawing/2014/chart" uri="{C3380CC4-5D6E-409C-BE32-E72D297353CC}">
                <c16:uniqueId val="{00000007-05B2-42CB-93FC-D0909061154B}"/>
              </c:ext>
            </c:extLst>
          </c:dPt>
          <c:dPt>
            <c:idx val="5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379A-49F5-90A4-D7900B5F1FA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50" b="0" i="0" u="none" strike="noStrike" baseline="0">
                    <a:solidFill>
                      <a:srgbClr val="214F6B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'2021Data'!$B$116:$B$121</c:f>
              <c:strCache>
                <c:ptCount val="6"/>
                <c:pt idx="0">
                  <c:v>ALAMANCE </c:v>
                </c:pt>
                <c:pt idx="1">
                  <c:v>ALAMANCE </c:v>
                </c:pt>
                <c:pt idx="2">
                  <c:v>ALAMANCE </c:v>
                </c:pt>
                <c:pt idx="3">
                  <c:v>ALAMANCE </c:v>
                </c:pt>
                <c:pt idx="4">
                  <c:v>ALAMANCE </c:v>
                </c:pt>
                <c:pt idx="5">
                  <c:v>Average Statewide</c:v>
                </c:pt>
              </c:strCache>
            </c:strRef>
          </c:cat>
          <c:val>
            <c:numRef>
              <c:f>'2021Data'!$M$116:$M$121</c:f>
              <c:numCache>
                <c:formatCode>"$"#,##0.00</c:formatCode>
                <c:ptCount val="6"/>
                <c:pt idx="0">
                  <c:v>13.669290956805275</c:v>
                </c:pt>
                <c:pt idx="1">
                  <c:v>13.669290956805275</c:v>
                </c:pt>
                <c:pt idx="2">
                  <c:v>13.669290956805275</c:v>
                </c:pt>
                <c:pt idx="3">
                  <c:v>13.669290956805275</c:v>
                </c:pt>
                <c:pt idx="4">
                  <c:v>13.669290956805275</c:v>
                </c:pt>
                <c:pt idx="5">
                  <c:v>17.285179884933431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79A-49F5-90A4-D7900B5F1FA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-25"/>
        <c:axId val="227144064"/>
        <c:axId val="227145600"/>
      </c:barChart>
      <c:catAx>
        <c:axId val="2271440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1" i="0" u="none" strike="noStrike" baseline="0">
                <a:solidFill>
                  <a:srgbClr val="214F6B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27145600"/>
        <c:crosses val="autoZero"/>
        <c:auto val="1"/>
        <c:lblAlgn val="ctr"/>
        <c:lblOffset val="100"/>
        <c:noMultiLvlLbl val="0"/>
      </c:catAx>
      <c:valAx>
        <c:axId val="227145600"/>
        <c:scaling>
          <c:orientation val="minMax"/>
        </c:scaling>
        <c:delete val="1"/>
        <c:axPos val="l"/>
        <c:numFmt formatCode="&quot;$&quot;#,##0.00" sourceLinked="1"/>
        <c:majorTickMark val="none"/>
        <c:minorTickMark val="none"/>
        <c:tickLblPos val="none"/>
        <c:crossAx val="22714406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ysClr val="window" lastClr="FFFFFF"/>
    </a:solidFill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/>
          <a:lstStyle/>
          <a:p>
            <a:pPr>
              <a:defRPr sz="1600">
                <a:solidFill>
                  <a:srgbClr val="214F6B"/>
                </a:solidFill>
              </a:defRPr>
            </a:pPr>
            <a:r>
              <a:rPr lang="en-US" sz="1600">
                <a:solidFill>
                  <a:srgbClr val="214F6B"/>
                </a:solidFill>
              </a:rPr>
              <a:t>Library Materials Expenditure as Percentage of </a:t>
            </a:r>
            <a:br>
              <a:rPr lang="en-US" sz="1600">
                <a:solidFill>
                  <a:srgbClr val="214F6B"/>
                </a:solidFill>
              </a:rPr>
            </a:br>
            <a:r>
              <a:rPr lang="en-US" sz="1600">
                <a:solidFill>
                  <a:srgbClr val="214F6B"/>
                </a:solidFill>
              </a:rPr>
              <a:t>Total Operating Expenditures </a:t>
            </a:r>
            <a:r>
              <a:rPr lang="en-US" sz="1600" b="1" i="0" u="none" strike="noStrike" baseline="0">
                <a:solidFill>
                  <a:srgbClr val="214F6B"/>
                </a:solidFill>
              </a:rPr>
              <a:t>FY2021</a:t>
            </a:r>
            <a:endParaRPr lang="en-US" sz="1600">
              <a:solidFill>
                <a:srgbClr val="214F6B"/>
              </a:solidFill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4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AAE0DC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0885-4D3E-8501-606D4B3604C6}"/>
              </c:ext>
            </c:extLst>
          </c:dPt>
          <c:dPt>
            <c:idx val="1"/>
            <c:invertIfNegative val="0"/>
            <c:bubble3D val="0"/>
            <c:spPr>
              <a:solidFill>
                <a:srgbClr val="5EA3CE"/>
              </a:solidFill>
            </c:spPr>
            <c:extLst>
              <c:ext xmlns:c16="http://schemas.microsoft.com/office/drawing/2014/chart" uri="{C3380CC4-5D6E-409C-BE32-E72D297353CC}">
                <c16:uniqueId val="{00000007-63A6-48BC-9CA4-15A2BEBC8D54}"/>
              </c:ext>
            </c:extLst>
          </c:dPt>
          <c:dPt>
            <c:idx val="2"/>
            <c:invertIfNegative val="0"/>
            <c:bubble3D val="0"/>
            <c:spPr>
              <a:solidFill>
                <a:srgbClr val="5EA3CE"/>
              </a:solidFill>
            </c:spPr>
            <c:extLst>
              <c:ext xmlns:c16="http://schemas.microsoft.com/office/drawing/2014/chart" uri="{C3380CC4-5D6E-409C-BE32-E72D297353CC}">
                <c16:uniqueId val="{00000006-63A6-48BC-9CA4-15A2BEBC8D54}"/>
              </c:ext>
            </c:extLst>
          </c:dPt>
          <c:dPt>
            <c:idx val="3"/>
            <c:invertIfNegative val="0"/>
            <c:bubble3D val="0"/>
            <c:spPr>
              <a:solidFill>
                <a:srgbClr val="5EA3CE"/>
              </a:solidFill>
            </c:spPr>
            <c:extLst>
              <c:ext xmlns:c16="http://schemas.microsoft.com/office/drawing/2014/chart" uri="{C3380CC4-5D6E-409C-BE32-E72D297353CC}">
                <c16:uniqueId val="{00000005-63A6-48BC-9CA4-15A2BEBC8D54}"/>
              </c:ext>
            </c:extLst>
          </c:dPt>
          <c:dPt>
            <c:idx val="4"/>
            <c:invertIfNegative val="0"/>
            <c:bubble3D val="0"/>
            <c:spPr>
              <a:solidFill>
                <a:srgbClr val="5EA3CE"/>
              </a:solidFill>
            </c:spPr>
            <c:extLst>
              <c:ext xmlns:c16="http://schemas.microsoft.com/office/drawing/2014/chart" uri="{C3380CC4-5D6E-409C-BE32-E72D297353CC}">
                <c16:uniqueId val="{00000004-63A6-48BC-9CA4-15A2BEBC8D54}"/>
              </c:ext>
            </c:extLst>
          </c:dPt>
          <c:dPt>
            <c:idx val="5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0885-4D3E-8501-606D4B3604C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>
                    <a:solidFill>
                      <a:srgbClr val="214F6B"/>
                    </a:solidFill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'2021Data'!$B$116:$B$121</c:f>
              <c:strCache>
                <c:ptCount val="6"/>
                <c:pt idx="0">
                  <c:v>ALAMANCE </c:v>
                </c:pt>
                <c:pt idx="1">
                  <c:v>ALAMANCE </c:v>
                </c:pt>
                <c:pt idx="2">
                  <c:v>ALAMANCE </c:v>
                </c:pt>
                <c:pt idx="3">
                  <c:v>ALAMANCE </c:v>
                </c:pt>
                <c:pt idx="4">
                  <c:v>ALAMANCE </c:v>
                </c:pt>
                <c:pt idx="5">
                  <c:v>Average Statewide</c:v>
                </c:pt>
              </c:strCache>
            </c:strRef>
          </c:cat>
          <c:val>
            <c:numRef>
              <c:f>'2021Data'!$Y$116:$Y$121</c:f>
              <c:numCache>
                <c:formatCode>0.00%</c:formatCode>
                <c:ptCount val="6"/>
                <c:pt idx="0">
                  <c:v>0.10241612862408557</c:v>
                </c:pt>
                <c:pt idx="1">
                  <c:v>0.10241612862408557</c:v>
                </c:pt>
                <c:pt idx="2">
                  <c:v>0.10241612862408557</c:v>
                </c:pt>
                <c:pt idx="3">
                  <c:v>0.10241612862408557</c:v>
                </c:pt>
                <c:pt idx="4">
                  <c:v>0.10241612862408557</c:v>
                </c:pt>
                <c:pt idx="5">
                  <c:v>0.10056538281533596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885-4D3E-8501-606D4B3604C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-25"/>
        <c:axId val="227266560"/>
        <c:axId val="227268096"/>
      </c:barChart>
      <c:catAx>
        <c:axId val="2272665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50" b="1">
                <a:solidFill>
                  <a:srgbClr val="214F6B"/>
                </a:solidFill>
              </a:defRPr>
            </a:pPr>
            <a:endParaRPr lang="en-US"/>
          </a:p>
        </c:txPr>
        <c:crossAx val="227268096"/>
        <c:crosses val="autoZero"/>
        <c:auto val="1"/>
        <c:lblAlgn val="ctr"/>
        <c:lblOffset val="100"/>
        <c:noMultiLvlLbl val="0"/>
      </c:catAx>
      <c:valAx>
        <c:axId val="227268096"/>
        <c:scaling>
          <c:orientation val="minMax"/>
        </c:scaling>
        <c:delete val="1"/>
        <c:axPos val="l"/>
        <c:numFmt formatCode="0.00%" sourceLinked="1"/>
        <c:majorTickMark val="none"/>
        <c:minorTickMark val="none"/>
        <c:tickLblPos val="none"/>
        <c:crossAx val="227266560"/>
        <c:crosses val="autoZero"/>
        <c:crossBetween val="between"/>
      </c:valAx>
      <c:spPr>
        <a:solidFill>
          <a:sysClr val="window" lastClr="FFFFFF"/>
        </a:solidFill>
        <a:ln w="25400">
          <a:noFill/>
        </a:ln>
      </c:spPr>
    </c:plotArea>
    <c:plotVisOnly val="1"/>
    <c:dispBlanksAs val="gap"/>
    <c:showDLblsOverMax val="0"/>
  </c:chart>
  <c:spPr>
    <a:solidFill>
      <a:sysClr val="window" lastClr="FFFFFF"/>
    </a:solidFill>
  </c:spPr>
  <c:txPr>
    <a:bodyPr/>
    <a:lstStyle/>
    <a:p>
      <a:pPr>
        <a:defRPr>
          <a:latin typeface="Calibri" pitchFamily="34" charset="0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/>
          <a:lstStyle/>
          <a:p>
            <a:pPr>
              <a:defRPr sz="1600">
                <a:solidFill>
                  <a:srgbClr val="214F6B"/>
                </a:solidFill>
                <a:latin typeface="Calibri" pitchFamily="34" charset="0"/>
              </a:defRPr>
            </a:pPr>
            <a:r>
              <a:rPr lang="en-US" sz="1600">
                <a:solidFill>
                  <a:srgbClr val="214F6B"/>
                </a:solidFill>
                <a:latin typeface="Calibri" pitchFamily="34" charset="0"/>
              </a:rPr>
              <a:t>Total Full-Time Equivalent</a:t>
            </a:r>
            <a:r>
              <a:rPr lang="en-US" sz="1600" baseline="0">
                <a:solidFill>
                  <a:srgbClr val="214F6B"/>
                </a:solidFill>
                <a:latin typeface="Calibri" pitchFamily="34" charset="0"/>
              </a:rPr>
              <a:t> (FTE) Library Employees</a:t>
            </a:r>
            <a:r>
              <a:rPr lang="en-US" sz="1600">
                <a:solidFill>
                  <a:srgbClr val="214F6B"/>
                </a:solidFill>
                <a:latin typeface="Calibri" pitchFamily="34" charset="0"/>
              </a:rPr>
              <a:t> </a:t>
            </a:r>
            <a:br>
              <a:rPr lang="en-US" sz="1600">
                <a:solidFill>
                  <a:srgbClr val="214F6B"/>
                </a:solidFill>
                <a:latin typeface="Calibri" pitchFamily="34" charset="0"/>
              </a:rPr>
            </a:br>
            <a:r>
              <a:rPr lang="en-US" sz="1600" b="1" i="0" u="none" strike="noStrike" baseline="0">
                <a:solidFill>
                  <a:srgbClr val="214F6B"/>
                </a:solidFill>
              </a:rPr>
              <a:t>FY2021</a:t>
            </a:r>
            <a:endParaRPr lang="en-US" sz="1600">
              <a:solidFill>
                <a:srgbClr val="214F6B"/>
              </a:solidFill>
              <a:latin typeface="Calibri" pitchFamily="34" charset="0"/>
            </a:endParaRPr>
          </a:p>
        </c:rich>
      </c:tx>
      <c:layout>
        <c:manualLayout>
          <c:xMode val="edge"/>
          <c:yMode val="edge"/>
          <c:x val="0.15303554276738629"/>
          <c:y val="3.8499384665082535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4">
                <a:lumMod val="40000"/>
                <a:lumOff val="60000"/>
              </a:schemeClr>
            </a:solidFill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AAE0DC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4D1D-4C11-B635-AA913EA48B04}"/>
              </c:ext>
            </c:extLst>
          </c:dPt>
          <c:dPt>
            <c:idx val="1"/>
            <c:invertIfNegative val="0"/>
            <c:bubble3D val="0"/>
            <c:spPr>
              <a:solidFill>
                <a:srgbClr val="5EA3CE"/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4-B35F-4017-955B-3D1B8BE94170}"/>
              </c:ext>
            </c:extLst>
          </c:dPt>
          <c:dPt>
            <c:idx val="2"/>
            <c:invertIfNegative val="0"/>
            <c:bubble3D val="0"/>
            <c:spPr>
              <a:solidFill>
                <a:srgbClr val="5EA3CE"/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5-B35F-4017-955B-3D1B8BE94170}"/>
              </c:ext>
            </c:extLst>
          </c:dPt>
          <c:dPt>
            <c:idx val="3"/>
            <c:invertIfNegative val="0"/>
            <c:bubble3D val="0"/>
            <c:spPr>
              <a:solidFill>
                <a:srgbClr val="5EA3CE"/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6-B35F-4017-955B-3D1B8BE94170}"/>
              </c:ext>
            </c:extLst>
          </c:dPt>
          <c:dPt>
            <c:idx val="4"/>
            <c:invertIfNegative val="0"/>
            <c:bubble3D val="0"/>
            <c:spPr>
              <a:solidFill>
                <a:srgbClr val="5EA3CE"/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7-B35F-4017-955B-3D1B8BE94170}"/>
              </c:ext>
            </c:extLst>
          </c:dPt>
          <c:dPt>
            <c:idx val="5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1-4D1D-4C11-B635-AA913EA48B0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rgbClr val="214F6B"/>
                    </a:solidFill>
                    <a:latin typeface="Calibri" panose="020F0502020204030204" pitchFamily="34" charset="0"/>
                    <a:cs typeface="Calibri" panose="020F0502020204030204" pitchFamily="34" charset="0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'2021Data'!$B$116:$B$121</c:f>
              <c:strCache>
                <c:ptCount val="6"/>
                <c:pt idx="0">
                  <c:v>ALAMANCE </c:v>
                </c:pt>
                <c:pt idx="1">
                  <c:v>ALAMANCE </c:v>
                </c:pt>
                <c:pt idx="2">
                  <c:v>ALAMANCE </c:v>
                </c:pt>
                <c:pt idx="3">
                  <c:v>ALAMANCE </c:v>
                </c:pt>
                <c:pt idx="4">
                  <c:v>ALAMANCE </c:v>
                </c:pt>
                <c:pt idx="5">
                  <c:v>Average Statewide</c:v>
                </c:pt>
              </c:strCache>
            </c:strRef>
          </c:cat>
          <c:val>
            <c:numRef>
              <c:f>'2021Data'!$CS$116:$CS$121</c:f>
              <c:numCache>
                <c:formatCode>_(* #,##0.00_);_(* \(#,##0.00\);_(* "-"??_);_(@_)</c:formatCode>
                <c:ptCount val="6"/>
                <c:pt idx="0">
                  <c:v>65</c:v>
                </c:pt>
                <c:pt idx="1">
                  <c:v>65</c:v>
                </c:pt>
                <c:pt idx="2">
                  <c:v>65</c:v>
                </c:pt>
                <c:pt idx="3">
                  <c:v>65</c:v>
                </c:pt>
                <c:pt idx="4">
                  <c:v>65</c:v>
                </c:pt>
                <c:pt idx="5">
                  <c:v>37.284880952380959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D1D-4C11-B635-AA913EA48B0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-25"/>
        <c:axId val="222123904"/>
        <c:axId val="222125440"/>
      </c:barChart>
      <c:catAx>
        <c:axId val="2221239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1">
                <a:solidFill>
                  <a:srgbClr val="214F6B"/>
                </a:solidFill>
                <a:latin typeface="Calibri" pitchFamily="34" charset="0"/>
              </a:defRPr>
            </a:pPr>
            <a:endParaRPr lang="en-US"/>
          </a:p>
        </c:txPr>
        <c:crossAx val="222125440"/>
        <c:crosses val="autoZero"/>
        <c:auto val="1"/>
        <c:lblAlgn val="ctr"/>
        <c:lblOffset val="100"/>
        <c:noMultiLvlLbl val="0"/>
      </c:catAx>
      <c:valAx>
        <c:axId val="222125440"/>
        <c:scaling>
          <c:orientation val="minMax"/>
        </c:scaling>
        <c:delete val="1"/>
        <c:axPos val="l"/>
        <c:numFmt formatCode="_(* #,##0.00_);_(* \(#,##0.00\);_(* &quot;-&quot;??_);_(@_)" sourceLinked="1"/>
        <c:majorTickMark val="none"/>
        <c:minorTickMark val="none"/>
        <c:tickLblPos val="none"/>
        <c:crossAx val="22212390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ysClr val="window" lastClr="FFFFFF"/>
    </a:solidFill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214F6B"/>
                </a:solidFill>
                <a:latin typeface="Calibri"/>
                <a:ea typeface="Calibri"/>
                <a:cs typeface="Calibri"/>
              </a:defRPr>
            </a:pPr>
            <a:r>
              <a:rPr lang="en-US" sz="1400">
                <a:solidFill>
                  <a:srgbClr val="214F6B"/>
                </a:solidFill>
              </a:rPr>
              <a:t>Collection Total</a:t>
            </a:r>
            <a:r>
              <a:rPr lang="en-US" sz="1400" baseline="0">
                <a:solidFill>
                  <a:srgbClr val="214F6B"/>
                </a:solidFill>
              </a:rPr>
              <a:t> </a:t>
            </a:r>
            <a:r>
              <a:rPr lang="en-US" sz="1400">
                <a:solidFill>
                  <a:srgbClr val="214F6B"/>
                </a:solidFill>
              </a:rPr>
              <a:t>Items Per Capita FY2021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5EA3CE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B62F-421B-B75E-452218934F8C}"/>
              </c:ext>
            </c:extLst>
          </c:dPt>
          <c:dPt>
            <c:idx val="1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2-6EEC-4014-8442-54B9BEF2BC53}"/>
              </c:ext>
            </c:extLst>
          </c:dPt>
          <c:dPt>
            <c:idx val="2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3-6EEC-4014-8442-54B9BEF2BC5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0" i="0" u="none" strike="noStrike" baseline="0">
                    <a:solidFill>
                      <a:srgbClr val="214F6B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'2021Data'!$B$105:$B$107</c:f>
              <c:strCache>
                <c:ptCount val="3"/>
                <c:pt idx="0">
                  <c:v>ALAMANCE</c:v>
                </c:pt>
                <c:pt idx="1">
                  <c:v>Average 100,000-249,999 population</c:v>
                </c:pt>
                <c:pt idx="2">
                  <c:v>Average Statewide</c:v>
                </c:pt>
              </c:strCache>
            </c:strRef>
          </c:cat>
          <c:val>
            <c:numRef>
              <c:f>'2021Data'!$BL$105:$BL$107</c:f>
              <c:numCache>
                <c:formatCode>0.00</c:formatCode>
                <c:ptCount val="3"/>
                <c:pt idx="0">
                  <c:v>2.300532736958854</c:v>
                </c:pt>
                <c:pt idx="1">
                  <c:v>3.336631011239362</c:v>
                </c:pt>
                <c:pt idx="2">
                  <c:v>7.1829446509588957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62F-421B-B75E-452218934F8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-25"/>
        <c:axId val="215756800"/>
        <c:axId val="215758336"/>
      </c:barChart>
      <c:catAx>
        <c:axId val="2157568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1" i="0" u="none" strike="noStrike" baseline="0">
                <a:solidFill>
                  <a:srgbClr val="214F6B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15758336"/>
        <c:crosses val="autoZero"/>
        <c:auto val="1"/>
        <c:lblAlgn val="ctr"/>
        <c:lblOffset val="100"/>
        <c:noMultiLvlLbl val="0"/>
      </c:catAx>
      <c:valAx>
        <c:axId val="215758336"/>
        <c:scaling>
          <c:orientation val="minMax"/>
        </c:scaling>
        <c:delete val="1"/>
        <c:axPos val="l"/>
        <c:numFmt formatCode="0.00" sourceLinked="1"/>
        <c:majorTickMark val="none"/>
        <c:minorTickMark val="none"/>
        <c:tickLblPos val="none"/>
        <c:crossAx val="2157568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ysClr val="window" lastClr="FFFFFF"/>
    </a:solidFill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/>
          <a:lstStyle/>
          <a:p>
            <a:pPr>
              <a:defRPr sz="1600">
                <a:solidFill>
                  <a:srgbClr val="214F6B"/>
                </a:solidFill>
              </a:defRPr>
            </a:pPr>
            <a:r>
              <a:rPr lang="en-US" sz="1600">
                <a:solidFill>
                  <a:srgbClr val="214F6B"/>
                </a:solidFill>
              </a:rPr>
              <a:t>Library Square Footage Per Capita </a:t>
            </a:r>
            <a:r>
              <a:rPr lang="en-US" sz="1600" b="1" i="0" u="none" strike="noStrike" baseline="0">
                <a:solidFill>
                  <a:srgbClr val="214F6B"/>
                </a:solidFill>
              </a:rPr>
              <a:t>FY2021</a:t>
            </a:r>
            <a:endParaRPr lang="en-US" sz="1600">
              <a:solidFill>
                <a:srgbClr val="214F6B"/>
              </a:solidFill>
            </a:endParaRPr>
          </a:p>
        </c:rich>
      </c:tx>
      <c:layout>
        <c:manualLayout>
          <c:xMode val="edge"/>
          <c:yMode val="edge"/>
          <c:x val="0.24289352811014542"/>
          <c:y val="2.817741216422006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bg1">
                <a:lumMod val="65000"/>
              </a:schemeClr>
            </a:solidFill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AAE0DC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A577-4961-80D7-B204A8C2F82D}"/>
              </c:ext>
            </c:extLst>
          </c:dPt>
          <c:dPt>
            <c:idx val="1"/>
            <c:invertIfNegative val="0"/>
            <c:bubble3D val="0"/>
            <c:spPr>
              <a:solidFill>
                <a:srgbClr val="5EA3CE"/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4-C27D-467D-A9AD-380F46BA3658}"/>
              </c:ext>
            </c:extLst>
          </c:dPt>
          <c:dPt>
            <c:idx val="2"/>
            <c:invertIfNegative val="0"/>
            <c:bubble3D val="0"/>
            <c:spPr>
              <a:solidFill>
                <a:srgbClr val="5EA3CE"/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5-C27D-467D-A9AD-380F46BA3658}"/>
              </c:ext>
            </c:extLst>
          </c:dPt>
          <c:dPt>
            <c:idx val="3"/>
            <c:invertIfNegative val="0"/>
            <c:bubble3D val="0"/>
            <c:spPr>
              <a:solidFill>
                <a:srgbClr val="5EA3CE"/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6-C27D-467D-A9AD-380F46BA3658}"/>
              </c:ext>
            </c:extLst>
          </c:dPt>
          <c:dPt>
            <c:idx val="4"/>
            <c:invertIfNegative val="0"/>
            <c:bubble3D val="0"/>
            <c:spPr>
              <a:solidFill>
                <a:srgbClr val="5EA3CE"/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7-C27D-467D-A9AD-380F46BA3658}"/>
              </c:ext>
            </c:extLst>
          </c:dPt>
          <c:dPt>
            <c:idx val="5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1-A577-4961-80D7-B204A8C2F82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rgbClr val="214F6B"/>
                    </a:solidFill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'2021Data'!$B$116:$B$121</c:f>
              <c:strCache>
                <c:ptCount val="6"/>
                <c:pt idx="0">
                  <c:v>ALAMANCE </c:v>
                </c:pt>
                <c:pt idx="1">
                  <c:v>ALAMANCE </c:v>
                </c:pt>
                <c:pt idx="2">
                  <c:v>ALAMANCE </c:v>
                </c:pt>
                <c:pt idx="3">
                  <c:v>ALAMANCE </c:v>
                </c:pt>
                <c:pt idx="4">
                  <c:v>ALAMANCE </c:v>
                </c:pt>
                <c:pt idx="5">
                  <c:v>Average Statewide</c:v>
                </c:pt>
              </c:strCache>
            </c:strRef>
          </c:cat>
          <c:val>
            <c:numRef>
              <c:f>'2021Data'!$I$116:$I$121</c:f>
              <c:numCache>
                <c:formatCode>0.00</c:formatCode>
                <c:ptCount val="6"/>
                <c:pt idx="0">
                  <c:v>0.34588999999999998</c:v>
                </c:pt>
                <c:pt idx="1">
                  <c:v>0.34588999999999998</c:v>
                </c:pt>
                <c:pt idx="2">
                  <c:v>0.34588999999999998</c:v>
                </c:pt>
                <c:pt idx="3">
                  <c:v>0.34588999999999998</c:v>
                </c:pt>
                <c:pt idx="4">
                  <c:v>0.34588999999999998</c:v>
                </c:pt>
                <c:pt idx="5">
                  <c:v>0.55860402439024393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577-4961-80D7-B204A8C2F82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-25"/>
        <c:axId val="227278848"/>
        <c:axId val="227280384"/>
      </c:barChart>
      <c:catAx>
        <c:axId val="227278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900" b="1">
                <a:solidFill>
                  <a:srgbClr val="214F6B"/>
                </a:solidFill>
              </a:defRPr>
            </a:pPr>
            <a:endParaRPr lang="en-US"/>
          </a:p>
        </c:txPr>
        <c:crossAx val="227280384"/>
        <c:crosses val="autoZero"/>
        <c:auto val="1"/>
        <c:lblAlgn val="ctr"/>
        <c:lblOffset val="100"/>
        <c:noMultiLvlLbl val="0"/>
      </c:catAx>
      <c:valAx>
        <c:axId val="227280384"/>
        <c:scaling>
          <c:orientation val="minMax"/>
        </c:scaling>
        <c:delete val="1"/>
        <c:axPos val="l"/>
        <c:numFmt formatCode="0.00" sourceLinked="1"/>
        <c:majorTickMark val="none"/>
        <c:minorTickMark val="none"/>
        <c:tickLblPos val="none"/>
        <c:crossAx val="22727884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ysClr val="window" lastClr="FFFFFF"/>
    </a:solidFill>
  </c:spPr>
  <c:txPr>
    <a:bodyPr/>
    <a:lstStyle/>
    <a:p>
      <a:pPr>
        <a:defRPr>
          <a:latin typeface="Calibri" pitchFamily="34" charset="0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/>
          <a:lstStyle/>
          <a:p>
            <a:pPr>
              <a:defRPr sz="1600" b="0" i="0" u="none" strike="noStrike" baseline="0">
                <a:solidFill>
                  <a:srgbClr val="214F6B"/>
                </a:solidFill>
                <a:latin typeface="Calibri"/>
                <a:ea typeface="Calibri"/>
                <a:cs typeface="Calibri"/>
              </a:defRPr>
            </a:pPr>
            <a:r>
              <a:rPr lang="en-US" sz="1600" b="1" i="0" u="none" strike="noStrike" baseline="0">
                <a:solidFill>
                  <a:srgbClr val="214F6B"/>
                </a:solidFill>
                <a:latin typeface="Calibri"/>
              </a:rPr>
              <a:t>Salaries/Wages Expenditures as Percentage of </a:t>
            </a:r>
            <a:br>
              <a:rPr lang="en-US" sz="1600" b="1" i="0" u="none" strike="noStrike" baseline="0">
                <a:solidFill>
                  <a:srgbClr val="214F6B"/>
                </a:solidFill>
                <a:latin typeface="Calibri"/>
              </a:rPr>
            </a:br>
            <a:r>
              <a:rPr lang="en-US" sz="1600" b="1" i="0" u="none" strike="noStrike" baseline="0">
                <a:solidFill>
                  <a:srgbClr val="214F6B"/>
                </a:solidFill>
                <a:latin typeface="Calibri"/>
              </a:rPr>
              <a:t>Total Operating Expenditures </a:t>
            </a:r>
            <a:r>
              <a:rPr lang="en-US" sz="1600" b="1" i="0" u="none" strike="noStrike" baseline="0">
                <a:solidFill>
                  <a:srgbClr val="214F6B"/>
                </a:solidFill>
              </a:rPr>
              <a:t>FY2021</a:t>
            </a:r>
            <a:endParaRPr lang="en-US" sz="1600" b="1" i="0" u="none" strike="noStrike" baseline="0">
              <a:solidFill>
                <a:srgbClr val="214F6B"/>
              </a:solidFill>
              <a:latin typeface="Calibri"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AAE0DC"/>
            </a:solidFill>
            <a:ln>
              <a:noFill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AAE0DC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40B-4953-A9AC-5F1797DF40CE}"/>
              </c:ext>
            </c:extLst>
          </c:dPt>
          <c:dPt>
            <c:idx val="1"/>
            <c:invertIfNegative val="0"/>
            <c:bubble3D val="0"/>
            <c:spPr>
              <a:solidFill>
                <a:srgbClr val="5EA3CE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4-0505-49A9-B76C-E18F5E0AFDC5}"/>
              </c:ext>
            </c:extLst>
          </c:dPt>
          <c:dPt>
            <c:idx val="2"/>
            <c:invertIfNegative val="0"/>
            <c:bubble3D val="0"/>
            <c:spPr>
              <a:solidFill>
                <a:srgbClr val="5EA3CE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5-0505-49A9-B76C-E18F5E0AFDC5}"/>
              </c:ext>
            </c:extLst>
          </c:dPt>
          <c:dPt>
            <c:idx val="3"/>
            <c:invertIfNegative val="0"/>
            <c:bubble3D val="0"/>
            <c:spPr>
              <a:solidFill>
                <a:srgbClr val="5EA3CE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6-0505-49A9-B76C-E18F5E0AFDC5}"/>
              </c:ext>
            </c:extLst>
          </c:dPt>
          <c:dPt>
            <c:idx val="4"/>
            <c:invertIfNegative val="0"/>
            <c:bubble3D val="0"/>
            <c:spPr>
              <a:solidFill>
                <a:srgbClr val="5EA3CE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7-0505-49A9-B76C-E18F5E0AFDC5}"/>
              </c:ext>
            </c:extLst>
          </c:dPt>
          <c:dPt>
            <c:idx val="5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3-040B-4953-A9AC-5F1797DF40C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0" i="0" u="none" strike="noStrike" baseline="0">
                    <a:solidFill>
                      <a:srgbClr val="214F6B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'2021Data'!$B$116:$B$121</c:f>
              <c:strCache>
                <c:ptCount val="6"/>
                <c:pt idx="0">
                  <c:v>ALAMANCE </c:v>
                </c:pt>
                <c:pt idx="1">
                  <c:v>ALAMANCE </c:v>
                </c:pt>
                <c:pt idx="2">
                  <c:v>ALAMANCE </c:v>
                </c:pt>
                <c:pt idx="3">
                  <c:v>ALAMANCE </c:v>
                </c:pt>
                <c:pt idx="4">
                  <c:v>ALAMANCE </c:v>
                </c:pt>
                <c:pt idx="5">
                  <c:v>Average Statewide</c:v>
                </c:pt>
              </c:strCache>
            </c:strRef>
          </c:cat>
          <c:val>
            <c:numRef>
              <c:f>'2021Data'!$X$116:$X$121</c:f>
              <c:numCache>
                <c:formatCode>0.00%</c:formatCode>
                <c:ptCount val="6"/>
                <c:pt idx="0">
                  <c:v>0.74512424893462448</c:v>
                </c:pt>
                <c:pt idx="1">
                  <c:v>0.74512424893462448</c:v>
                </c:pt>
                <c:pt idx="2">
                  <c:v>0.74512424893462448</c:v>
                </c:pt>
                <c:pt idx="3">
                  <c:v>0.74512424893462448</c:v>
                </c:pt>
                <c:pt idx="4">
                  <c:v>0.74512424893462448</c:v>
                </c:pt>
                <c:pt idx="5">
                  <c:v>0.73322486346667848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40B-4953-A9AC-5F1797DF40C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-25"/>
        <c:axId val="227144064"/>
        <c:axId val="227145600"/>
      </c:barChart>
      <c:catAx>
        <c:axId val="2271440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1" i="0" u="none" strike="noStrike" baseline="0">
                <a:solidFill>
                  <a:srgbClr val="214F6B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27145600"/>
        <c:crosses val="autoZero"/>
        <c:auto val="1"/>
        <c:lblAlgn val="ctr"/>
        <c:lblOffset val="100"/>
        <c:noMultiLvlLbl val="0"/>
      </c:catAx>
      <c:valAx>
        <c:axId val="227145600"/>
        <c:scaling>
          <c:orientation val="minMax"/>
        </c:scaling>
        <c:delete val="1"/>
        <c:axPos val="l"/>
        <c:numFmt formatCode="0.00%" sourceLinked="1"/>
        <c:majorTickMark val="none"/>
        <c:minorTickMark val="none"/>
        <c:tickLblPos val="none"/>
        <c:crossAx val="22714406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ysClr val="window" lastClr="FFFFFF"/>
    </a:solidFill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/>
          <a:lstStyle/>
          <a:p>
            <a:pPr>
              <a:defRPr sz="1600">
                <a:solidFill>
                  <a:srgbClr val="214F6B"/>
                </a:solidFill>
              </a:defRPr>
            </a:pPr>
            <a:r>
              <a:rPr lang="en-US" sz="1600">
                <a:solidFill>
                  <a:srgbClr val="214F6B"/>
                </a:solidFill>
              </a:rPr>
              <a:t>Annual</a:t>
            </a:r>
            <a:r>
              <a:rPr lang="en-US" sz="1600" baseline="0">
                <a:solidFill>
                  <a:srgbClr val="214F6B"/>
                </a:solidFill>
              </a:rPr>
              <a:t> Volunteer Hours FY2021</a:t>
            </a:r>
            <a:endParaRPr lang="en-US" sz="1600">
              <a:solidFill>
                <a:srgbClr val="214F6B"/>
              </a:solidFill>
            </a:endParaRPr>
          </a:p>
        </c:rich>
      </c:tx>
      <c:layout>
        <c:manualLayout>
          <c:xMode val="edge"/>
          <c:yMode val="edge"/>
          <c:x val="0.30563411388665895"/>
          <c:y val="3.2892933642445908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bg1">
                <a:lumMod val="65000"/>
              </a:schemeClr>
            </a:solidFill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AAE0DC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181E-4378-8CED-B7B82FF8C936}"/>
              </c:ext>
            </c:extLst>
          </c:dPt>
          <c:dPt>
            <c:idx val="1"/>
            <c:invertIfNegative val="0"/>
            <c:bubble3D val="0"/>
            <c:spPr>
              <a:solidFill>
                <a:srgbClr val="5EA3CE"/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8-6BD3-482F-84DD-16BACBE9E5A9}"/>
              </c:ext>
            </c:extLst>
          </c:dPt>
          <c:dPt>
            <c:idx val="2"/>
            <c:invertIfNegative val="0"/>
            <c:bubble3D val="0"/>
            <c:spPr>
              <a:solidFill>
                <a:srgbClr val="5EA3CE"/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5-4098-4E1D-B8E0-022BB9B5436A}"/>
              </c:ext>
            </c:extLst>
          </c:dPt>
          <c:dPt>
            <c:idx val="3"/>
            <c:invertIfNegative val="0"/>
            <c:bubble3D val="0"/>
            <c:spPr>
              <a:solidFill>
                <a:srgbClr val="5EA3CE"/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9-6BD3-482F-84DD-16BACBE9E5A9}"/>
              </c:ext>
            </c:extLst>
          </c:dPt>
          <c:dPt>
            <c:idx val="4"/>
            <c:invertIfNegative val="0"/>
            <c:bubble3D val="0"/>
            <c:spPr>
              <a:solidFill>
                <a:srgbClr val="5EA3CE"/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4-4098-4E1D-B8E0-022BB9B5436A}"/>
              </c:ext>
            </c:extLst>
          </c:dPt>
          <c:dPt>
            <c:idx val="5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3-181E-4378-8CED-B7B82FF8C93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rgbClr val="214F6B"/>
                    </a:solidFill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'2021Data'!$B$116:$B$121</c:f>
              <c:strCache>
                <c:ptCount val="6"/>
                <c:pt idx="0">
                  <c:v>ALAMANCE </c:v>
                </c:pt>
                <c:pt idx="1">
                  <c:v>ALAMANCE </c:v>
                </c:pt>
                <c:pt idx="2">
                  <c:v>ALAMANCE </c:v>
                </c:pt>
                <c:pt idx="3">
                  <c:v>ALAMANCE </c:v>
                </c:pt>
                <c:pt idx="4">
                  <c:v>ALAMANCE </c:v>
                </c:pt>
                <c:pt idx="5">
                  <c:v>Average Statewide</c:v>
                </c:pt>
              </c:strCache>
            </c:strRef>
          </c:cat>
          <c:val>
            <c:numRef>
              <c:f>'2021Data'!$CU$116:$CU$121</c:f>
              <c:numCache>
                <c:formatCode>_(* #,##0_);_(* \(#,##0\);_(* "-"??_);_(@_)</c:formatCode>
                <c:ptCount val="6"/>
                <c:pt idx="0">
                  <c:v>375</c:v>
                </c:pt>
                <c:pt idx="1">
                  <c:v>375</c:v>
                </c:pt>
                <c:pt idx="2">
                  <c:v>375</c:v>
                </c:pt>
                <c:pt idx="3">
                  <c:v>375</c:v>
                </c:pt>
                <c:pt idx="4">
                  <c:v>375</c:v>
                </c:pt>
                <c:pt idx="5">
                  <c:v>539.66666666666663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81E-4378-8CED-B7B82FF8C93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-25"/>
        <c:axId val="227278848"/>
        <c:axId val="227280384"/>
      </c:barChart>
      <c:catAx>
        <c:axId val="227278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1">
                <a:solidFill>
                  <a:srgbClr val="214F6B"/>
                </a:solidFill>
              </a:defRPr>
            </a:pPr>
            <a:endParaRPr lang="en-US"/>
          </a:p>
        </c:txPr>
        <c:crossAx val="227280384"/>
        <c:crosses val="autoZero"/>
        <c:auto val="1"/>
        <c:lblAlgn val="ctr"/>
        <c:lblOffset val="100"/>
        <c:noMultiLvlLbl val="0"/>
      </c:catAx>
      <c:valAx>
        <c:axId val="227280384"/>
        <c:scaling>
          <c:orientation val="minMax"/>
        </c:scaling>
        <c:delete val="1"/>
        <c:axPos val="l"/>
        <c:numFmt formatCode="_(* #,##0_);_(* \(#,##0\);_(* &quot;-&quot;??_);_(@_)" sourceLinked="1"/>
        <c:majorTickMark val="none"/>
        <c:minorTickMark val="none"/>
        <c:tickLblPos val="none"/>
        <c:crossAx val="22727884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ysClr val="window" lastClr="FFFFFF"/>
    </a:solidFill>
  </c:spPr>
  <c:txPr>
    <a:bodyPr/>
    <a:lstStyle/>
    <a:p>
      <a:pPr>
        <a:defRPr>
          <a:latin typeface="Calibri" pitchFamily="34" charset="0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/>
          <a:lstStyle/>
          <a:p>
            <a:pPr>
              <a:defRPr sz="1400">
                <a:solidFill>
                  <a:srgbClr val="214F6B"/>
                </a:solidFill>
              </a:defRPr>
            </a:pPr>
            <a:r>
              <a:rPr lang="en-US" sz="1600" b="1" i="0" baseline="0">
                <a:solidFill>
                  <a:srgbClr val="214F6B"/>
                </a:solidFill>
                <a:effectLst/>
              </a:rPr>
              <a:t>Physical Material Expenditure per Circulation FY2021</a:t>
            </a:r>
            <a:endParaRPr lang="en-US" sz="1200">
              <a:solidFill>
                <a:srgbClr val="214F6B"/>
              </a:solidFill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20000"/>
                <a:lumOff val="80000"/>
              </a:schemeClr>
            </a:solidFill>
            <a:ln>
              <a:noFill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AAE0DC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AFB-4F87-8BFF-8CA331FDA23E}"/>
              </c:ext>
            </c:extLst>
          </c:dPt>
          <c:dPt>
            <c:idx val="1"/>
            <c:invertIfNegative val="0"/>
            <c:bubble3D val="0"/>
            <c:spPr>
              <a:solidFill>
                <a:srgbClr val="5EA3CE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5-BAFB-4F87-8BFF-8CA331FDA23E}"/>
              </c:ext>
            </c:extLst>
          </c:dPt>
          <c:dPt>
            <c:idx val="2"/>
            <c:invertIfNegative val="0"/>
            <c:bubble3D val="0"/>
            <c:spPr>
              <a:solidFill>
                <a:srgbClr val="5EA3CE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1-BAFB-4F87-8BFF-8CA331FDA23E}"/>
              </c:ext>
            </c:extLst>
          </c:dPt>
          <c:dPt>
            <c:idx val="3"/>
            <c:invertIfNegative val="0"/>
            <c:bubble3D val="0"/>
            <c:spPr>
              <a:solidFill>
                <a:srgbClr val="5EA3CE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C-BAFB-4F87-8BFF-8CA331FDA23E}"/>
              </c:ext>
            </c:extLst>
          </c:dPt>
          <c:dPt>
            <c:idx val="4"/>
            <c:invertIfNegative val="0"/>
            <c:bubble3D val="0"/>
            <c:spPr>
              <a:solidFill>
                <a:srgbClr val="5EA3CE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9-BAFB-4F87-8BFF-8CA331FDA23E}"/>
              </c:ext>
            </c:extLst>
          </c:dPt>
          <c:dPt>
            <c:idx val="5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A-9D45-487A-9B5C-CFD540B0CDE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rgbClr val="214F6B"/>
                    </a:solidFill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'2021Data'!$B$116:$B$121</c:f>
              <c:strCache>
                <c:ptCount val="6"/>
                <c:pt idx="0">
                  <c:v>ALAMANCE </c:v>
                </c:pt>
                <c:pt idx="1">
                  <c:v>ALAMANCE </c:v>
                </c:pt>
                <c:pt idx="2">
                  <c:v>ALAMANCE </c:v>
                </c:pt>
                <c:pt idx="3">
                  <c:v>ALAMANCE </c:v>
                </c:pt>
                <c:pt idx="4">
                  <c:v>ALAMANCE </c:v>
                </c:pt>
                <c:pt idx="5">
                  <c:v>Average Statewide</c:v>
                </c:pt>
              </c:strCache>
            </c:strRef>
          </c:cat>
          <c:val>
            <c:numRef>
              <c:f>'2021Data'!$EA$116:$EA$121</c:f>
              <c:numCache>
                <c:formatCode>"$"#,##0.00</c:formatCode>
                <c:ptCount val="6"/>
                <c:pt idx="0">
                  <c:v>0.4683021675276906</c:v>
                </c:pt>
                <c:pt idx="1">
                  <c:v>0.4683021675276906</c:v>
                </c:pt>
                <c:pt idx="2">
                  <c:v>0.4683021675276906</c:v>
                </c:pt>
                <c:pt idx="3">
                  <c:v>0.4683021675276906</c:v>
                </c:pt>
                <c:pt idx="4">
                  <c:v>0.4683021675276906</c:v>
                </c:pt>
                <c:pt idx="5">
                  <c:v>0.63319132090839281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AFB-4F87-8BFF-8CA331FDA23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-25"/>
        <c:axId val="227231616"/>
        <c:axId val="227233152"/>
      </c:barChart>
      <c:catAx>
        <c:axId val="2272316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1">
                <a:solidFill>
                  <a:srgbClr val="214F6B"/>
                </a:solidFill>
              </a:defRPr>
            </a:pPr>
            <a:endParaRPr lang="en-US"/>
          </a:p>
        </c:txPr>
        <c:crossAx val="227233152"/>
        <c:crosses val="autoZero"/>
        <c:auto val="1"/>
        <c:lblAlgn val="ctr"/>
        <c:lblOffset val="100"/>
        <c:noMultiLvlLbl val="0"/>
      </c:catAx>
      <c:valAx>
        <c:axId val="227233152"/>
        <c:scaling>
          <c:orientation val="minMax"/>
        </c:scaling>
        <c:delete val="1"/>
        <c:axPos val="l"/>
        <c:numFmt formatCode="&quot;$&quot;#,##0.00" sourceLinked="1"/>
        <c:majorTickMark val="none"/>
        <c:minorTickMark val="none"/>
        <c:tickLblPos val="none"/>
        <c:crossAx val="227231616"/>
        <c:crosses val="autoZero"/>
        <c:crossBetween val="between"/>
        <c:majorUnit val="0.0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ysClr val="window" lastClr="FFFFFF"/>
    </a:solidFill>
  </c:spPr>
  <c:txPr>
    <a:bodyPr/>
    <a:lstStyle/>
    <a:p>
      <a:pPr>
        <a:defRPr>
          <a:latin typeface="Calibri" pitchFamily="34" charset="0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/>
          <a:lstStyle/>
          <a:p>
            <a:pPr>
              <a:defRPr sz="1400">
                <a:solidFill>
                  <a:srgbClr val="214F6B"/>
                </a:solidFill>
              </a:defRPr>
            </a:pPr>
            <a:r>
              <a:rPr lang="en-US" sz="1600" b="1" i="0" baseline="0">
                <a:solidFill>
                  <a:srgbClr val="214F6B"/>
                </a:solidFill>
                <a:effectLst/>
              </a:rPr>
              <a:t>Digital Material Expenditure per Circulation FY2021</a:t>
            </a:r>
            <a:endParaRPr lang="en-US" sz="1200">
              <a:solidFill>
                <a:srgbClr val="214F6B"/>
              </a:solidFill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AAE0DC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949-43B6-A592-CBAB672F807F}"/>
              </c:ext>
            </c:extLst>
          </c:dPt>
          <c:dPt>
            <c:idx val="1"/>
            <c:invertIfNegative val="0"/>
            <c:bubble3D val="0"/>
            <c:spPr>
              <a:solidFill>
                <a:srgbClr val="5EA3CE"/>
              </a:solidFill>
            </c:spPr>
            <c:extLst>
              <c:ext xmlns:c16="http://schemas.microsoft.com/office/drawing/2014/chart" uri="{C3380CC4-5D6E-409C-BE32-E72D297353CC}">
                <c16:uniqueId val="{00000006-D949-43B6-A592-CBAB672F807F}"/>
              </c:ext>
            </c:extLst>
          </c:dPt>
          <c:dPt>
            <c:idx val="2"/>
            <c:invertIfNegative val="0"/>
            <c:bubble3D val="0"/>
            <c:spPr>
              <a:solidFill>
                <a:srgbClr val="5EA3CE"/>
              </a:solidFill>
            </c:spPr>
            <c:extLst>
              <c:ext xmlns:c16="http://schemas.microsoft.com/office/drawing/2014/chart" uri="{C3380CC4-5D6E-409C-BE32-E72D297353CC}">
                <c16:uniqueId val="{0000000B-D949-43B6-A592-CBAB672F807F}"/>
              </c:ext>
            </c:extLst>
          </c:dPt>
          <c:dPt>
            <c:idx val="3"/>
            <c:invertIfNegative val="0"/>
            <c:bubble3D val="0"/>
            <c:spPr>
              <a:solidFill>
                <a:srgbClr val="5EA3CE"/>
              </a:solidFill>
            </c:spPr>
            <c:extLst>
              <c:ext xmlns:c16="http://schemas.microsoft.com/office/drawing/2014/chart" uri="{C3380CC4-5D6E-409C-BE32-E72D297353CC}">
                <c16:uniqueId val="{0000000F-D949-43B6-A592-CBAB672F807F}"/>
              </c:ext>
            </c:extLst>
          </c:dPt>
          <c:dPt>
            <c:idx val="4"/>
            <c:invertIfNegative val="0"/>
            <c:bubble3D val="0"/>
            <c:spPr>
              <a:solidFill>
                <a:srgbClr val="5EA3CE"/>
              </a:solidFill>
              <a:ln>
                <a:solidFill>
                  <a:schemeClr val="accent5">
                    <a:lumMod val="7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13-D949-43B6-A592-CBAB672F807F}"/>
              </c:ext>
            </c:extLst>
          </c:dPt>
          <c:dPt>
            <c:idx val="5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7-D949-43B6-A592-CBAB672F807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rgbClr val="214F6B"/>
                    </a:solidFill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'2021Data'!$B$116:$B$121</c:f>
              <c:strCache>
                <c:ptCount val="6"/>
                <c:pt idx="0">
                  <c:v>ALAMANCE </c:v>
                </c:pt>
                <c:pt idx="1">
                  <c:v>ALAMANCE </c:v>
                </c:pt>
                <c:pt idx="2">
                  <c:v>ALAMANCE </c:v>
                </c:pt>
                <c:pt idx="3">
                  <c:v>ALAMANCE </c:v>
                </c:pt>
                <c:pt idx="4">
                  <c:v>ALAMANCE </c:v>
                </c:pt>
                <c:pt idx="5">
                  <c:v>Average Statewide</c:v>
                </c:pt>
              </c:strCache>
            </c:strRef>
          </c:cat>
          <c:val>
            <c:numRef>
              <c:f>'2021Data'!$EB$116:$EB$121</c:f>
              <c:numCache>
                <c:formatCode>"$"#,##0.00</c:formatCode>
                <c:ptCount val="6"/>
                <c:pt idx="0">
                  <c:v>0.69596418104348234</c:v>
                </c:pt>
                <c:pt idx="1">
                  <c:v>0.69596418104348234</c:v>
                </c:pt>
                <c:pt idx="2">
                  <c:v>0.69596418104348234</c:v>
                </c:pt>
                <c:pt idx="3">
                  <c:v>0.69596418104348234</c:v>
                </c:pt>
                <c:pt idx="4">
                  <c:v>0.69596418104348234</c:v>
                </c:pt>
                <c:pt idx="5">
                  <c:v>0.5194011075956626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949-43B6-A592-CBAB672F807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-25"/>
        <c:axId val="227231616"/>
        <c:axId val="227233152"/>
      </c:barChart>
      <c:catAx>
        <c:axId val="2272316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1">
                <a:solidFill>
                  <a:srgbClr val="214F6B"/>
                </a:solidFill>
              </a:defRPr>
            </a:pPr>
            <a:endParaRPr lang="en-US"/>
          </a:p>
        </c:txPr>
        <c:crossAx val="227233152"/>
        <c:crosses val="autoZero"/>
        <c:auto val="1"/>
        <c:lblAlgn val="ctr"/>
        <c:lblOffset val="100"/>
        <c:noMultiLvlLbl val="0"/>
      </c:catAx>
      <c:valAx>
        <c:axId val="227233152"/>
        <c:scaling>
          <c:orientation val="minMax"/>
        </c:scaling>
        <c:delete val="1"/>
        <c:axPos val="l"/>
        <c:numFmt formatCode="&quot;$&quot;#,##0.00" sourceLinked="1"/>
        <c:majorTickMark val="none"/>
        <c:minorTickMark val="none"/>
        <c:tickLblPos val="none"/>
        <c:crossAx val="227231616"/>
        <c:crosses val="autoZero"/>
        <c:crossBetween val="between"/>
        <c:majorUnit val="0.0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ysClr val="window" lastClr="FFFFFF"/>
    </a:solidFill>
  </c:spPr>
  <c:txPr>
    <a:bodyPr/>
    <a:lstStyle/>
    <a:p>
      <a:pPr>
        <a:defRPr>
          <a:latin typeface="Calibri" pitchFamily="34" charset="0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214F6B"/>
                </a:solidFill>
                <a:latin typeface="Calibri"/>
                <a:ea typeface="Calibri"/>
                <a:cs typeface="Calibri"/>
              </a:defRPr>
            </a:pPr>
            <a:r>
              <a:rPr lang="en-US" sz="1400" b="1">
                <a:solidFill>
                  <a:srgbClr val="214F6B"/>
                </a:solidFill>
              </a:rPr>
              <a:t>Circulation</a:t>
            </a:r>
            <a:r>
              <a:rPr lang="en-US" sz="1400" b="1" baseline="0">
                <a:solidFill>
                  <a:srgbClr val="214F6B"/>
                </a:solidFill>
              </a:rPr>
              <a:t> per paid Staff</a:t>
            </a:r>
            <a:br>
              <a:rPr lang="en-US" sz="1400" b="1" baseline="0">
                <a:solidFill>
                  <a:srgbClr val="214F6B"/>
                </a:solidFill>
              </a:rPr>
            </a:br>
            <a:r>
              <a:rPr lang="en-US" sz="1400" b="1">
                <a:solidFill>
                  <a:srgbClr val="214F6B"/>
                </a:solidFill>
              </a:rPr>
              <a:t>FY2021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bg2">
                <a:lumMod val="75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5EA3CE"/>
              </a:solidFill>
              <a:ln w="1270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F2FB-4153-9806-680CCEE3A0BB}"/>
              </c:ext>
            </c:extLst>
          </c:dPt>
          <c:dPt>
            <c:idx val="1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748C-416A-AD2B-AB5834620989}"/>
              </c:ext>
            </c:extLst>
          </c:dPt>
          <c:dPt>
            <c:idx val="2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2-748C-416A-AD2B-AB583462098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0" i="0" u="none" strike="noStrike" baseline="0">
                    <a:solidFill>
                      <a:srgbClr val="214F6B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'2021Data'!$B$105:$B$107</c:f>
              <c:strCache>
                <c:ptCount val="3"/>
                <c:pt idx="0">
                  <c:v>ALAMANCE</c:v>
                </c:pt>
                <c:pt idx="1">
                  <c:v>Average 100,000-249,999 population</c:v>
                </c:pt>
                <c:pt idx="2">
                  <c:v>Average Statewide</c:v>
                </c:pt>
              </c:strCache>
            </c:strRef>
          </c:cat>
          <c:val>
            <c:numRef>
              <c:f>'2021Data'!$BV$105:$BV$107</c:f>
              <c:numCache>
                <c:formatCode>_(* #,##0_);_(* \(#,##0\);_(* "-"??_);_(@_)</c:formatCode>
                <c:ptCount val="3"/>
                <c:pt idx="0">
                  <c:v>5814.7230769230773</c:v>
                </c:pt>
                <c:pt idx="1">
                  <c:v>13100.169187808415</c:v>
                </c:pt>
                <c:pt idx="2">
                  <c:v>11306.861663737302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2FB-4153-9806-680CCEE3A0B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-25"/>
        <c:axId val="215791104"/>
        <c:axId val="215792640"/>
      </c:barChart>
      <c:catAx>
        <c:axId val="215791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1" i="0" u="none" strike="noStrike" baseline="0">
                <a:solidFill>
                  <a:srgbClr val="214F6B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15792640"/>
        <c:crosses val="autoZero"/>
        <c:auto val="1"/>
        <c:lblAlgn val="ctr"/>
        <c:lblOffset val="100"/>
        <c:noMultiLvlLbl val="0"/>
      </c:catAx>
      <c:valAx>
        <c:axId val="215792640"/>
        <c:scaling>
          <c:orientation val="minMax"/>
        </c:scaling>
        <c:delete val="1"/>
        <c:axPos val="l"/>
        <c:numFmt formatCode="_(* #,##0_);_(* \(#,##0\);_(* &quot;-&quot;??_);_(@_)" sourceLinked="1"/>
        <c:majorTickMark val="none"/>
        <c:minorTickMark val="none"/>
        <c:tickLblPos val="none"/>
        <c:crossAx val="21579110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ysClr val="window" lastClr="FFFFFF"/>
    </a:solidFill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1">
                <a:solidFill>
                  <a:srgbClr val="214F6B"/>
                </a:solidFill>
              </a:defRPr>
            </a:pPr>
            <a:r>
              <a:rPr lang="en-US" sz="1400" b="1">
                <a:solidFill>
                  <a:srgbClr val="214F6B"/>
                </a:solidFill>
              </a:rPr>
              <a:t>Digital (lighter) vs. Physical (darker) Item Usage FY2021</a:t>
            </a:r>
          </a:p>
        </c:rich>
      </c:tx>
      <c:layout>
        <c:manualLayout>
          <c:xMode val="edge"/>
          <c:yMode val="edge"/>
          <c:x val="0.11321691178306323"/>
          <c:y val="4.674588389305674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711498671432161"/>
          <c:y val="0.27558161054196895"/>
          <c:w val="0.84904284339003833"/>
          <c:h val="0.58026689935524522"/>
        </c:manualLayout>
      </c:layout>
      <c:barChart>
        <c:barDir val="col"/>
        <c:grouping val="clustered"/>
        <c:varyColors val="0"/>
        <c:ser>
          <c:idx val="0"/>
          <c:order val="0"/>
          <c:tx>
            <c:v>Physical</c:v>
          </c:tx>
          <c:spPr>
            <a:solidFill>
              <a:srgbClr val="214F6B"/>
            </a:solidFill>
            <a:ln>
              <a:noFill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214F6B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6922-4427-8950-9A5B1B5AE638}"/>
              </c:ext>
            </c:extLst>
          </c:dPt>
          <c:dPt>
            <c:idx val="1"/>
            <c:invertIfNegative val="0"/>
            <c:bubble3D val="0"/>
            <c:spPr>
              <a:solidFill>
                <a:schemeClr val="bg1">
                  <a:lumMod val="65000"/>
                </a:schemeClr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4-5CDF-48BA-B7AF-01E22D800568}"/>
              </c:ext>
            </c:extLst>
          </c:dPt>
          <c:dPt>
            <c:idx val="2"/>
            <c:invertIfNegative val="0"/>
            <c:bubble3D val="0"/>
            <c:spPr>
              <a:solidFill>
                <a:schemeClr val="bg1">
                  <a:lumMod val="65000"/>
                </a:schemeClr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5-5CDF-48BA-B7AF-01E22D80056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>
                    <a:solidFill>
                      <a:srgbClr val="214F6B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'2021Data'!$B$105:$B$107</c:f>
              <c:strCache>
                <c:ptCount val="3"/>
                <c:pt idx="0">
                  <c:v>ALAMANCE</c:v>
                </c:pt>
                <c:pt idx="1">
                  <c:v>Average 100,000-249,999 population</c:v>
                </c:pt>
                <c:pt idx="2">
                  <c:v>Average Statewide</c:v>
                </c:pt>
              </c:strCache>
            </c:strRef>
          </c:cat>
          <c:val>
            <c:numRef>
              <c:f>'2021Data'!$DY$105:$DY$107</c:f>
              <c:numCache>
                <c:formatCode>0.00</c:formatCode>
                <c:ptCount val="3"/>
                <c:pt idx="0">
                  <c:v>1.5069364897543591</c:v>
                </c:pt>
                <c:pt idx="1">
                  <c:v>1.8868504409557671</c:v>
                </c:pt>
                <c:pt idx="2">
                  <c:v>2.0869680540050135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922-4427-8950-9A5B1B5AE638}"/>
            </c:ext>
          </c:extLst>
        </c:ser>
        <c:ser>
          <c:idx val="1"/>
          <c:order val="1"/>
          <c:tx>
            <c:v>Digital</c:v>
          </c:tx>
          <c:spPr>
            <a:solidFill>
              <a:schemeClr val="accent2">
                <a:lumMod val="75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5EA3CE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6922-4427-8950-9A5B1B5AE638}"/>
              </c:ext>
            </c:extLst>
          </c:dPt>
          <c:dPt>
            <c:idx val="1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6-5CDF-48BA-B7AF-01E22D800568}"/>
              </c:ext>
            </c:extLst>
          </c:dPt>
          <c:dPt>
            <c:idx val="2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5CDF-48BA-B7AF-01E22D800568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'2021Data'!$B$105:$B$107</c:f>
              <c:strCache>
                <c:ptCount val="3"/>
                <c:pt idx="0">
                  <c:v>ALAMANCE</c:v>
                </c:pt>
                <c:pt idx="1">
                  <c:v>Average 100,000-249,999 population</c:v>
                </c:pt>
                <c:pt idx="2">
                  <c:v>Average Statewide</c:v>
                </c:pt>
              </c:strCache>
            </c:strRef>
          </c:cat>
          <c:val>
            <c:numRef>
              <c:f>'2021Data'!$DZ$105:$DZ$107</c:f>
              <c:numCache>
                <c:formatCode>0.00</c:formatCode>
                <c:ptCount val="3"/>
                <c:pt idx="0">
                  <c:v>0.78375364400564862</c:v>
                </c:pt>
                <c:pt idx="1">
                  <c:v>1.4021866920488963</c:v>
                </c:pt>
                <c:pt idx="2">
                  <c:v>1.6520297379298698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922-4427-8950-9A5B1B5AE63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-25"/>
        <c:axId val="221336320"/>
        <c:axId val="221337856"/>
      </c:barChart>
      <c:catAx>
        <c:axId val="2213363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1">
                <a:solidFill>
                  <a:srgbClr val="214F6B"/>
                </a:solidFill>
              </a:defRPr>
            </a:pPr>
            <a:endParaRPr lang="en-US"/>
          </a:p>
        </c:txPr>
        <c:crossAx val="221337856"/>
        <c:crosses val="autoZero"/>
        <c:auto val="1"/>
        <c:lblAlgn val="ctr"/>
        <c:lblOffset val="100"/>
        <c:noMultiLvlLbl val="0"/>
      </c:catAx>
      <c:valAx>
        <c:axId val="221337856"/>
        <c:scaling>
          <c:orientation val="minMax"/>
        </c:scaling>
        <c:delete val="1"/>
        <c:axPos val="l"/>
        <c:numFmt formatCode="0.00" sourceLinked="1"/>
        <c:majorTickMark val="none"/>
        <c:minorTickMark val="none"/>
        <c:tickLblPos val="none"/>
        <c:crossAx val="2213363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ysClr val="window" lastClr="FFFFFF"/>
    </a:solidFill>
  </c:spPr>
  <c:txPr>
    <a:bodyPr/>
    <a:lstStyle/>
    <a:p>
      <a:pPr algn="ctr">
        <a:defRPr lang="en-US" sz="1000" b="0" i="0" u="none" strike="noStrike" kern="1200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214F6B"/>
                </a:solidFill>
                <a:latin typeface="Calibri"/>
                <a:ea typeface="Calibri"/>
                <a:cs typeface="Calibri"/>
              </a:defRPr>
            </a:pPr>
            <a:r>
              <a:rPr lang="en-US" sz="1400">
                <a:solidFill>
                  <a:srgbClr val="214F6B"/>
                </a:solidFill>
              </a:rPr>
              <a:t>Children's Circulation Per Capita</a:t>
            </a:r>
            <a:br>
              <a:rPr lang="en-US" sz="1400">
                <a:solidFill>
                  <a:srgbClr val="214F6B"/>
                </a:solidFill>
              </a:rPr>
            </a:br>
            <a:r>
              <a:rPr lang="en-US" sz="1400">
                <a:solidFill>
                  <a:srgbClr val="214F6B"/>
                </a:solidFill>
              </a:rPr>
              <a:t>FY2021</a:t>
            </a:r>
          </a:p>
        </c:rich>
      </c:tx>
      <c:layout>
        <c:manualLayout>
          <c:xMode val="edge"/>
          <c:yMode val="edge"/>
          <c:x val="0.20547495641660798"/>
          <c:y val="2.955702062165719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3198217410323709"/>
          <c:y val="0.39591936424613638"/>
          <c:w val="0.82982338145231849"/>
          <c:h val="0.42034995625547134"/>
        </c:manualLayout>
      </c:layout>
      <c:barChart>
        <c:barDir val="col"/>
        <c:grouping val="clustered"/>
        <c:varyColors val="0"/>
        <c:ser>
          <c:idx val="2"/>
          <c:order val="0"/>
          <c:tx>
            <c:v>Physical</c:v>
          </c:tx>
          <c:spPr>
            <a:solidFill>
              <a:schemeClr val="accent4">
                <a:lumMod val="75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5EA3CE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590D-4D2D-84A1-D87071B21093}"/>
              </c:ext>
            </c:extLst>
          </c:dPt>
          <c:dPt>
            <c:idx val="1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385F-4A9C-B391-F6152F6F10B1}"/>
              </c:ext>
            </c:extLst>
          </c:dPt>
          <c:dPt>
            <c:idx val="2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4-385F-4A9C-B391-F6152F6F10B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0" i="0" u="none" strike="noStrike" baseline="0">
                    <a:solidFill>
                      <a:srgbClr val="214F6B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'2021Data'!$B$105:$B$107</c:f>
              <c:strCache>
                <c:ptCount val="3"/>
                <c:pt idx="0">
                  <c:v>ALAMANCE</c:v>
                </c:pt>
                <c:pt idx="1">
                  <c:v>Average 100,000-249,999 population</c:v>
                </c:pt>
                <c:pt idx="2">
                  <c:v>Average Statewide</c:v>
                </c:pt>
              </c:strCache>
            </c:strRef>
          </c:cat>
          <c:val>
            <c:numRef>
              <c:f>'2021Data'!$DW$105:$DW$107</c:f>
              <c:numCache>
                <c:formatCode>0.00</c:formatCode>
                <c:ptCount val="3"/>
                <c:pt idx="0">
                  <c:v>0.53788250695467188</c:v>
                </c:pt>
                <c:pt idx="1">
                  <c:v>0.81924597739557103</c:v>
                </c:pt>
                <c:pt idx="2">
                  <c:v>0.97036736670569801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0D-4D2D-84A1-D87071B2109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-25"/>
        <c:axId val="221372800"/>
        <c:axId val="221374336"/>
        <c:extLst>
          <c:ext xmlns:c15="http://schemas.microsoft.com/office/drawing/2012/chart" uri="{02D57815-91ED-43cb-92C2-25804820EDAC}">
            <c15:filteredBarSeries>
              <c15:ser>
                <c:idx val="0"/>
                <c:order val="1"/>
                <c:tx>
                  <c:v>Digital</c:v>
                </c:tx>
                <c:spPr>
                  <a:solidFill>
                    <a:schemeClr val="accent2">
                      <a:lumMod val="75000"/>
                    </a:schemeClr>
                  </a:solidFill>
                </c:spPr>
                <c:invertIfNegative val="0"/>
                <c:dPt>
                  <c:idx val="0"/>
                  <c:invertIfNegative val="0"/>
                  <c:bubble3D val="0"/>
                  <c:spPr>
                    <a:solidFill>
                      <a:schemeClr val="accent1">
                        <a:lumMod val="75000"/>
                      </a:schemeClr>
                    </a:solidFill>
                  </c:spPr>
                  <c:extLst>
                    <c:ext xmlns:c16="http://schemas.microsoft.com/office/drawing/2014/chart" uri="{C3380CC4-5D6E-409C-BE32-E72D297353CC}">
                      <c16:uniqueId val="{00000002-590D-4D2D-84A1-D87071B21093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0"/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'2021Data'!$B$105:$B$107</c15:sqref>
                        </c15:formulaRef>
                      </c:ext>
                    </c:extLst>
                    <c:strCache>
                      <c:ptCount val="3"/>
                      <c:pt idx="0">
                        <c:v>ALAMANCE</c:v>
                      </c:pt>
                      <c:pt idx="1">
                        <c:v>Average 100,000-249,999 population</c:v>
                      </c:pt>
                      <c:pt idx="2">
                        <c:v>Average Statewide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'2021Data'!$DX$105:$DX$107</c15:sqref>
                        </c15:formulaRef>
                      </c:ext>
                    </c:extLst>
                    <c:numCache>
                      <c:formatCode>0.00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3-590D-4D2D-84A1-D87071B21093}"/>
                  </c:ext>
                </c:extLst>
              </c15:ser>
            </c15:filteredBarSeries>
          </c:ext>
        </c:extLst>
      </c:barChart>
      <c:catAx>
        <c:axId val="2213728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1" i="0" u="none" strike="noStrike" baseline="0">
                <a:solidFill>
                  <a:srgbClr val="214F6B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21374336"/>
        <c:crosses val="autoZero"/>
        <c:auto val="1"/>
        <c:lblAlgn val="ctr"/>
        <c:lblOffset val="100"/>
        <c:noMultiLvlLbl val="0"/>
      </c:catAx>
      <c:valAx>
        <c:axId val="221374336"/>
        <c:scaling>
          <c:orientation val="minMax"/>
        </c:scaling>
        <c:delete val="1"/>
        <c:axPos val="l"/>
        <c:numFmt formatCode="0.00" sourceLinked="1"/>
        <c:majorTickMark val="none"/>
        <c:minorTickMark val="none"/>
        <c:tickLblPos val="none"/>
        <c:crossAx val="2213728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ysClr val="window" lastClr="FFFFFF"/>
    </a:solidFill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/>
          <a:lstStyle/>
          <a:p>
            <a:pPr>
              <a:defRPr sz="1400">
                <a:solidFill>
                  <a:srgbClr val="214F6B"/>
                </a:solidFill>
              </a:defRPr>
            </a:pPr>
            <a:r>
              <a:rPr lang="en-US" sz="1400" b="1" i="0" u="none" strike="noStrike" kern="1200" baseline="0">
                <a:solidFill>
                  <a:srgbClr val="214F6B"/>
                </a:solidFill>
                <a:latin typeface="Calibri"/>
                <a:ea typeface="Calibri"/>
                <a:cs typeface="Calibri"/>
              </a:rPr>
              <a:t>Circulation</a:t>
            </a:r>
            <a:r>
              <a:rPr lang="en-US" sz="1400">
                <a:solidFill>
                  <a:srgbClr val="214F6B"/>
                </a:solidFill>
              </a:rPr>
              <a:t> </a:t>
            </a:r>
            <a:r>
              <a:rPr lang="en-US" sz="1400">
                <a:solidFill>
                  <a:srgbClr val="214F6B"/>
                </a:solidFill>
                <a:latin typeface="Calibri" pitchFamily="34" charset="0"/>
              </a:rPr>
              <a:t>Per Library Visit </a:t>
            </a:r>
            <a:br>
              <a:rPr lang="en-US" sz="1400">
                <a:solidFill>
                  <a:srgbClr val="214F6B"/>
                </a:solidFill>
                <a:latin typeface="Calibri" pitchFamily="34" charset="0"/>
              </a:rPr>
            </a:br>
            <a:r>
              <a:rPr lang="en-US" sz="1400">
                <a:solidFill>
                  <a:srgbClr val="214F6B"/>
                </a:solidFill>
                <a:latin typeface="Calibri" pitchFamily="34" charset="0"/>
              </a:rPr>
              <a:t>FY2021</a:t>
            </a:r>
          </a:p>
        </c:rich>
      </c:tx>
      <c:layout>
        <c:manualLayout>
          <c:xMode val="edge"/>
          <c:yMode val="edge"/>
          <c:x val="0.21236486927393741"/>
          <c:y val="3.1320484314352602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bg2">
                <a:lumMod val="75000"/>
              </a:schemeClr>
            </a:solidFill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5EA3CE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7C6A-4481-805C-C586D8CD7599}"/>
              </c:ext>
            </c:extLst>
          </c:dPt>
          <c:dPt>
            <c:idx val="1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3-076F-46B8-BDE1-ECC874A631FC}"/>
              </c:ext>
            </c:extLst>
          </c:dPt>
          <c:dPt>
            <c:idx val="2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2-076F-46B8-BDE1-ECC874A631FC}"/>
              </c:ext>
            </c:extLst>
          </c:dPt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>
                    <a:solidFill>
                      <a:srgbClr val="214F6B"/>
                    </a:solidFill>
                    <a:latin typeface="Calibri" panose="020F0502020204030204" pitchFamily="34" charset="0"/>
                    <a:cs typeface="Calibri" panose="020F0502020204030204" pitchFamily="34" charset="0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'2021Data'!$B$105:$B$107</c:f>
              <c:strCache>
                <c:ptCount val="3"/>
                <c:pt idx="0">
                  <c:v>ALAMANCE</c:v>
                </c:pt>
                <c:pt idx="1">
                  <c:v>Average 100,000-249,999 population</c:v>
                </c:pt>
                <c:pt idx="2">
                  <c:v>Average Statewide</c:v>
                </c:pt>
              </c:strCache>
            </c:strRef>
          </c:cat>
          <c:val>
            <c:numRef>
              <c:f>'2021Data'!$BX$105:$BX$107</c:f>
              <c:numCache>
                <c:formatCode>0.00</c:formatCode>
                <c:ptCount val="3"/>
                <c:pt idx="0">
                  <c:v>4.3085279801192389</c:v>
                </c:pt>
                <c:pt idx="1">
                  <c:v>4.6904943152027068</c:v>
                </c:pt>
                <c:pt idx="2">
                  <c:v>6.4088385529678416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C6A-4481-805C-C586D8CD759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-25"/>
        <c:axId val="214337792"/>
        <c:axId val="214351872"/>
      </c:barChart>
      <c:catAx>
        <c:axId val="2143377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b="1">
                <a:solidFill>
                  <a:srgbClr val="214F6B"/>
                </a:solidFill>
                <a:latin typeface="Calibri" pitchFamily="34" charset="0"/>
              </a:defRPr>
            </a:pPr>
            <a:endParaRPr lang="en-US"/>
          </a:p>
        </c:txPr>
        <c:crossAx val="214351872"/>
        <c:crosses val="autoZero"/>
        <c:auto val="1"/>
        <c:lblAlgn val="ctr"/>
        <c:lblOffset val="100"/>
        <c:noMultiLvlLbl val="0"/>
      </c:catAx>
      <c:valAx>
        <c:axId val="214351872"/>
        <c:scaling>
          <c:orientation val="minMax"/>
        </c:scaling>
        <c:delete val="1"/>
        <c:axPos val="l"/>
        <c:numFmt formatCode="0.00" sourceLinked="0"/>
        <c:majorTickMark val="none"/>
        <c:minorTickMark val="none"/>
        <c:tickLblPos val="none"/>
        <c:crossAx val="2143377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ysClr val="window" lastClr="FFFFFF"/>
    </a:solidFill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http://creativecommons.org/licenses/by-nc-sa/4.0/" TargetMode="External"/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26" Type="http://schemas.openxmlformats.org/officeDocument/2006/relationships/chart" Target="../charts/chart26.xml"/><Relationship Id="rId3" Type="http://schemas.openxmlformats.org/officeDocument/2006/relationships/chart" Target="../charts/chart3.xml"/><Relationship Id="rId21" Type="http://schemas.openxmlformats.org/officeDocument/2006/relationships/chart" Target="../charts/chart21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5" Type="http://schemas.openxmlformats.org/officeDocument/2006/relationships/chart" Target="../charts/chart25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24" Type="http://schemas.openxmlformats.org/officeDocument/2006/relationships/chart" Target="../charts/chart24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23" Type="http://schemas.openxmlformats.org/officeDocument/2006/relationships/chart" Target="../charts/chart23.xml"/><Relationship Id="rId28" Type="http://schemas.openxmlformats.org/officeDocument/2006/relationships/image" Target="../media/image4.png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chart" Target="../charts/chart22.xml"/><Relationship Id="rId27" Type="http://schemas.openxmlformats.org/officeDocument/2006/relationships/chart" Target="../charts/chart27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5.xml"/><Relationship Id="rId13" Type="http://schemas.openxmlformats.org/officeDocument/2006/relationships/chart" Target="../charts/chart40.xml"/><Relationship Id="rId18" Type="http://schemas.openxmlformats.org/officeDocument/2006/relationships/chart" Target="../charts/chart45.xml"/><Relationship Id="rId26" Type="http://schemas.openxmlformats.org/officeDocument/2006/relationships/chart" Target="../charts/chart53.xml"/><Relationship Id="rId3" Type="http://schemas.openxmlformats.org/officeDocument/2006/relationships/chart" Target="../charts/chart30.xml"/><Relationship Id="rId21" Type="http://schemas.openxmlformats.org/officeDocument/2006/relationships/chart" Target="../charts/chart48.xml"/><Relationship Id="rId7" Type="http://schemas.openxmlformats.org/officeDocument/2006/relationships/chart" Target="../charts/chart34.xml"/><Relationship Id="rId12" Type="http://schemas.openxmlformats.org/officeDocument/2006/relationships/chart" Target="../charts/chart39.xml"/><Relationship Id="rId17" Type="http://schemas.openxmlformats.org/officeDocument/2006/relationships/chart" Target="../charts/chart44.xml"/><Relationship Id="rId25" Type="http://schemas.openxmlformats.org/officeDocument/2006/relationships/chart" Target="../charts/chart52.xml"/><Relationship Id="rId2" Type="http://schemas.openxmlformats.org/officeDocument/2006/relationships/chart" Target="../charts/chart29.xml"/><Relationship Id="rId16" Type="http://schemas.openxmlformats.org/officeDocument/2006/relationships/chart" Target="../charts/chart43.xml"/><Relationship Id="rId20" Type="http://schemas.openxmlformats.org/officeDocument/2006/relationships/chart" Target="../charts/chart47.xml"/><Relationship Id="rId1" Type="http://schemas.openxmlformats.org/officeDocument/2006/relationships/chart" Target="../charts/chart28.xml"/><Relationship Id="rId6" Type="http://schemas.openxmlformats.org/officeDocument/2006/relationships/chart" Target="../charts/chart33.xml"/><Relationship Id="rId11" Type="http://schemas.openxmlformats.org/officeDocument/2006/relationships/chart" Target="../charts/chart38.xml"/><Relationship Id="rId24" Type="http://schemas.openxmlformats.org/officeDocument/2006/relationships/chart" Target="../charts/chart51.xml"/><Relationship Id="rId5" Type="http://schemas.openxmlformats.org/officeDocument/2006/relationships/chart" Target="../charts/chart32.xml"/><Relationship Id="rId15" Type="http://schemas.openxmlformats.org/officeDocument/2006/relationships/chart" Target="../charts/chart42.xml"/><Relationship Id="rId23" Type="http://schemas.openxmlformats.org/officeDocument/2006/relationships/chart" Target="../charts/chart50.xml"/><Relationship Id="rId28" Type="http://schemas.openxmlformats.org/officeDocument/2006/relationships/image" Target="../media/image5.png"/><Relationship Id="rId10" Type="http://schemas.openxmlformats.org/officeDocument/2006/relationships/chart" Target="../charts/chart37.xml"/><Relationship Id="rId19" Type="http://schemas.openxmlformats.org/officeDocument/2006/relationships/chart" Target="../charts/chart46.xml"/><Relationship Id="rId4" Type="http://schemas.openxmlformats.org/officeDocument/2006/relationships/chart" Target="../charts/chart31.xml"/><Relationship Id="rId9" Type="http://schemas.openxmlformats.org/officeDocument/2006/relationships/chart" Target="../charts/chart36.xml"/><Relationship Id="rId14" Type="http://schemas.openxmlformats.org/officeDocument/2006/relationships/chart" Target="../charts/chart41.xml"/><Relationship Id="rId22" Type="http://schemas.openxmlformats.org/officeDocument/2006/relationships/chart" Target="../charts/chart49.xml"/><Relationship Id="rId27" Type="http://schemas.openxmlformats.org/officeDocument/2006/relationships/chart" Target="../charts/chart5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1209674</xdr:colOff>
      <xdr:row>1</xdr:row>
      <xdr:rowOff>0</xdr:rowOff>
    </xdr:from>
    <xdr:to>
      <xdr:col>4</xdr:col>
      <xdr:colOff>367915</xdr:colOff>
      <xdr:row>8</xdr:row>
      <xdr:rowOff>120592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11E0C6B-DAEC-402B-8A76-A0BC2026BD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24049" y="190500"/>
          <a:ext cx="4473191" cy="1558867"/>
        </a:xfrm>
        <a:prstGeom prst="rect">
          <a:avLst/>
        </a:prstGeom>
      </xdr:spPr>
    </xdr:pic>
    <xdr:clientData/>
  </xdr:twoCellAnchor>
  <xdr:twoCellAnchor editAs="oneCell">
    <xdr:from>
      <xdr:col>0</xdr:col>
      <xdr:colOff>156210</xdr:colOff>
      <xdr:row>27</xdr:row>
      <xdr:rowOff>99060</xdr:rowOff>
    </xdr:from>
    <xdr:to>
      <xdr:col>1</xdr:col>
      <xdr:colOff>384810</xdr:colOff>
      <xdr:row>29</xdr:row>
      <xdr:rowOff>20955</xdr:rowOff>
    </xdr:to>
    <xdr:pic>
      <xdr:nvPicPr>
        <xdr:cNvPr id="4" name="Picture 32" descr="Creative Commons License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80DCE0E-3045-40A7-9F51-0F7A3F8601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56210" y="6614160"/>
          <a:ext cx="942975" cy="3219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159666</xdr:colOff>
      <xdr:row>21</xdr:row>
      <xdr:rowOff>28575</xdr:rowOff>
    </xdr:from>
    <xdr:to>
      <xdr:col>10</xdr:col>
      <xdr:colOff>131885</xdr:colOff>
      <xdr:row>31</xdr:row>
      <xdr:rowOff>112213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15692</xdr:colOff>
      <xdr:row>63</xdr:row>
      <xdr:rowOff>96527</xdr:rowOff>
    </xdr:from>
    <xdr:to>
      <xdr:col>13</xdr:col>
      <xdr:colOff>624203</xdr:colOff>
      <xdr:row>75</xdr:row>
      <xdr:rowOff>47231</xdr:rowOff>
    </xdr:to>
    <xdr:graphicFrame macro="">
      <xdr:nvGraphicFramePr>
        <xdr:cNvPr id="3" name="Chart 4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15381</xdr:colOff>
      <xdr:row>32</xdr:row>
      <xdr:rowOff>106680</xdr:rowOff>
    </xdr:from>
    <xdr:to>
      <xdr:col>6</xdr:col>
      <xdr:colOff>623892</xdr:colOff>
      <xdr:row>44</xdr:row>
      <xdr:rowOff>200660</xdr:rowOff>
    </xdr:to>
    <xdr:graphicFrame macro="">
      <xdr:nvGraphicFramePr>
        <xdr:cNvPr id="5" name="Chart 6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86539</xdr:colOff>
      <xdr:row>95</xdr:row>
      <xdr:rowOff>141145</xdr:rowOff>
    </xdr:from>
    <xdr:to>
      <xdr:col>7</xdr:col>
      <xdr:colOff>119196</xdr:colOff>
      <xdr:row>107</xdr:row>
      <xdr:rowOff>64945</xdr:rowOff>
    </xdr:to>
    <xdr:graphicFrame macro="">
      <xdr:nvGraphicFramePr>
        <xdr:cNvPr id="6" name="Chart 6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35558</xdr:colOff>
      <xdr:row>95</xdr:row>
      <xdr:rowOff>197943</xdr:rowOff>
    </xdr:from>
    <xdr:to>
      <xdr:col>14</xdr:col>
      <xdr:colOff>68215</xdr:colOff>
      <xdr:row>107</xdr:row>
      <xdr:rowOff>121743</xdr:rowOff>
    </xdr:to>
    <xdr:graphicFrame macro="">
      <xdr:nvGraphicFramePr>
        <xdr:cNvPr id="7" name="Chart 7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94103</xdr:colOff>
      <xdr:row>76</xdr:row>
      <xdr:rowOff>60960</xdr:rowOff>
    </xdr:from>
    <xdr:to>
      <xdr:col>6</xdr:col>
      <xdr:colOff>533400</xdr:colOff>
      <xdr:row>88</xdr:row>
      <xdr:rowOff>163467</xdr:rowOff>
    </xdr:to>
    <xdr:graphicFrame macro="">
      <xdr:nvGraphicFramePr>
        <xdr:cNvPr id="39" name="Chart 17">
          <a:extLst>
            <a:ext uri="{FF2B5EF4-FFF2-40B4-BE49-F238E27FC236}">
              <a16:creationId xmlns:a16="http://schemas.microsoft.com/office/drawing/2014/main" id="{00000000-0008-0000-0200-00002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5534</xdr:colOff>
      <xdr:row>46</xdr:row>
      <xdr:rowOff>89171</xdr:rowOff>
    </xdr:from>
    <xdr:to>
      <xdr:col>6</xdr:col>
      <xdr:colOff>581978</xdr:colOff>
      <xdr:row>59</xdr:row>
      <xdr:rowOff>96521</xdr:rowOff>
    </xdr:to>
    <xdr:graphicFrame macro="">
      <xdr:nvGraphicFramePr>
        <xdr:cNvPr id="41" name="Chart 4">
          <a:extLst>
            <a:ext uri="{FF2B5EF4-FFF2-40B4-BE49-F238E27FC236}">
              <a16:creationId xmlns:a16="http://schemas.microsoft.com/office/drawing/2014/main" id="{00000000-0008-0000-0200-00002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7</xdr:col>
      <xdr:colOff>596855</xdr:colOff>
      <xdr:row>46</xdr:row>
      <xdr:rowOff>71437</xdr:rowOff>
    </xdr:from>
    <xdr:to>
      <xdr:col>13</xdr:col>
      <xdr:colOff>540385</xdr:colOff>
      <xdr:row>59</xdr:row>
      <xdr:rowOff>180975</xdr:rowOff>
    </xdr:to>
    <xdr:graphicFrame macro="">
      <xdr:nvGraphicFramePr>
        <xdr:cNvPr id="45" name="Chart 1">
          <a:extLst>
            <a:ext uri="{FF2B5EF4-FFF2-40B4-BE49-F238E27FC236}">
              <a16:creationId xmlns:a16="http://schemas.microsoft.com/office/drawing/2014/main" id="{00000000-0008-0000-0200-00002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8</xdr:col>
      <xdr:colOff>56273</xdr:colOff>
      <xdr:row>76</xdr:row>
      <xdr:rowOff>117745</xdr:rowOff>
    </xdr:from>
    <xdr:to>
      <xdr:col>14</xdr:col>
      <xdr:colOff>30873</xdr:colOff>
      <xdr:row>89</xdr:row>
      <xdr:rowOff>19368</xdr:rowOff>
    </xdr:to>
    <xdr:graphicFrame macro="">
      <xdr:nvGraphicFramePr>
        <xdr:cNvPr id="55" name="Chart 4">
          <a:extLst>
            <a:ext uri="{FF2B5EF4-FFF2-40B4-BE49-F238E27FC236}">
              <a16:creationId xmlns:a16="http://schemas.microsoft.com/office/drawing/2014/main" id="{00000000-0008-0000-0200-00003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50897</xdr:colOff>
      <xdr:row>63</xdr:row>
      <xdr:rowOff>34711</xdr:rowOff>
    </xdr:from>
    <xdr:to>
      <xdr:col>7</xdr:col>
      <xdr:colOff>28037</xdr:colOff>
      <xdr:row>75</xdr:row>
      <xdr:rowOff>28996</xdr:rowOff>
    </xdr:to>
    <xdr:graphicFrame macro="">
      <xdr:nvGraphicFramePr>
        <xdr:cNvPr id="57" name="Chart 17">
          <a:extLst>
            <a:ext uri="{FF2B5EF4-FFF2-40B4-BE49-F238E27FC236}">
              <a16:creationId xmlns:a16="http://schemas.microsoft.com/office/drawing/2014/main" id="{00000000-0008-0000-0200-00003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87314</xdr:colOff>
      <xdr:row>6</xdr:row>
      <xdr:rowOff>7938</xdr:rowOff>
    </xdr:from>
    <xdr:to>
      <xdr:col>14</xdr:col>
      <xdr:colOff>214313</xdr:colOff>
      <xdr:row>13</xdr:row>
      <xdr:rowOff>22860</xdr:rowOff>
    </xdr:to>
    <xdr:sp macro="" textlink="">
      <xdr:nvSpPr>
        <xdr:cNvPr id="60" name="TextBox 59">
          <a:extLst>
            <a:ext uri="{FF2B5EF4-FFF2-40B4-BE49-F238E27FC236}">
              <a16:creationId xmlns:a16="http://schemas.microsoft.com/office/drawing/2014/main" id="{00000000-0008-0000-0200-00003C000000}"/>
            </a:ext>
          </a:extLst>
        </xdr:cNvPr>
        <xdr:cNvSpPr txBox="1"/>
      </xdr:nvSpPr>
      <xdr:spPr>
        <a:xfrm>
          <a:off x="293054" y="1455738"/>
          <a:ext cx="8150859" cy="1737042"/>
        </a:xfrm>
        <a:prstGeom prst="rect">
          <a:avLst/>
        </a:prstGeom>
        <a:ln>
          <a:solidFill>
            <a:schemeClr val="accent4">
              <a:lumMod val="75000"/>
            </a:schemeClr>
          </a:solidFill>
        </a:ln>
        <a:effectLst>
          <a:softEdge rad="12700"/>
        </a:effectLst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 b="1">
              <a:solidFill>
                <a:schemeClr val="tx1"/>
              </a:solidFill>
              <a:latin typeface="Calibri" pitchFamily="34" charset="0"/>
            </a:rPr>
            <a:t>What you can do with these charts:</a:t>
          </a:r>
        </a:p>
        <a:p>
          <a:r>
            <a:rPr lang="en-US" sz="1100">
              <a:solidFill>
                <a:schemeClr val="tx1"/>
              </a:solidFill>
              <a:latin typeface="Calibri" pitchFamily="34" charset="0"/>
            </a:rPr>
            <a:t>	</a:t>
          </a:r>
          <a:r>
            <a:rPr lang="en-US" sz="1100" baseline="0">
              <a:solidFill>
                <a:schemeClr val="tx1"/>
              </a:solidFill>
              <a:latin typeface="Calibri" pitchFamily="34" charset="0"/>
            </a:rPr>
            <a:t> </a:t>
          </a:r>
          <a:r>
            <a:rPr lang="en-US" sz="1100">
              <a:solidFill>
                <a:schemeClr val="tx1"/>
              </a:solidFill>
              <a:latin typeface="Calibri" pitchFamily="34" charset="0"/>
              <a:sym typeface="Symbol"/>
            </a:rPr>
            <a:t> </a:t>
          </a:r>
          <a:r>
            <a:rPr lang="en-US" sz="1100">
              <a:solidFill>
                <a:schemeClr val="tx1"/>
              </a:solidFill>
              <a:latin typeface="Calibri" pitchFamily="34" charset="0"/>
            </a:rPr>
            <a:t>Print all</a:t>
          </a:r>
          <a:r>
            <a:rPr lang="en-US" sz="1100" baseline="0">
              <a:solidFill>
                <a:schemeClr val="tx1"/>
              </a:solidFill>
              <a:latin typeface="Calibri" pitchFamily="34" charset="0"/>
            </a:rPr>
            <a:t> of them at once , or create a PDF</a:t>
          </a:r>
        </a:p>
        <a:p>
          <a:r>
            <a:rPr lang="en-US" sz="1100" baseline="0">
              <a:solidFill>
                <a:schemeClr val="tx1"/>
              </a:solidFill>
              <a:latin typeface="Calibri" pitchFamily="34" charset="0"/>
            </a:rPr>
            <a:t>	</a:t>
          </a:r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  <a:sym typeface="Symbol"/>
            </a:rPr>
            <a:t></a:t>
          </a:r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 </a:t>
          </a:r>
          <a:r>
            <a:rPr lang="en-US" sz="1100" baseline="0">
              <a:solidFill>
                <a:schemeClr val="tx1"/>
              </a:solidFill>
              <a:latin typeface="Calibri" pitchFamily="34" charset="0"/>
            </a:rPr>
            <a:t>Copy and paste individual charts into a document or presentation (when pasting charts, use paste special/picture)</a:t>
          </a:r>
        </a:p>
        <a:p>
          <a:r>
            <a:rPr lang="en-US" sz="1100" baseline="0">
              <a:solidFill>
                <a:schemeClr val="tx1"/>
              </a:solidFill>
              <a:latin typeface="Calibri" pitchFamily="34" charset="0"/>
            </a:rPr>
            <a:t>	</a:t>
          </a:r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  <a:sym typeface="Symbol"/>
            </a:rPr>
            <a:t></a:t>
          </a:r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 </a:t>
          </a:r>
          <a:r>
            <a:rPr lang="en-US" sz="1100" baseline="0">
              <a:solidFill>
                <a:schemeClr val="tx1"/>
              </a:solidFill>
              <a:latin typeface="Calibri" pitchFamily="34" charset="0"/>
            </a:rPr>
            <a:t>Re-word titles, change colors or other characteristics, change the y-axis values </a:t>
          </a:r>
          <a:br>
            <a:rPr lang="en-US" sz="1100" baseline="0">
              <a:solidFill>
                <a:schemeClr val="tx1"/>
              </a:solidFill>
              <a:latin typeface="Calibri" pitchFamily="34" charset="0"/>
            </a:rPr>
          </a:br>
          <a:r>
            <a:rPr lang="en-US" sz="1100" baseline="0">
              <a:solidFill>
                <a:schemeClr val="tx1"/>
              </a:solidFill>
              <a:latin typeface="Calibri" pitchFamily="34" charset="0"/>
            </a:rPr>
            <a:t>	      (especially helpful where differences appear exaggerated)</a:t>
          </a:r>
        </a:p>
        <a:p>
          <a:r>
            <a:rPr lang="en-US" sz="1100" b="1" baseline="0">
              <a:solidFill>
                <a:schemeClr val="tx1"/>
              </a:solidFill>
              <a:latin typeface="Calibri" pitchFamily="34" charset="0"/>
            </a:rPr>
            <a:t>Source for this data:  </a:t>
          </a:r>
          <a:r>
            <a:rPr lang="en-US" sz="1100" b="0" baseline="0">
              <a:solidFill>
                <a:schemeClr val="tx1"/>
              </a:solidFill>
              <a:latin typeface="Calibri" pitchFamily="34" charset="0"/>
            </a:rPr>
            <a:t>Public Library Survey/NC</a:t>
          </a:r>
          <a:r>
            <a:rPr lang="en-US" sz="1100" baseline="0">
              <a:solidFill>
                <a:schemeClr val="tx1"/>
              </a:solidFill>
              <a:latin typeface="Calibri" pitchFamily="34" charset="0"/>
            </a:rPr>
            <a:t> Annual Statistical Report for Local Fiscal Year 2021</a:t>
          </a:r>
        </a:p>
        <a:p>
          <a:r>
            <a:rPr lang="en-US" sz="1100" b="1" baseline="0">
              <a:solidFill>
                <a:schemeClr val="tx1"/>
              </a:solidFill>
              <a:latin typeface="Calibri" pitchFamily="34" charset="0"/>
            </a:rPr>
            <a:t>NOTE: </a:t>
          </a:r>
          <a:r>
            <a:rPr lang="en-US" sz="1100" baseline="0">
              <a:solidFill>
                <a:schemeClr val="tx1"/>
              </a:solidFill>
              <a:latin typeface="Calibri" pitchFamily="34" charset="0"/>
            </a:rPr>
            <a:t>These charts are only as valid as the data that was provided by each library</a:t>
          </a:r>
        </a:p>
        <a:p>
          <a:r>
            <a:rPr lang="en-US" sz="1100" baseline="0">
              <a:solidFill>
                <a:schemeClr val="tx1"/>
              </a:solidFill>
              <a:latin typeface="Calibri" pitchFamily="34" charset="0"/>
            </a:rPr>
            <a:t>             Not all of these charts will be meaningful for your library, especially if there is incomplete or inconsistent data</a:t>
          </a:r>
        </a:p>
        <a:p>
          <a:pPr algn="l">
            <a:spcBef>
              <a:spcPts val="600"/>
            </a:spcBef>
            <a:spcAft>
              <a:spcPts val="0"/>
            </a:spcAft>
          </a:pPr>
          <a:r>
            <a:rPr lang="en-US" sz="1050" b="0" i="0" u="none" strike="noStrike">
              <a:solidFill>
                <a:schemeClr val="dk1"/>
              </a:solidFill>
              <a:latin typeface="Calibri" pitchFamily="34" charset="0"/>
              <a:ea typeface="+mn-ea"/>
              <a:cs typeface="+mn-cs"/>
            </a:rPr>
            <a:t>For more information contact: Amanda Johnson, Data Analysis &amp; Communications Consultant, State Library of NC, amanda.johnson@ncdcr.gov, 919.814.6795</a:t>
          </a:r>
          <a:endParaRPr lang="en-US" sz="1050">
            <a:latin typeface="Calibri" pitchFamily="34" charset="0"/>
          </a:endParaRPr>
        </a:p>
      </xdr:txBody>
    </xdr:sp>
    <xdr:clientData/>
  </xdr:twoCellAnchor>
  <xdr:twoCellAnchor>
    <xdr:from>
      <xdr:col>1</xdr:col>
      <xdr:colOff>141631</xdr:colOff>
      <xdr:row>112</xdr:row>
      <xdr:rowOff>100969</xdr:rowOff>
    </xdr:from>
    <xdr:to>
      <xdr:col>7</xdr:col>
      <xdr:colOff>166078</xdr:colOff>
      <xdr:row>124</xdr:row>
      <xdr:rowOff>41914</xdr:rowOff>
    </xdr:to>
    <xdr:graphicFrame macro="">
      <xdr:nvGraphicFramePr>
        <xdr:cNvPr id="69" name="Chart 8">
          <a:extLst>
            <a:ext uri="{FF2B5EF4-FFF2-40B4-BE49-F238E27FC236}">
              <a16:creationId xmlns:a16="http://schemas.microsoft.com/office/drawing/2014/main" id="{00000000-0008-0000-0200-00004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8</xdr:col>
      <xdr:colOff>45731</xdr:colOff>
      <xdr:row>112</xdr:row>
      <xdr:rowOff>110557</xdr:rowOff>
    </xdr:from>
    <xdr:to>
      <xdr:col>14</xdr:col>
      <xdr:colOff>60019</xdr:colOff>
      <xdr:row>124</xdr:row>
      <xdr:rowOff>43882</xdr:rowOff>
    </xdr:to>
    <xdr:graphicFrame macro="">
      <xdr:nvGraphicFramePr>
        <xdr:cNvPr id="70" name="Chart 10">
          <a:extLst>
            <a:ext uri="{FF2B5EF4-FFF2-40B4-BE49-F238E27FC236}">
              <a16:creationId xmlns:a16="http://schemas.microsoft.com/office/drawing/2014/main" id="{00000000-0008-0000-0200-00004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</xdr:col>
      <xdr:colOff>84410</xdr:colOff>
      <xdr:row>128</xdr:row>
      <xdr:rowOff>161093</xdr:rowOff>
    </xdr:from>
    <xdr:to>
      <xdr:col>7</xdr:col>
      <xdr:colOff>84410</xdr:colOff>
      <xdr:row>140</xdr:row>
      <xdr:rowOff>126168</xdr:rowOff>
    </xdr:to>
    <xdr:graphicFrame macro="">
      <xdr:nvGraphicFramePr>
        <xdr:cNvPr id="73" name="Chart 13">
          <a:extLst>
            <a:ext uri="{FF2B5EF4-FFF2-40B4-BE49-F238E27FC236}">
              <a16:creationId xmlns:a16="http://schemas.microsoft.com/office/drawing/2014/main" id="{00000000-0008-0000-0200-00004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8</xdr:col>
      <xdr:colOff>18356</xdr:colOff>
      <xdr:row>128</xdr:row>
      <xdr:rowOff>146738</xdr:rowOff>
    </xdr:from>
    <xdr:to>
      <xdr:col>14</xdr:col>
      <xdr:colOff>18356</xdr:colOff>
      <xdr:row>140</xdr:row>
      <xdr:rowOff>138483</xdr:rowOff>
    </xdr:to>
    <xdr:graphicFrame macro="">
      <xdr:nvGraphicFramePr>
        <xdr:cNvPr id="74" name="Chart 13">
          <a:extLst>
            <a:ext uri="{FF2B5EF4-FFF2-40B4-BE49-F238E27FC236}">
              <a16:creationId xmlns:a16="http://schemas.microsoft.com/office/drawing/2014/main" id="{00000000-0008-0000-0200-00004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</xdr:col>
      <xdr:colOff>87045</xdr:colOff>
      <xdr:row>141</xdr:row>
      <xdr:rowOff>234613</xdr:rowOff>
    </xdr:from>
    <xdr:to>
      <xdr:col>7</xdr:col>
      <xdr:colOff>87045</xdr:colOff>
      <xdr:row>153</xdr:row>
      <xdr:rowOff>123825</xdr:rowOff>
    </xdr:to>
    <xdr:graphicFrame macro="">
      <xdr:nvGraphicFramePr>
        <xdr:cNvPr id="75" name="Chart 14">
          <a:extLst>
            <a:ext uri="{FF2B5EF4-FFF2-40B4-BE49-F238E27FC236}">
              <a16:creationId xmlns:a16="http://schemas.microsoft.com/office/drawing/2014/main" id="{00000000-0008-0000-0200-00004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</xdr:col>
      <xdr:colOff>89368</xdr:colOff>
      <xdr:row>155</xdr:row>
      <xdr:rowOff>57449</xdr:rowOff>
    </xdr:from>
    <xdr:to>
      <xdr:col>7</xdr:col>
      <xdr:colOff>89368</xdr:colOff>
      <xdr:row>166</xdr:row>
      <xdr:rowOff>190799</xdr:rowOff>
    </xdr:to>
    <xdr:graphicFrame macro="">
      <xdr:nvGraphicFramePr>
        <xdr:cNvPr id="76" name="Chart 15">
          <a:extLst>
            <a:ext uri="{FF2B5EF4-FFF2-40B4-BE49-F238E27FC236}">
              <a16:creationId xmlns:a16="http://schemas.microsoft.com/office/drawing/2014/main" id="{00000000-0008-0000-0200-00004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8</xdr:col>
      <xdr:colOff>6167</xdr:colOff>
      <xdr:row>155</xdr:row>
      <xdr:rowOff>79206</xdr:rowOff>
    </xdr:from>
    <xdr:to>
      <xdr:col>14</xdr:col>
      <xdr:colOff>6167</xdr:colOff>
      <xdr:row>166</xdr:row>
      <xdr:rowOff>180806</xdr:rowOff>
    </xdr:to>
    <xdr:graphicFrame macro="">
      <xdr:nvGraphicFramePr>
        <xdr:cNvPr id="77" name="Chart 14">
          <a:extLst>
            <a:ext uri="{FF2B5EF4-FFF2-40B4-BE49-F238E27FC236}">
              <a16:creationId xmlns:a16="http://schemas.microsoft.com/office/drawing/2014/main" id="{00000000-0008-0000-0200-00004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8</xdr:col>
      <xdr:colOff>41901</xdr:colOff>
      <xdr:row>141</xdr:row>
      <xdr:rowOff>206819</xdr:rowOff>
    </xdr:from>
    <xdr:to>
      <xdr:col>14</xdr:col>
      <xdr:colOff>41901</xdr:colOff>
      <xdr:row>153</xdr:row>
      <xdr:rowOff>102044</xdr:rowOff>
    </xdr:to>
    <xdr:graphicFrame macro="">
      <xdr:nvGraphicFramePr>
        <xdr:cNvPr id="78" name="Chart 3">
          <a:extLst>
            <a:ext uri="{FF2B5EF4-FFF2-40B4-BE49-F238E27FC236}">
              <a16:creationId xmlns:a16="http://schemas.microsoft.com/office/drawing/2014/main" id="{00000000-0008-0000-0200-00004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0</xdr:col>
      <xdr:colOff>212081</xdr:colOff>
      <xdr:row>186</xdr:row>
      <xdr:rowOff>127399</xdr:rowOff>
    </xdr:from>
    <xdr:to>
      <xdr:col>7</xdr:col>
      <xdr:colOff>28248</xdr:colOff>
      <xdr:row>198</xdr:row>
      <xdr:rowOff>32149</xdr:rowOff>
    </xdr:to>
    <xdr:graphicFrame macro="">
      <xdr:nvGraphicFramePr>
        <xdr:cNvPr id="79" name="Chart 20">
          <a:extLst>
            <a:ext uri="{FF2B5EF4-FFF2-40B4-BE49-F238E27FC236}">
              <a16:creationId xmlns:a16="http://schemas.microsoft.com/office/drawing/2014/main" id="{00000000-0008-0000-0200-00004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7</xdr:col>
      <xdr:colOff>601753</xdr:colOff>
      <xdr:row>186</xdr:row>
      <xdr:rowOff>120984</xdr:rowOff>
    </xdr:from>
    <xdr:to>
      <xdr:col>13</xdr:col>
      <xdr:colOff>616041</xdr:colOff>
      <xdr:row>198</xdr:row>
      <xdr:rowOff>25734</xdr:rowOff>
    </xdr:to>
    <xdr:graphicFrame macro="">
      <xdr:nvGraphicFramePr>
        <xdr:cNvPr id="80" name="Chart 20">
          <a:extLst>
            <a:ext uri="{FF2B5EF4-FFF2-40B4-BE49-F238E27FC236}">
              <a16:creationId xmlns:a16="http://schemas.microsoft.com/office/drawing/2014/main" id="{00000000-0008-0000-0200-00005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7</xdr:col>
      <xdr:colOff>524678</xdr:colOff>
      <xdr:row>213</xdr:row>
      <xdr:rowOff>155234</xdr:rowOff>
    </xdr:from>
    <xdr:to>
      <xdr:col>14</xdr:col>
      <xdr:colOff>7620</xdr:colOff>
      <xdr:row>225</xdr:row>
      <xdr:rowOff>220980</xdr:rowOff>
    </xdr:to>
    <xdr:graphicFrame macro="">
      <xdr:nvGraphicFramePr>
        <xdr:cNvPr id="82" name="Chart 20">
          <a:extLst>
            <a:ext uri="{FF2B5EF4-FFF2-40B4-BE49-F238E27FC236}">
              <a16:creationId xmlns:a16="http://schemas.microsoft.com/office/drawing/2014/main" id="{00000000-0008-0000-0200-00005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1</xdr:col>
      <xdr:colOff>58256</xdr:colOff>
      <xdr:row>200</xdr:row>
      <xdr:rowOff>112700</xdr:rowOff>
    </xdr:from>
    <xdr:to>
      <xdr:col>7</xdr:col>
      <xdr:colOff>72543</xdr:colOff>
      <xdr:row>212</xdr:row>
      <xdr:rowOff>7925</xdr:rowOff>
    </xdr:to>
    <xdr:graphicFrame macro="">
      <xdr:nvGraphicFramePr>
        <xdr:cNvPr id="83" name="Chart 20">
          <a:extLst>
            <a:ext uri="{FF2B5EF4-FFF2-40B4-BE49-F238E27FC236}">
              <a16:creationId xmlns:a16="http://schemas.microsoft.com/office/drawing/2014/main" id="{00000000-0008-0000-0200-00005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8</xdr:col>
      <xdr:colOff>8164</xdr:colOff>
      <xdr:row>32</xdr:row>
      <xdr:rowOff>201282</xdr:rowOff>
    </xdr:from>
    <xdr:to>
      <xdr:col>13</xdr:col>
      <xdr:colOff>619397</xdr:colOff>
      <xdr:row>44</xdr:row>
      <xdr:rowOff>158827</xdr:rowOff>
    </xdr:to>
    <xdr:graphicFrame macro="">
      <xdr:nvGraphicFramePr>
        <xdr:cNvPr id="32" name="Chart 6">
          <a:extLst>
            <a:ext uri="{FF2B5EF4-FFF2-40B4-BE49-F238E27FC236}">
              <a16:creationId xmlns:a16="http://schemas.microsoft.com/office/drawing/2014/main" id="{00000000-0008-0000-0200-00002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7</xdr:col>
      <xdr:colOff>542700</xdr:colOff>
      <xdr:row>200</xdr:row>
      <xdr:rowOff>134581</xdr:rowOff>
    </xdr:from>
    <xdr:to>
      <xdr:col>13</xdr:col>
      <xdr:colOff>542700</xdr:colOff>
      <xdr:row>212</xdr:row>
      <xdr:rowOff>29806</xdr:rowOff>
    </xdr:to>
    <xdr:graphicFrame macro="">
      <xdr:nvGraphicFramePr>
        <xdr:cNvPr id="34" name="Chart 14">
          <a:extLst>
            <a:ext uri="{FF2B5EF4-FFF2-40B4-BE49-F238E27FC236}">
              <a16:creationId xmlns:a16="http://schemas.microsoft.com/office/drawing/2014/main" id="{00000000-0008-0000-0200-00002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1</xdr:col>
      <xdr:colOff>109220</xdr:colOff>
      <xdr:row>170</xdr:row>
      <xdr:rowOff>104140</xdr:rowOff>
    </xdr:from>
    <xdr:to>
      <xdr:col>7</xdr:col>
      <xdr:colOff>109220</xdr:colOff>
      <xdr:row>181</xdr:row>
      <xdr:rowOff>125937</xdr:rowOff>
    </xdr:to>
    <xdr:graphicFrame macro="">
      <xdr:nvGraphicFramePr>
        <xdr:cNvPr id="30" name="Chart 3">
          <a:extLst>
            <a:ext uri="{FF2B5EF4-FFF2-40B4-BE49-F238E27FC236}">
              <a16:creationId xmlns:a16="http://schemas.microsoft.com/office/drawing/2014/main" id="{FFA9CC05-248D-414B-964D-0534CF11A7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7</xdr:col>
      <xdr:colOff>589280</xdr:colOff>
      <xdr:row>170</xdr:row>
      <xdr:rowOff>101600</xdr:rowOff>
    </xdr:from>
    <xdr:to>
      <xdr:col>13</xdr:col>
      <xdr:colOff>589280</xdr:colOff>
      <xdr:row>181</xdr:row>
      <xdr:rowOff>123397</xdr:rowOff>
    </xdr:to>
    <xdr:graphicFrame macro="">
      <xdr:nvGraphicFramePr>
        <xdr:cNvPr id="31" name="Chart 3">
          <a:extLst>
            <a:ext uri="{FF2B5EF4-FFF2-40B4-BE49-F238E27FC236}">
              <a16:creationId xmlns:a16="http://schemas.microsoft.com/office/drawing/2014/main" id="{454B2EAB-65D6-446D-ACE9-433B091D6F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1</xdr:col>
      <xdr:colOff>59266</xdr:colOff>
      <xdr:row>213</xdr:row>
      <xdr:rowOff>179493</xdr:rowOff>
    </xdr:from>
    <xdr:to>
      <xdr:col>7</xdr:col>
      <xdr:colOff>99060</xdr:colOff>
      <xdr:row>225</xdr:row>
      <xdr:rowOff>152400</xdr:rowOff>
    </xdr:to>
    <xdr:graphicFrame macro="">
      <xdr:nvGraphicFramePr>
        <xdr:cNvPr id="36" name="Chart 3">
          <a:extLst>
            <a:ext uri="{FF2B5EF4-FFF2-40B4-BE49-F238E27FC236}">
              <a16:creationId xmlns:a16="http://schemas.microsoft.com/office/drawing/2014/main" id="{21DCD529-8AA4-4C62-A000-08535A42FC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 editAs="oneCell">
    <xdr:from>
      <xdr:col>6</xdr:col>
      <xdr:colOff>304800</xdr:colOff>
      <xdr:row>0</xdr:row>
      <xdr:rowOff>164248</xdr:rowOff>
    </xdr:from>
    <xdr:to>
      <xdr:col>9</xdr:col>
      <xdr:colOff>472691</xdr:colOff>
      <xdr:row>3</xdr:row>
      <xdr:rowOff>225367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id="{2129C41C-BAEE-423A-91C7-E5C4E3E04D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62400" y="164248"/>
          <a:ext cx="2225291" cy="775494"/>
        </a:xfrm>
        <a:prstGeom prst="rect">
          <a:avLst/>
        </a:prstGeom>
      </xdr:spPr>
    </xdr:pic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0.29851</cdr:x>
      <cdr:y>0.18475</cdr:y>
    </cdr:from>
    <cdr:to>
      <cdr:x>0.99599</cdr:x>
      <cdr:y>0.30553</cdr:y>
    </cdr:to>
    <cdr:sp macro="" textlink="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id="{B3F7AD2B-3E6A-4B2D-9D80-4A71941E6831}"/>
            </a:ext>
          </a:extLst>
        </cdr:cNvPr>
        <cdr:cNvSpPr txBox="1"/>
      </cdr:nvSpPr>
      <cdr:spPr>
        <a:xfrm xmlns:a="http://schemas.openxmlformats.org/drawingml/2006/main">
          <a:off x="1135380" y="518942"/>
          <a:ext cx="2652862" cy="339284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800"/>
            <a:t>*Number of hours any library</a:t>
          </a:r>
          <a:r>
            <a:rPr lang="en-US" sz="800" baseline="0"/>
            <a:t> facility is open, including branches, without counting any hour twice.</a:t>
          </a:r>
          <a:endParaRPr lang="en-US" sz="800"/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323267</xdr:colOff>
      <xdr:row>18</xdr:row>
      <xdr:rowOff>38100</xdr:rowOff>
    </xdr:from>
    <xdr:to>
      <xdr:col>10</xdr:col>
      <xdr:colOff>647117</xdr:colOff>
      <xdr:row>28</xdr:row>
      <xdr:rowOff>34925</xdr:rowOff>
    </xdr:to>
    <xdr:graphicFrame macro="">
      <xdr:nvGraphicFramePr>
        <xdr:cNvPr id="4057752" name="Chart 3">
          <a:extLst>
            <a:ext uri="{FF2B5EF4-FFF2-40B4-BE49-F238E27FC236}">
              <a16:creationId xmlns:a16="http://schemas.microsoft.com/office/drawing/2014/main" id="{00000000-0008-0000-0300-000098EA3D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12277</xdr:colOff>
      <xdr:row>84</xdr:row>
      <xdr:rowOff>257177</xdr:rowOff>
    </xdr:from>
    <xdr:to>
      <xdr:col>10</xdr:col>
      <xdr:colOff>671407</xdr:colOff>
      <xdr:row>95</xdr:row>
      <xdr:rowOff>102448</xdr:rowOff>
    </xdr:to>
    <xdr:graphicFrame macro="">
      <xdr:nvGraphicFramePr>
        <xdr:cNvPr id="4057753" name="Chart 4">
          <a:extLst>
            <a:ext uri="{FF2B5EF4-FFF2-40B4-BE49-F238E27FC236}">
              <a16:creationId xmlns:a16="http://schemas.microsoft.com/office/drawing/2014/main" id="{00000000-0008-0000-0300-000099EA3D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56460</xdr:colOff>
      <xdr:row>29</xdr:row>
      <xdr:rowOff>89482</xdr:rowOff>
    </xdr:from>
    <xdr:to>
      <xdr:col>10</xdr:col>
      <xdr:colOff>715590</xdr:colOff>
      <xdr:row>39</xdr:row>
      <xdr:rowOff>214684</xdr:rowOff>
    </xdr:to>
    <xdr:graphicFrame macro="">
      <xdr:nvGraphicFramePr>
        <xdr:cNvPr id="4057754" name="Chart 5">
          <a:extLst>
            <a:ext uri="{FF2B5EF4-FFF2-40B4-BE49-F238E27FC236}">
              <a16:creationId xmlns:a16="http://schemas.microsoft.com/office/drawing/2014/main" id="{00000000-0008-0000-0300-00009AEA3D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67998</xdr:colOff>
      <xdr:row>40</xdr:row>
      <xdr:rowOff>100329</xdr:rowOff>
    </xdr:from>
    <xdr:to>
      <xdr:col>10</xdr:col>
      <xdr:colOff>723900</xdr:colOff>
      <xdr:row>50</xdr:row>
      <xdr:rowOff>159965</xdr:rowOff>
    </xdr:to>
    <xdr:graphicFrame macro="">
      <xdr:nvGraphicFramePr>
        <xdr:cNvPr id="4057755" name="Chart 6">
          <a:extLst>
            <a:ext uri="{FF2B5EF4-FFF2-40B4-BE49-F238E27FC236}">
              <a16:creationId xmlns:a16="http://schemas.microsoft.com/office/drawing/2014/main" id="{00000000-0008-0000-0300-00009BEA3D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20793</xdr:colOff>
      <xdr:row>288</xdr:row>
      <xdr:rowOff>149650</xdr:rowOff>
    </xdr:from>
    <xdr:to>
      <xdr:col>10</xdr:col>
      <xdr:colOff>687281</xdr:colOff>
      <xdr:row>297</xdr:row>
      <xdr:rowOff>173992</xdr:rowOff>
    </xdr:to>
    <xdr:graphicFrame macro="">
      <xdr:nvGraphicFramePr>
        <xdr:cNvPr id="4057769" name="Chart 18">
          <a:extLst>
            <a:ext uri="{FF2B5EF4-FFF2-40B4-BE49-F238E27FC236}">
              <a16:creationId xmlns:a16="http://schemas.microsoft.com/office/drawing/2014/main" id="{00000000-0008-0000-0300-0000A9EA3D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19052</xdr:colOff>
      <xdr:row>298</xdr:row>
      <xdr:rowOff>119063</xdr:rowOff>
    </xdr:from>
    <xdr:to>
      <xdr:col>10</xdr:col>
      <xdr:colOff>676275</xdr:colOff>
      <xdr:row>309</xdr:row>
      <xdr:rowOff>137160</xdr:rowOff>
    </xdr:to>
    <xdr:graphicFrame macro="">
      <xdr:nvGraphicFramePr>
        <xdr:cNvPr id="4057774" name="Chart 18">
          <a:extLst>
            <a:ext uri="{FF2B5EF4-FFF2-40B4-BE49-F238E27FC236}">
              <a16:creationId xmlns:a16="http://schemas.microsoft.com/office/drawing/2014/main" id="{00000000-0008-0000-0300-0000AEEA3D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346075</xdr:colOff>
      <xdr:row>276</xdr:row>
      <xdr:rowOff>234949</xdr:rowOff>
    </xdr:from>
    <xdr:to>
      <xdr:col>10</xdr:col>
      <xdr:colOff>688975</xdr:colOff>
      <xdr:row>287</xdr:row>
      <xdr:rowOff>249767</xdr:rowOff>
    </xdr:to>
    <xdr:graphicFrame macro="">
      <xdr:nvGraphicFramePr>
        <xdr:cNvPr id="4057786" name="Chart 14">
          <a:extLst>
            <a:ext uri="{FF2B5EF4-FFF2-40B4-BE49-F238E27FC236}">
              <a16:creationId xmlns:a16="http://schemas.microsoft.com/office/drawing/2014/main" id="{00000000-0008-0000-0300-0000BAEA3D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66092</xdr:colOff>
      <xdr:row>97</xdr:row>
      <xdr:rowOff>7250</xdr:rowOff>
    </xdr:from>
    <xdr:to>
      <xdr:col>10</xdr:col>
      <xdr:colOff>636985</xdr:colOff>
      <xdr:row>107</xdr:row>
      <xdr:rowOff>126841</xdr:rowOff>
    </xdr:to>
    <xdr:graphicFrame macro="">
      <xdr:nvGraphicFramePr>
        <xdr:cNvPr id="4057794" name="Chart 4">
          <a:extLst>
            <a:ext uri="{FF2B5EF4-FFF2-40B4-BE49-F238E27FC236}">
              <a16:creationId xmlns:a16="http://schemas.microsoft.com/office/drawing/2014/main" id="{00000000-0008-0000-0300-0000C2EA3D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321999</xdr:colOff>
      <xdr:row>121</xdr:row>
      <xdr:rowOff>92602</xdr:rowOff>
    </xdr:from>
    <xdr:to>
      <xdr:col>10</xdr:col>
      <xdr:colOff>650082</xdr:colOff>
      <xdr:row>131</xdr:row>
      <xdr:rowOff>33548</xdr:rowOff>
    </xdr:to>
    <xdr:graphicFrame macro="">
      <xdr:nvGraphicFramePr>
        <xdr:cNvPr id="4057795" name="Chart 4">
          <a:extLst>
            <a:ext uri="{FF2B5EF4-FFF2-40B4-BE49-F238E27FC236}">
              <a16:creationId xmlns:a16="http://schemas.microsoft.com/office/drawing/2014/main" id="{00000000-0008-0000-0300-0000C3EA3D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31038</xdr:colOff>
      <xdr:row>107</xdr:row>
      <xdr:rowOff>245745</xdr:rowOff>
    </xdr:from>
    <xdr:to>
      <xdr:col>10</xdr:col>
      <xdr:colOff>662729</xdr:colOff>
      <xdr:row>118</xdr:row>
      <xdr:rowOff>0</xdr:rowOff>
    </xdr:to>
    <xdr:graphicFrame macro="">
      <xdr:nvGraphicFramePr>
        <xdr:cNvPr id="59" name="Chart 4">
          <a:extLst>
            <a:ext uri="{FF2B5EF4-FFF2-40B4-BE49-F238E27FC236}">
              <a16:creationId xmlns:a16="http://schemas.microsoft.com/office/drawing/2014/main" id="{00000000-0008-0000-0300-00003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60537</xdr:colOff>
      <xdr:row>73</xdr:row>
      <xdr:rowOff>246592</xdr:rowOff>
    </xdr:from>
    <xdr:to>
      <xdr:col>10</xdr:col>
      <xdr:colOff>611717</xdr:colOff>
      <xdr:row>84</xdr:row>
      <xdr:rowOff>100278</xdr:rowOff>
    </xdr:to>
    <xdr:graphicFrame macro="">
      <xdr:nvGraphicFramePr>
        <xdr:cNvPr id="60" name="Chart 4">
          <a:extLst>
            <a:ext uri="{FF2B5EF4-FFF2-40B4-BE49-F238E27FC236}">
              <a16:creationId xmlns:a16="http://schemas.microsoft.com/office/drawing/2014/main" id="{00000000-0008-0000-0300-00003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</xdr:col>
      <xdr:colOff>77470</xdr:colOff>
      <xdr:row>51</xdr:row>
      <xdr:rowOff>9843</xdr:rowOff>
    </xdr:from>
    <xdr:to>
      <xdr:col>10</xdr:col>
      <xdr:colOff>769408</xdr:colOff>
      <xdr:row>61</xdr:row>
      <xdr:rowOff>141288</xdr:rowOff>
    </xdr:to>
    <xdr:graphicFrame macro="">
      <xdr:nvGraphicFramePr>
        <xdr:cNvPr id="78" name="Chart 4">
          <a:extLst>
            <a:ext uri="{FF2B5EF4-FFF2-40B4-BE49-F238E27FC236}">
              <a16:creationId xmlns:a16="http://schemas.microsoft.com/office/drawing/2014/main" id="{00000000-0008-0000-0300-00004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333587</xdr:colOff>
      <xdr:row>62</xdr:row>
      <xdr:rowOff>230872</xdr:rowOff>
    </xdr:from>
    <xdr:to>
      <xdr:col>10</xdr:col>
      <xdr:colOff>654050</xdr:colOff>
      <xdr:row>73</xdr:row>
      <xdr:rowOff>83764</xdr:rowOff>
    </xdr:to>
    <xdr:graphicFrame macro="">
      <xdr:nvGraphicFramePr>
        <xdr:cNvPr id="79" name="Chart 4">
          <a:extLst>
            <a:ext uri="{FF2B5EF4-FFF2-40B4-BE49-F238E27FC236}">
              <a16:creationId xmlns:a16="http://schemas.microsoft.com/office/drawing/2014/main" id="{00000000-0008-0000-0300-00004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296070</xdr:colOff>
      <xdr:row>131</xdr:row>
      <xdr:rowOff>199761</xdr:rowOff>
    </xdr:from>
    <xdr:to>
      <xdr:col>10</xdr:col>
      <xdr:colOff>624153</xdr:colOff>
      <xdr:row>141</xdr:row>
      <xdr:rowOff>69268</xdr:rowOff>
    </xdr:to>
    <xdr:graphicFrame macro="">
      <xdr:nvGraphicFramePr>
        <xdr:cNvPr id="80" name="Chart 4">
          <a:extLst>
            <a:ext uri="{FF2B5EF4-FFF2-40B4-BE49-F238E27FC236}">
              <a16:creationId xmlns:a16="http://schemas.microsoft.com/office/drawing/2014/main" id="{00000000-0008-0000-0300-00005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</xdr:col>
      <xdr:colOff>21433</xdr:colOff>
      <xdr:row>145</xdr:row>
      <xdr:rowOff>195467</xdr:rowOff>
    </xdr:from>
    <xdr:to>
      <xdr:col>10</xdr:col>
      <xdr:colOff>500064</xdr:colOff>
      <xdr:row>156</xdr:row>
      <xdr:rowOff>124029</xdr:rowOff>
    </xdr:to>
    <xdr:graphicFrame macro="">
      <xdr:nvGraphicFramePr>
        <xdr:cNvPr id="82" name="Chart 8">
          <a:extLst>
            <a:ext uri="{FF2B5EF4-FFF2-40B4-BE49-F238E27FC236}">
              <a16:creationId xmlns:a16="http://schemas.microsoft.com/office/drawing/2014/main" id="{00000000-0008-0000-0300-00005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</xdr:col>
      <xdr:colOff>19050</xdr:colOff>
      <xdr:row>157</xdr:row>
      <xdr:rowOff>180975</xdr:rowOff>
    </xdr:from>
    <xdr:to>
      <xdr:col>10</xdr:col>
      <xdr:colOff>495300</xdr:colOff>
      <xdr:row>168</xdr:row>
      <xdr:rowOff>57147</xdr:rowOff>
    </xdr:to>
    <xdr:graphicFrame macro="">
      <xdr:nvGraphicFramePr>
        <xdr:cNvPr id="83" name="Chart 9">
          <a:extLst>
            <a:ext uri="{FF2B5EF4-FFF2-40B4-BE49-F238E27FC236}">
              <a16:creationId xmlns:a16="http://schemas.microsoft.com/office/drawing/2014/main" id="{00000000-0008-0000-0300-00005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0</xdr:col>
      <xdr:colOff>333375</xdr:colOff>
      <xdr:row>171</xdr:row>
      <xdr:rowOff>186267</xdr:rowOff>
    </xdr:from>
    <xdr:to>
      <xdr:col>10</xdr:col>
      <xdr:colOff>372534</xdr:colOff>
      <xdr:row>183</xdr:row>
      <xdr:rowOff>16934</xdr:rowOff>
    </xdr:to>
    <xdr:graphicFrame macro="">
      <xdr:nvGraphicFramePr>
        <xdr:cNvPr id="85" name="Chart 11">
          <a:extLst>
            <a:ext uri="{FF2B5EF4-FFF2-40B4-BE49-F238E27FC236}">
              <a16:creationId xmlns:a16="http://schemas.microsoft.com/office/drawing/2014/main" id="{00000000-0008-0000-0300-00005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0</xdr:col>
      <xdr:colOff>365759</xdr:colOff>
      <xdr:row>230</xdr:row>
      <xdr:rowOff>88636</xdr:rowOff>
    </xdr:from>
    <xdr:to>
      <xdr:col>10</xdr:col>
      <xdr:colOff>419100</xdr:colOff>
      <xdr:row>239</xdr:row>
      <xdr:rowOff>207381</xdr:rowOff>
    </xdr:to>
    <xdr:graphicFrame macro="">
      <xdr:nvGraphicFramePr>
        <xdr:cNvPr id="86" name="Chart 4">
          <a:extLst>
            <a:ext uri="{FF2B5EF4-FFF2-40B4-BE49-F238E27FC236}">
              <a16:creationId xmlns:a16="http://schemas.microsoft.com/office/drawing/2014/main" id="{00000000-0008-0000-0300-00005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0</xdr:col>
      <xdr:colOff>320568</xdr:colOff>
      <xdr:row>195</xdr:row>
      <xdr:rowOff>170922</xdr:rowOff>
    </xdr:from>
    <xdr:to>
      <xdr:col>10</xdr:col>
      <xdr:colOff>402166</xdr:colOff>
      <xdr:row>206</xdr:row>
      <xdr:rowOff>137583</xdr:rowOff>
    </xdr:to>
    <xdr:graphicFrame macro="">
      <xdr:nvGraphicFramePr>
        <xdr:cNvPr id="87" name="Chart 8">
          <a:extLst>
            <a:ext uri="{FF2B5EF4-FFF2-40B4-BE49-F238E27FC236}">
              <a16:creationId xmlns:a16="http://schemas.microsoft.com/office/drawing/2014/main" id="{00000000-0008-0000-03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0</xdr:col>
      <xdr:colOff>314325</xdr:colOff>
      <xdr:row>183</xdr:row>
      <xdr:rowOff>120119</xdr:rowOff>
    </xdr:from>
    <xdr:to>
      <xdr:col>10</xdr:col>
      <xdr:colOff>389467</xdr:colOff>
      <xdr:row>195</xdr:row>
      <xdr:rowOff>50800</xdr:rowOff>
    </xdr:to>
    <xdr:graphicFrame macro="">
      <xdr:nvGraphicFramePr>
        <xdr:cNvPr id="90" name="Chart 13">
          <a:extLst>
            <a:ext uri="{FF2B5EF4-FFF2-40B4-BE49-F238E27FC236}">
              <a16:creationId xmlns:a16="http://schemas.microsoft.com/office/drawing/2014/main" id="{00000000-0008-0000-0300-00005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1</xdr:col>
      <xdr:colOff>2116</xdr:colOff>
      <xdr:row>219</xdr:row>
      <xdr:rowOff>67732</xdr:rowOff>
    </xdr:from>
    <xdr:to>
      <xdr:col>10</xdr:col>
      <xdr:colOff>466724</xdr:colOff>
      <xdr:row>229</xdr:row>
      <xdr:rowOff>159805</xdr:rowOff>
    </xdr:to>
    <xdr:graphicFrame macro="">
      <xdr:nvGraphicFramePr>
        <xdr:cNvPr id="92" name="Chart 15">
          <a:extLst>
            <a:ext uri="{FF2B5EF4-FFF2-40B4-BE49-F238E27FC236}">
              <a16:creationId xmlns:a16="http://schemas.microsoft.com/office/drawing/2014/main" id="{00000000-0008-0000-0300-00005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0</xdr:col>
      <xdr:colOff>342900</xdr:colOff>
      <xdr:row>266</xdr:row>
      <xdr:rowOff>100806</xdr:rowOff>
    </xdr:from>
    <xdr:to>
      <xdr:col>10</xdr:col>
      <xdr:colOff>600075</xdr:colOff>
      <xdr:row>276</xdr:row>
      <xdr:rowOff>136525</xdr:rowOff>
    </xdr:to>
    <xdr:graphicFrame macro="">
      <xdr:nvGraphicFramePr>
        <xdr:cNvPr id="93" name="Chart 14">
          <a:extLst>
            <a:ext uri="{FF2B5EF4-FFF2-40B4-BE49-F238E27FC236}">
              <a16:creationId xmlns:a16="http://schemas.microsoft.com/office/drawing/2014/main" id="{00000000-0008-0000-0300-00005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0</xdr:col>
      <xdr:colOff>361950</xdr:colOff>
      <xdr:row>310</xdr:row>
      <xdr:rowOff>111125</xdr:rowOff>
    </xdr:from>
    <xdr:to>
      <xdr:col>10</xdr:col>
      <xdr:colOff>676275</xdr:colOff>
      <xdr:row>319</xdr:row>
      <xdr:rowOff>115096</xdr:rowOff>
    </xdr:to>
    <xdr:graphicFrame macro="">
      <xdr:nvGraphicFramePr>
        <xdr:cNvPr id="44" name="Chart 20">
          <a:extLst>
            <a:ext uri="{FF2B5EF4-FFF2-40B4-BE49-F238E27FC236}">
              <a16:creationId xmlns:a16="http://schemas.microsoft.com/office/drawing/2014/main" id="{00000000-0008-0000-0300-00002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0</xdr:col>
      <xdr:colOff>93132</xdr:colOff>
      <xdr:row>6</xdr:row>
      <xdr:rowOff>16932</xdr:rowOff>
    </xdr:from>
    <xdr:to>
      <xdr:col>12</xdr:col>
      <xdr:colOff>222249</xdr:colOff>
      <xdr:row>12</xdr:row>
      <xdr:rowOff>68580</xdr:rowOff>
    </xdr:to>
    <xdr:sp macro="" textlink="">
      <xdr:nvSpPr>
        <xdr:cNvPr id="34" name="TextBox 33">
          <a:extLst>
            <a:ext uri="{FF2B5EF4-FFF2-40B4-BE49-F238E27FC236}">
              <a16:creationId xmlns:a16="http://schemas.microsoft.com/office/drawing/2014/main" id="{00000000-0008-0000-0300-000022000000}"/>
            </a:ext>
          </a:extLst>
        </xdr:cNvPr>
        <xdr:cNvSpPr txBox="1"/>
      </xdr:nvSpPr>
      <xdr:spPr>
        <a:xfrm>
          <a:off x="93132" y="1773765"/>
          <a:ext cx="8511117" cy="1829648"/>
        </a:xfrm>
        <a:prstGeom prst="rect">
          <a:avLst/>
        </a:prstGeom>
        <a:ln>
          <a:solidFill>
            <a:schemeClr val="accent4">
              <a:lumMod val="75000"/>
            </a:schemeClr>
          </a:solidFill>
        </a:ln>
        <a:effectLst>
          <a:softEdge rad="12700"/>
        </a:effectLst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 b="1">
              <a:solidFill>
                <a:schemeClr val="tx1"/>
              </a:solidFill>
              <a:latin typeface="Calibri" pitchFamily="34" charset="0"/>
            </a:rPr>
            <a:t>What you can do with these charts:</a:t>
          </a:r>
        </a:p>
        <a:p>
          <a:r>
            <a:rPr lang="en-US" sz="1100">
              <a:solidFill>
                <a:schemeClr val="tx1"/>
              </a:solidFill>
              <a:latin typeface="Calibri" pitchFamily="34" charset="0"/>
            </a:rPr>
            <a:t>	</a:t>
          </a:r>
          <a:r>
            <a:rPr lang="en-US" sz="1100" baseline="0">
              <a:solidFill>
                <a:schemeClr val="tx1"/>
              </a:solidFill>
              <a:latin typeface="Calibri" pitchFamily="34" charset="0"/>
            </a:rPr>
            <a:t> </a:t>
          </a:r>
          <a:r>
            <a:rPr lang="en-US" sz="1100">
              <a:solidFill>
                <a:schemeClr val="tx1"/>
              </a:solidFill>
              <a:latin typeface="Calibri" pitchFamily="34" charset="0"/>
              <a:sym typeface="Symbol"/>
            </a:rPr>
            <a:t> </a:t>
          </a:r>
          <a:r>
            <a:rPr lang="en-US" sz="1100">
              <a:solidFill>
                <a:schemeClr val="tx1"/>
              </a:solidFill>
              <a:latin typeface="Calibri" pitchFamily="34" charset="0"/>
            </a:rPr>
            <a:t>Print all</a:t>
          </a:r>
          <a:r>
            <a:rPr lang="en-US" sz="1100" baseline="0">
              <a:solidFill>
                <a:schemeClr val="tx1"/>
              </a:solidFill>
              <a:latin typeface="Calibri" pitchFamily="34" charset="0"/>
            </a:rPr>
            <a:t> of them at once , or create a PDF</a:t>
          </a:r>
        </a:p>
        <a:p>
          <a:r>
            <a:rPr lang="en-US" sz="1100" baseline="0">
              <a:solidFill>
                <a:schemeClr val="tx1"/>
              </a:solidFill>
              <a:latin typeface="Calibri" pitchFamily="34" charset="0"/>
            </a:rPr>
            <a:t>	</a:t>
          </a:r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  <a:sym typeface="Symbol"/>
            </a:rPr>
            <a:t></a:t>
          </a:r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 </a:t>
          </a:r>
          <a:r>
            <a:rPr lang="en-US" sz="1100" baseline="0">
              <a:solidFill>
                <a:schemeClr val="tx1"/>
              </a:solidFill>
              <a:latin typeface="Calibri" pitchFamily="34" charset="0"/>
            </a:rPr>
            <a:t>Copy and paste individual charts into a document or presentation </a:t>
          </a:r>
          <a:br>
            <a:rPr lang="en-US" sz="1100" baseline="0">
              <a:solidFill>
                <a:schemeClr val="tx1"/>
              </a:solidFill>
              <a:latin typeface="Calibri" pitchFamily="34" charset="0"/>
            </a:rPr>
          </a:br>
          <a:r>
            <a:rPr lang="en-US" sz="1100" baseline="0">
              <a:solidFill>
                <a:schemeClr val="tx1"/>
              </a:solidFill>
              <a:latin typeface="Calibri" pitchFamily="34" charset="0"/>
            </a:rPr>
            <a:t>	      (when pasting charts, use Paste Special/Picture)</a:t>
          </a:r>
        </a:p>
        <a:p>
          <a:r>
            <a:rPr lang="en-US" sz="1100" baseline="0">
              <a:solidFill>
                <a:schemeClr val="tx1"/>
              </a:solidFill>
              <a:latin typeface="Calibri" pitchFamily="34" charset="0"/>
            </a:rPr>
            <a:t>	</a:t>
          </a:r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  <a:sym typeface="Symbol"/>
            </a:rPr>
            <a:t></a:t>
          </a:r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 </a:t>
          </a:r>
          <a:r>
            <a:rPr lang="en-US" sz="1100" baseline="0">
              <a:solidFill>
                <a:schemeClr val="tx1"/>
              </a:solidFill>
              <a:latin typeface="Calibri" pitchFamily="34" charset="0"/>
            </a:rPr>
            <a:t>Re-word titles, change colors or other characteristics, change the y-axis values </a:t>
          </a:r>
          <a:br>
            <a:rPr lang="en-US" sz="1100" baseline="0">
              <a:solidFill>
                <a:schemeClr val="tx1"/>
              </a:solidFill>
              <a:latin typeface="Calibri" pitchFamily="34" charset="0"/>
            </a:rPr>
          </a:br>
          <a:r>
            <a:rPr lang="en-US" sz="1100" baseline="0">
              <a:solidFill>
                <a:schemeClr val="tx1"/>
              </a:solidFill>
              <a:latin typeface="Calibri" pitchFamily="34" charset="0"/>
            </a:rPr>
            <a:t>	      (especially helpful where differences appear exaggerated)</a:t>
          </a:r>
        </a:p>
        <a:p>
          <a:r>
            <a:rPr lang="en-US" sz="1100" b="1" baseline="0">
              <a:solidFill>
                <a:schemeClr val="tx1"/>
              </a:solidFill>
              <a:latin typeface="Calibri" pitchFamily="34" charset="0"/>
            </a:rPr>
            <a:t>Source for this data:  </a:t>
          </a:r>
          <a:r>
            <a:rPr lang="en-US" sz="1100" baseline="0">
              <a:solidFill>
                <a:schemeClr val="tx1"/>
              </a:solidFill>
              <a:latin typeface="Calibri" pitchFamily="34" charset="0"/>
            </a:rPr>
            <a:t>Public Library Survey/NC Annual Statistical Report for Local Fiscal Year 2021</a:t>
          </a:r>
        </a:p>
        <a:p>
          <a:r>
            <a:rPr lang="en-US" sz="1100" b="1" baseline="0">
              <a:solidFill>
                <a:schemeClr val="tx1"/>
              </a:solidFill>
              <a:latin typeface="Calibri" pitchFamily="34" charset="0"/>
            </a:rPr>
            <a:t>NOTE: </a:t>
          </a:r>
          <a:r>
            <a:rPr lang="en-US" sz="1100" baseline="0">
              <a:solidFill>
                <a:schemeClr val="tx1"/>
              </a:solidFill>
              <a:latin typeface="Calibri" pitchFamily="34" charset="0"/>
            </a:rPr>
            <a:t>These charts are only as valid as the data that was provided by each library</a:t>
          </a:r>
        </a:p>
        <a:p>
          <a:endParaRPr lang="en-US" sz="1100" b="0" i="0" baseline="0">
            <a:solidFill>
              <a:schemeClr val="tx1"/>
            </a:solidFill>
            <a:latin typeface="Calibri" pitchFamily="34" charset="0"/>
            <a:ea typeface="+mn-ea"/>
            <a:cs typeface="+mn-cs"/>
          </a:endParaRPr>
        </a:p>
        <a:p>
          <a:r>
            <a:rPr lang="en-US" sz="1000" b="0" i="0">
              <a:solidFill>
                <a:schemeClr val="dk1"/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rPr>
            <a:t>For more</a:t>
          </a:r>
          <a:r>
            <a:rPr lang="en-US" sz="1000" b="0" i="0" baseline="0">
              <a:solidFill>
                <a:schemeClr val="dk1"/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rPr>
            <a:t> information contact: Amanda Johnson, Data Analysis &amp; Communications Consultant, State Library of NC, amanda.johnson@ncdcr.gov, 919.814.6795</a:t>
          </a:r>
          <a:endParaRPr lang="en-US" sz="1000" b="0" i="0">
            <a:solidFill>
              <a:schemeClr val="dk1"/>
            </a:solidFill>
            <a:latin typeface="Calibri" panose="020F0502020204030204" pitchFamily="34" charset="0"/>
            <a:ea typeface="+mn-ea"/>
            <a:cs typeface="Calibri" panose="020F0502020204030204" pitchFamily="34" charset="0"/>
          </a:endParaRPr>
        </a:p>
      </xdr:txBody>
    </xdr:sp>
    <xdr:clientData/>
  </xdr:twoCellAnchor>
  <xdr:twoCellAnchor>
    <xdr:from>
      <xdr:col>0</xdr:col>
      <xdr:colOff>304800</xdr:colOff>
      <xdr:row>208</xdr:row>
      <xdr:rowOff>16933</xdr:rowOff>
    </xdr:from>
    <xdr:to>
      <xdr:col>10</xdr:col>
      <xdr:colOff>461433</xdr:colOff>
      <xdr:row>218</xdr:row>
      <xdr:rowOff>140757</xdr:rowOff>
    </xdr:to>
    <xdr:graphicFrame macro="">
      <xdr:nvGraphicFramePr>
        <xdr:cNvPr id="32" name="Chart 13">
          <a:extLst>
            <a:ext uri="{FF2B5EF4-FFF2-40B4-BE49-F238E27FC236}">
              <a16:creationId xmlns:a16="http://schemas.microsoft.com/office/drawing/2014/main" id="{CF286165-667C-4939-A2FE-DBAC789A05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0</xdr:col>
      <xdr:colOff>333375</xdr:colOff>
      <xdr:row>320</xdr:row>
      <xdr:rowOff>14817</xdr:rowOff>
    </xdr:from>
    <xdr:to>
      <xdr:col>10</xdr:col>
      <xdr:colOff>714375</xdr:colOff>
      <xdr:row>330</xdr:row>
      <xdr:rowOff>37837</xdr:rowOff>
    </xdr:to>
    <xdr:graphicFrame macro="">
      <xdr:nvGraphicFramePr>
        <xdr:cNvPr id="33" name="Chart 20">
          <a:extLst>
            <a:ext uri="{FF2B5EF4-FFF2-40B4-BE49-F238E27FC236}">
              <a16:creationId xmlns:a16="http://schemas.microsoft.com/office/drawing/2014/main" id="{A5BD1FB4-7700-475C-8955-81CB6692EE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0</xdr:col>
      <xdr:colOff>370416</xdr:colOff>
      <xdr:row>241</xdr:row>
      <xdr:rowOff>31750</xdr:rowOff>
    </xdr:from>
    <xdr:to>
      <xdr:col>10</xdr:col>
      <xdr:colOff>482337</xdr:colOff>
      <xdr:row>251</xdr:row>
      <xdr:rowOff>170655</xdr:rowOff>
    </xdr:to>
    <xdr:graphicFrame macro="">
      <xdr:nvGraphicFramePr>
        <xdr:cNvPr id="35" name="Chart 14">
          <a:extLst>
            <a:ext uri="{FF2B5EF4-FFF2-40B4-BE49-F238E27FC236}">
              <a16:creationId xmlns:a16="http://schemas.microsoft.com/office/drawing/2014/main" id="{0175AA96-519F-469C-8466-843F695786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1</xdr:col>
      <xdr:colOff>9525</xdr:colOff>
      <xdr:row>252</xdr:row>
      <xdr:rowOff>50800</xdr:rowOff>
    </xdr:from>
    <xdr:to>
      <xdr:col>10</xdr:col>
      <xdr:colOff>542925</xdr:colOff>
      <xdr:row>262</xdr:row>
      <xdr:rowOff>209550</xdr:rowOff>
    </xdr:to>
    <xdr:graphicFrame macro="">
      <xdr:nvGraphicFramePr>
        <xdr:cNvPr id="36" name="Chart 14">
          <a:extLst>
            <a:ext uri="{FF2B5EF4-FFF2-40B4-BE49-F238E27FC236}">
              <a16:creationId xmlns:a16="http://schemas.microsoft.com/office/drawing/2014/main" id="{335D53EF-8298-4EC4-8948-E0ED2943BE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 editAs="oneCell">
    <xdr:from>
      <xdr:col>3</xdr:col>
      <xdr:colOff>267751</xdr:colOff>
      <xdr:row>0</xdr:row>
      <xdr:rowOff>95249</xdr:rowOff>
    </xdr:from>
    <xdr:to>
      <xdr:col>7</xdr:col>
      <xdr:colOff>558417</xdr:colOff>
      <xdr:row>4</xdr:row>
      <xdr:rowOff>85724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id="{1B78D921-24A8-4AFA-BAFC-33AAEA9619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10851" y="95249"/>
          <a:ext cx="3033866" cy="1057275"/>
        </a:xfrm>
        <a:prstGeom prst="rect">
          <a:avLst/>
        </a:prstGeom>
      </xdr:spPr>
    </xdr:pic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0.49898</cdr:x>
      <cdr:y>0.66234</cdr:y>
    </cdr:from>
    <cdr:to>
      <cdr:x>0.65282</cdr:x>
      <cdr:y>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965714" y="274373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0.07986</cdr:x>
      <cdr:y>0.91518</cdr:y>
    </cdr:from>
    <cdr:to>
      <cdr:x>0.93724</cdr:x>
      <cdr:y>1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501809" y="2537957"/>
          <a:ext cx="5387340" cy="23191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>
              <a:latin typeface="Calibri" pitchFamily="34" charset="0"/>
            </a:rPr>
            <a:t>NOTE: Reference Question counts are often not accurate and are not helpful for library-to-library comparisons.</a:t>
          </a:r>
        </a:p>
      </cdr:txBody>
    </cdr:sp>
  </cdr:relSizeAnchor>
</c:userShape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vdgreenwood" refreshedDate="42222.4615037037" createdVersion="3" refreshedVersion="3" minRefreshableVersion="3" recordCount="332" xr:uid="{00000000-000A-0000-FFFF-FFFF00000000}">
  <cacheSource type="worksheet">
    <worksheetSource ref="A1:G333" sheet="branch"/>
  </cacheSource>
  <cacheFields count="7">
    <cacheField name="ID" numFmtId="1">
      <sharedItems containsSemiMixedTypes="0" containsString="0" containsNumber="1" containsInteger="1" minValue="2" maxValue="649" count="74">
        <n v="10"/>
        <n v="100"/>
        <n v="109"/>
        <n v="117"/>
        <n v="12"/>
        <n v="120"/>
        <n v="125"/>
        <n v="139"/>
        <n v="140"/>
        <n v="143"/>
        <n v="150"/>
        <n v="153"/>
        <n v="154"/>
        <n v="16"/>
        <n v="162"/>
        <n v="180"/>
        <n v="181"/>
        <n v="189"/>
        <n v="190"/>
        <n v="198"/>
        <n v="2"/>
        <n v="20"/>
        <n v="212"/>
        <n v="213"/>
        <n v="215"/>
        <n v="228"/>
        <n v="231"/>
        <n v="236"/>
        <n v="238"/>
        <n v="240"/>
        <n v="254"/>
        <n v="256"/>
        <n v="262"/>
        <n v="264"/>
        <n v="266"/>
        <n v="269"/>
        <n v="28"/>
        <n v="283"/>
        <n v="284"/>
        <n v="295"/>
        <n v="298"/>
        <n v="30"/>
        <n v="300"/>
        <n v="311"/>
        <n v="315"/>
        <n v="316"/>
        <n v="324"/>
        <n v="329"/>
        <n v="334"/>
        <n v="343"/>
        <n v="344"/>
        <n v="357"/>
        <n v="384"/>
        <n v="398"/>
        <n v="400"/>
        <n v="408"/>
        <n v="41"/>
        <n v="432"/>
        <n v="452"/>
        <n v="49"/>
        <n v="5"/>
        <n v="50"/>
        <n v="502"/>
        <n v="51"/>
        <n v="517"/>
        <n v="552"/>
        <n v="56"/>
        <n v="64"/>
        <n v="649"/>
        <n v="86"/>
        <n v="88"/>
        <n v="9"/>
        <n v="91"/>
        <n v="94"/>
      </sharedItems>
    </cacheField>
    <cacheField name="Q237" numFmtId="0">
      <sharedItems/>
    </cacheField>
    <cacheField name="BranchID" numFmtId="0">
      <sharedItems/>
    </cacheField>
    <cacheField name="Q235" numFmtId="0">
      <sharedItems/>
    </cacheField>
    <cacheField name="Sqft:Q467" numFmtId="1">
      <sharedItems containsSemiMixedTypes="0" containsString="0" containsNumber="1" containsInteger="1" minValue="-3" maxValue="88000"/>
    </cacheField>
    <cacheField name="Hrs:Q480" numFmtId="1">
      <sharedItems containsSemiMixedTypes="0" containsString="0" containsNumber="1" containsInteger="1" minValue="-3" maxValue="4270"/>
    </cacheField>
    <cacheField name="Wks:Q479" numFmtId="1">
      <sharedItems containsSemiMixedTypes="0" containsString="0" containsNumber="1" containsInteger="1" minValue="-3" maxValue="5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vdgreenwood" refreshedDate="42965.419046527779" createdVersion="3" refreshedVersion="3" minRefreshableVersion="3" recordCount="341" xr:uid="{00000000-000A-0000-FFFF-FFFF01000000}">
  <cacheSource type="worksheet">
    <worksheetSource ref="A1:C342" sheet="BranchInfo"/>
  </cacheSource>
  <cacheFields count="3">
    <cacheField name="ID" numFmtId="1">
      <sharedItems containsMixedTypes="1" containsNumber="1" containsInteger="1" minValue="2" maxValue="649" count="76">
        <n v="10"/>
        <n v="100"/>
        <n v="109"/>
        <n v="117"/>
        <n v="12"/>
        <n v="120"/>
        <n v="125"/>
        <n v="139"/>
        <n v="140"/>
        <n v="143"/>
        <n v="150"/>
        <n v="153"/>
        <n v="154"/>
        <n v="16"/>
        <n v="162"/>
        <n v="180"/>
        <n v="181"/>
        <n v="189"/>
        <n v="190"/>
        <n v="198"/>
        <n v="2"/>
        <n v="20"/>
        <n v="212"/>
        <n v="213"/>
        <n v="215"/>
        <n v="228"/>
        <n v="231"/>
        <n v="236"/>
        <n v="238"/>
        <n v="240"/>
        <n v="254"/>
        <n v="256"/>
        <n v="262"/>
        <n v="264"/>
        <n v="266"/>
        <n v="269"/>
        <n v="28"/>
        <n v="283"/>
        <n v="284"/>
        <n v="295"/>
        <n v="298"/>
        <n v="30"/>
        <n v="300"/>
        <n v="311"/>
        <n v="315"/>
        <n v="316"/>
        <n v="324"/>
        <n v="329"/>
        <n v="334"/>
        <n v="343"/>
        <n v="344"/>
        <n v="357"/>
        <n v="384"/>
        <n v="398"/>
        <n v="400"/>
        <n v="408"/>
        <n v="41"/>
        <n v="432"/>
        <n v="452"/>
        <n v="49"/>
        <n v="5"/>
        <n v="50"/>
        <n v="502"/>
        <n v="51"/>
        <n v="517"/>
        <n v="552"/>
        <n v="56"/>
        <n v="627"/>
        <n v="64"/>
        <n v="649"/>
        <n v="86"/>
        <n v="88"/>
        <n v="9"/>
        <n v="91"/>
        <n v="94"/>
        <s v=""/>
      </sharedItems>
    </cacheField>
    <cacheField name="SqFt" numFmtId="0">
      <sharedItems containsBlank="1" containsMixedTypes="1" containsNumber="1" containsInteger="1" minValue="0" maxValue="93000"/>
    </cacheField>
    <cacheField name="Hours" numFmtId="3">
      <sharedItems containsMixedTypes="1" containsNumber="1" containsInteger="1" minValue="0" maxValue="427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32">
  <r>
    <x v="0"/>
    <s v="Chambers County Library"/>
    <s v="10.275"/>
    <s v="Branch"/>
    <n v="5529"/>
    <n v="2412"/>
    <n v="52"/>
  </r>
  <r>
    <x v="0"/>
    <s v="West Chambers County Branch Library"/>
    <s v="10.8"/>
    <s v="Branch"/>
    <n v="3900"/>
    <n v="2412"/>
    <n v="52"/>
  </r>
  <r>
    <x v="0"/>
    <s v="Juanita Hargraves Memorial Branch Library"/>
    <s v="10.9"/>
    <s v="Branch"/>
    <n v="3900"/>
    <n v="2412"/>
    <n v="52"/>
  </r>
  <r>
    <x v="1"/>
    <s v="Bookmobile 1"/>
    <s v="100.307"/>
    <s v="Bookmobile"/>
    <n v="0"/>
    <n v="610"/>
    <n v="52"/>
  </r>
  <r>
    <x v="1"/>
    <s v="Arcadia Park Branch Library"/>
    <s v="100.359"/>
    <s v="Branch"/>
    <n v="19000"/>
    <n v="2829"/>
    <n v="52"/>
  </r>
  <r>
    <x v="1"/>
    <s v="Grauwyler Park Branch Library"/>
    <s v="100.368"/>
    <s v="Branch"/>
    <n v="12500"/>
    <n v="2040"/>
    <n v="52"/>
  </r>
  <r>
    <x v="1"/>
    <s v="Timberglen Branch Library"/>
    <s v="100.369"/>
    <s v="Branch"/>
    <n v="18500"/>
    <n v="2040"/>
    <n v="52"/>
  </r>
  <r>
    <x v="1"/>
    <s v="Bookmarks @ NorthPark Center"/>
    <s v="100.373"/>
    <s v="Branch"/>
    <n v="1993"/>
    <n v="2040"/>
    <n v="52"/>
  </r>
  <r>
    <x v="1"/>
    <s v="Bookmobile 2"/>
    <s v="100.374"/>
    <s v="Bookmobile"/>
    <n v="0"/>
    <n v="610"/>
    <n v="52"/>
  </r>
  <r>
    <x v="1"/>
    <s v="Prairie Creek Branch Library"/>
    <s v="100.389"/>
    <s v="Branch"/>
    <n v="18500"/>
    <n v="2040"/>
    <n v="52"/>
  </r>
  <r>
    <x v="1"/>
    <s v="White Rock Hills Branch Library"/>
    <s v="100.401"/>
    <s v="Branch"/>
    <n v="18000"/>
    <n v="2040"/>
    <n v="52"/>
  </r>
  <r>
    <x v="1"/>
    <s v="Audelia Road Branch Library"/>
    <s v="100.74"/>
    <s v="Branch"/>
    <n v="17350"/>
    <n v="2040"/>
    <n v="52"/>
  </r>
  <r>
    <x v="1"/>
    <s v="Lochwood Branch Library"/>
    <s v="100.75"/>
    <s v="Branch"/>
    <n v="19500"/>
    <n v="2040"/>
    <n v="52"/>
  </r>
  <r>
    <x v="1"/>
    <s v="Forest Green Branch Library"/>
    <s v="100.76"/>
    <s v="Branch"/>
    <n v="9030"/>
    <n v="2040"/>
    <n v="52"/>
  </r>
  <r>
    <x v="1"/>
    <s v="Fretz Park Branch Library"/>
    <s v="100.77"/>
    <s v="Branch"/>
    <n v="14707"/>
    <n v="1400"/>
    <n v="36"/>
  </r>
  <r>
    <x v="1"/>
    <s v="Hampton-Illinois Branch Library"/>
    <s v="100.78"/>
    <s v="Branch"/>
    <n v="23450"/>
    <n v="2829"/>
    <n v="52"/>
  </r>
  <r>
    <x v="1"/>
    <s v="Highland Hills Branch Library"/>
    <s v="100.79"/>
    <s v="Branch"/>
    <n v="19500"/>
    <n v="2040"/>
    <n v="49"/>
  </r>
  <r>
    <x v="1"/>
    <s v="Lakewood Branch Library"/>
    <s v="100.80"/>
    <s v="Branch"/>
    <n v="10600"/>
    <n v="2040"/>
    <n v="52"/>
  </r>
  <r>
    <x v="1"/>
    <s v="Paul Laurence Dunbar Lancaster-Kiest Branch Library"/>
    <s v="100.81"/>
    <s v="Branch"/>
    <n v="18500"/>
    <n v="2040"/>
    <n v="52"/>
  </r>
  <r>
    <x v="1"/>
    <s v="Martin Luther King Jr Library/LC"/>
    <s v="100.82"/>
    <s v="Branch"/>
    <n v="13532"/>
    <n v="2040"/>
    <n v="52"/>
  </r>
  <r>
    <x v="1"/>
    <s v="North Oak Cliff Branch Library"/>
    <s v="100.83"/>
    <s v="Branch"/>
    <n v="15562"/>
    <n v="2040"/>
    <n v="52"/>
  </r>
  <r>
    <x v="1"/>
    <s v="Oak Lawn Branch Library"/>
    <s v="100.84"/>
    <s v="Branch"/>
    <n v="12900"/>
    <n v="2040"/>
    <n v="52"/>
  </r>
  <r>
    <x v="1"/>
    <s v="Park Forest Branch Library"/>
    <s v="100.85"/>
    <s v="Branch"/>
    <n v="10984"/>
    <n v="2040"/>
    <n v="52"/>
  </r>
  <r>
    <x v="1"/>
    <s v="Pleasant Grove Branch Library"/>
    <s v="100.86"/>
    <s v="Branch"/>
    <n v="19500"/>
    <n v="2040"/>
    <n v="52"/>
  </r>
  <r>
    <x v="1"/>
    <s v="Polk-Wisdom Branch Library"/>
    <s v="100.87"/>
    <s v="Branch"/>
    <n v="16800"/>
    <n v="2040"/>
    <n v="52"/>
  </r>
  <r>
    <x v="1"/>
    <s v="Preston Royal Branch Library"/>
    <s v="100.88"/>
    <s v="Branch"/>
    <n v="12400"/>
    <n v="2040"/>
    <n v="52"/>
  </r>
  <r>
    <x v="1"/>
    <s v="Renner Frankford Branch Library"/>
    <s v="100.89"/>
    <s v="Branch"/>
    <n v="11193"/>
    <n v="2040"/>
    <n v="52"/>
  </r>
  <r>
    <x v="1"/>
    <s v="Skyline Branch Library"/>
    <s v="100.90"/>
    <s v="Branch"/>
    <n v="12037"/>
    <n v="2040"/>
    <n v="52"/>
  </r>
  <r>
    <x v="1"/>
    <s v="Bachman Lake Branch Library"/>
    <s v="100.91"/>
    <s v="Branch"/>
    <n v="20019"/>
    <n v="2040"/>
    <n v="52"/>
  </r>
  <r>
    <x v="1"/>
    <s v="Dallas West Branch Library"/>
    <s v="100.92"/>
    <s v="Branch"/>
    <n v="16605"/>
    <n v="2040"/>
    <n v="52"/>
  </r>
  <r>
    <x v="1"/>
    <s v="Mountain Creek Branch Library"/>
    <s v="100.93"/>
    <s v="Branch"/>
    <n v="12729"/>
    <n v="2040"/>
    <n v="52"/>
  </r>
  <r>
    <x v="1"/>
    <s v="Kleberg-Rylie Branch Library"/>
    <s v="100.94"/>
    <s v="Branch"/>
    <n v="10700"/>
    <n v="2040"/>
    <n v="52"/>
  </r>
  <r>
    <x v="1"/>
    <s v="Skillman Southwestern Branch Library"/>
    <s v="100.95"/>
    <s v="Branch"/>
    <n v="12025"/>
    <n v="2040"/>
    <n v="52"/>
  </r>
  <r>
    <x v="2"/>
    <s v="Denton Public Library South Branch"/>
    <s v="109.276"/>
    <s v="Branch"/>
    <n v="21450"/>
    <n v="3046"/>
    <n v="52"/>
  </r>
  <r>
    <x v="2"/>
    <s v="Denton Public Library North Branch"/>
    <s v="109.335"/>
    <s v="Branch"/>
    <n v="33504"/>
    <n v="3338"/>
    <n v="52"/>
  </r>
  <r>
    <x v="3"/>
    <s v="Cactus Branch Library"/>
    <s v="117.300"/>
    <s v="Branch"/>
    <n v="2400"/>
    <n v="1750"/>
    <n v="52"/>
  </r>
  <r>
    <x v="3"/>
    <s v="Britain Memorial Library"/>
    <s v="117.96"/>
    <s v="Branch"/>
    <n v="2300"/>
    <n v="1821"/>
    <n v="52"/>
  </r>
  <r>
    <x v="4"/>
    <s v="Alvin Library"/>
    <s v="12.10"/>
    <s v="Branch"/>
    <n v="18500"/>
    <n v="1896"/>
    <n v="52"/>
  </r>
  <r>
    <x v="4"/>
    <s v="Angleton Library"/>
    <s v="12.11"/>
    <s v="Branch"/>
    <n v="22000"/>
    <n v="2144"/>
    <n v="52"/>
  </r>
  <r>
    <x v="4"/>
    <s v="Brazoria Library"/>
    <s v="12.13"/>
    <s v="Branch"/>
    <n v="12035"/>
    <n v="1896"/>
    <n v="52"/>
  </r>
  <r>
    <x v="4"/>
    <s v="Clute Library"/>
    <s v="12.14"/>
    <s v="Branch"/>
    <n v="8930"/>
    <n v="2106"/>
    <n v="52"/>
  </r>
  <r>
    <x v="4"/>
    <s v="Freeport Library"/>
    <s v="12.15"/>
    <s v="Branch"/>
    <n v="9750"/>
    <n v="2106"/>
    <n v="52"/>
  </r>
  <r>
    <x v="4"/>
    <s v="Lake Jackson Library"/>
    <s v="12.16"/>
    <s v="Branch"/>
    <n v="21000"/>
    <n v="2638"/>
    <n v="52"/>
  </r>
  <r>
    <x v="4"/>
    <s v="Manvel Library"/>
    <s v="12.17"/>
    <s v="Branch"/>
    <n v="3000"/>
    <n v="2498"/>
    <n v="52"/>
  </r>
  <r>
    <x v="4"/>
    <s v="Pearland Library"/>
    <s v="12.18"/>
    <s v="Branch"/>
    <n v="20000"/>
    <n v="2898"/>
    <n v="52"/>
  </r>
  <r>
    <x v="4"/>
    <s v="Sweeny Library"/>
    <s v="12.19"/>
    <s v="Branch"/>
    <n v="4000"/>
    <n v="2122"/>
    <n v="52"/>
  </r>
  <r>
    <x v="4"/>
    <s v="West Columbia Branch Library"/>
    <s v="12.20"/>
    <s v="Branch"/>
    <n v="5000"/>
    <n v="2107"/>
    <n v="52"/>
  </r>
  <r>
    <x v="4"/>
    <s v="Danbury Library"/>
    <s v="12.314"/>
    <s v="Branch"/>
    <n v="1600"/>
    <n v="1829"/>
    <n v="52"/>
  </r>
  <r>
    <x v="4"/>
    <s v="Pearland Westside Library"/>
    <s v="12.404"/>
    <s v="Branch"/>
    <n v="10000"/>
    <n v="2295"/>
    <n v="52"/>
  </r>
  <r>
    <x v="5"/>
    <s v="Eagle Pass Public Children`s Library"/>
    <s v="120.290"/>
    <s v="Branch"/>
    <n v="4034"/>
    <n v="2376"/>
    <n v="52"/>
  </r>
  <r>
    <x v="6"/>
    <s v="Clardy Fox Branch Library"/>
    <s v="125.100"/>
    <s v="Branch"/>
    <n v="15126"/>
    <n v="2496"/>
    <n v="52"/>
  </r>
  <r>
    <x v="6"/>
    <s v="Judge Edward S Marquez Mission Valley Branch"/>
    <s v="125.101"/>
    <s v="Branch"/>
    <n v="15000"/>
    <n v="2496"/>
    <n v="52"/>
  </r>
  <r>
    <x v="6"/>
    <s v="Memorial Park Branch Library"/>
    <s v="125.102"/>
    <s v="Branch"/>
    <n v="9700"/>
    <n v="2496"/>
    <n v="52"/>
  </r>
  <r>
    <x v="6"/>
    <s v="Westside Branch Library"/>
    <s v="125.104"/>
    <s v="Branch"/>
    <n v="8107"/>
    <n v="2496"/>
    <n v="52"/>
  </r>
  <r>
    <x v="6"/>
    <s v="Ysleta Branch Library"/>
    <s v="125.105"/>
    <s v="Branch"/>
    <n v="15500"/>
    <n v="2496"/>
    <n v="52"/>
  </r>
  <r>
    <x v="6"/>
    <s v="Bookmobile - El Paso Public Library"/>
    <s v="125.106"/>
    <s v="Bookmobile"/>
    <n v="312"/>
    <n v="891"/>
    <n v="52"/>
  </r>
  <r>
    <x v="6"/>
    <s v="Irving Schwartz Branch Library"/>
    <s v="125.107"/>
    <s v="Branch"/>
    <n v="10000"/>
    <n v="2496"/>
    <n v="52"/>
  </r>
  <r>
    <x v="6"/>
    <s v="EPCC NW Campus Community Library"/>
    <s v="125.336"/>
    <s v="Branch"/>
    <n v="10358"/>
    <n v="3402"/>
    <n v="49"/>
  </r>
  <r>
    <x v="6"/>
    <s v="Dorris Van Doren Regional Branch Library"/>
    <s v="125.358"/>
    <s v="Branch"/>
    <n v="22000"/>
    <n v="2496"/>
    <n v="52"/>
  </r>
  <r>
    <x v="6"/>
    <s v="Esperanza Acosta Moreno Regional Branch Library"/>
    <s v="125.370"/>
    <s v="Branch"/>
    <n v="24665"/>
    <n v="2496"/>
    <n v="52"/>
  </r>
  <r>
    <x v="6"/>
    <s v="Jose Cisneros Cielo Vista Branch Library"/>
    <s v="125.398"/>
    <s v="Branch"/>
    <n v="9200"/>
    <n v="2496"/>
    <n v="52"/>
  </r>
  <r>
    <x v="6"/>
    <s v="Armijo Branch Library"/>
    <s v="125.97"/>
    <s v="Branch"/>
    <n v="12352"/>
    <n v="2496"/>
    <n v="52"/>
  </r>
  <r>
    <x v="6"/>
    <s v="Richard Burges Regional Branch Library"/>
    <s v="125.98"/>
    <s v="Branch"/>
    <n v="20200"/>
    <n v="2496"/>
    <n v="52"/>
  </r>
  <r>
    <x v="7"/>
    <s v="Sarah Bain Chandler Library"/>
    <s v="139.409"/>
    <s v="Branch"/>
    <n v="2100"/>
    <n v="2080"/>
    <n v="52"/>
  </r>
  <r>
    <x v="7"/>
    <s v="Poth Branch Library"/>
    <s v="139.410"/>
    <s v="Branch"/>
    <n v="103"/>
    <n v="1040"/>
    <n v="52"/>
  </r>
  <r>
    <x v="8"/>
    <s v="Floyd County Branch Library"/>
    <s v="140.110"/>
    <s v="Branch"/>
    <n v="2950"/>
    <n v="988"/>
    <n v="52"/>
  </r>
  <r>
    <x v="9"/>
    <s v="East Berry Branch Library"/>
    <s v="143.111"/>
    <s v="Branch"/>
    <n v="7527"/>
    <n v="2032"/>
    <n v="52"/>
  </r>
  <r>
    <x v="9"/>
    <s v="eSkills Library"/>
    <s v="143.112"/>
    <s v="Branch"/>
    <n v="5045"/>
    <n v="2016"/>
    <n v="52"/>
  </r>
  <r>
    <x v="9"/>
    <s v="Northside Branch Library"/>
    <s v="143.113"/>
    <s v="Branch"/>
    <n v="7072"/>
    <n v="2016"/>
    <n v="52"/>
  </r>
  <r>
    <x v="9"/>
    <s v="Ridglea Branch Library"/>
    <s v="143.114"/>
    <s v="Branch"/>
    <n v="9585"/>
    <n v="2016"/>
    <n v="43"/>
  </r>
  <r>
    <x v="9"/>
    <s v="Riverside Branch Library"/>
    <s v="143.115"/>
    <s v="Branch"/>
    <n v="6313"/>
    <n v="2016"/>
    <n v="52"/>
  </r>
  <r>
    <x v="9"/>
    <s v="Seminary South Branch Library"/>
    <s v="143.116"/>
    <s v="Branch"/>
    <n v="6834"/>
    <n v="2032"/>
    <n v="52"/>
  </r>
  <r>
    <x v="9"/>
    <s v="Shamblee Branch Library"/>
    <s v="143.117"/>
    <s v="Branch"/>
    <n v="13445"/>
    <n v="2016"/>
    <n v="52"/>
  </r>
  <r>
    <x v="9"/>
    <s v="Southwest Regional Branch Library"/>
    <s v="143.118"/>
    <s v="Branch"/>
    <n v="25661"/>
    <n v="2032"/>
    <n v="52"/>
  </r>
  <r>
    <x v="9"/>
    <s v="Wedgwood Branch Library"/>
    <s v="143.119"/>
    <s v="Branch"/>
    <n v="4962"/>
    <n v="2016"/>
    <n v="52"/>
  </r>
  <r>
    <x v="9"/>
    <s v="Diamond Hill/Jarvis Branch Library"/>
    <s v="143.120"/>
    <s v="Branch"/>
    <n v="8121"/>
    <n v="2032"/>
    <n v="52"/>
  </r>
  <r>
    <x v="9"/>
    <s v="COOL (Cavile Outreach Opportunity Library)"/>
    <s v="143.277"/>
    <s v="Branch"/>
    <n v="915"/>
    <n v="2286"/>
    <n v="52"/>
  </r>
  <r>
    <x v="9"/>
    <s v="East Regional Branch Library"/>
    <s v="143.278"/>
    <s v="Branch"/>
    <n v="23990"/>
    <n v="2032"/>
    <n v="52"/>
  </r>
  <r>
    <x v="9"/>
    <s v="BOLD Butler Housing Community Library"/>
    <s v="143.297"/>
    <s v="Branch"/>
    <n v="1400"/>
    <n v="2286"/>
    <n v="52"/>
  </r>
  <r>
    <x v="9"/>
    <s v="Summerglen Branch Library"/>
    <s v="143.309"/>
    <s v="Branch"/>
    <n v="11068"/>
    <n v="2032"/>
    <n v="52"/>
  </r>
  <r>
    <x v="9"/>
    <s v="Northwest Branch Library"/>
    <s v="143.390"/>
    <s v="Branch"/>
    <n v="13038"/>
    <n v="2016"/>
    <n v="52"/>
  </r>
  <r>
    <x v="10"/>
    <s v="Walnut Creek Branch Library"/>
    <s v="150.122"/>
    <s v="Branch"/>
    <n v="8000"/>
    <n v="2064"/>
    <n v="52"/>
  </r>
  <r>
    <x v="10"/>
    <s v="North Garland Branch Library"/>
    <s v="150.124"/>
    <s v="Branch"/>
    <n v="16500"/>
    <n v="2064"/>
    <n v="52"/>
  </r>
  <r>
    <x v="10"/>
    <s v="South Garland Branch Library"/>
    <s v="150.317"/>
    <s v="Branch"/>
    <n v="36920"/>
    <n v="2064"/>
    <n v="52"/>
  </r>
  <r>
    <x v="11"/>
    <s v="Live Oak County Branch Library"/>
    <s v="153.125"/>
    <s v="Branch"/>
    <n v="2064"/>
    <n v="1651"/>
    <n v="52"/>
  </r>
  <r>
    <x v="12"/>
    <s v="WOW!mobile"/>
    <s v="154.402"/>
    <s v="Bookmobile"/>
    <n v="135"/>
    <n v="624"/>
    <n v="49"/>
  </r>
  <r>
    <x v="13"/>
    <s v="East Arlington Branch Library"/>
    <s v="16.21"/>
    <s v="Branch"/>
    <n v="10000"/>
    <n v="2808"/>
    <n v="52"/>
  </r>
  <r>
    <x v="13"/>
    <s v="Northeast Branch Library"/>
    <s v="16.22"/>
    <s v="Branch"/>
    <n v="10000"/>
    <n v="2808"/>
    <n v="52"/>
  </r>
  <r>
    <x v="13"/>
    <s v="Woodland West Branch Library"/>
    <s v="16.23"/>
    <s v="Branch"/>
    <n v="8100"/>
    <n v="2808"/>
    <n v="52"/>
  </r>
  <r>
    <x v="13"/>
    <s v="Lake Arlington Branch Library"/>
    <s v="16.24"/>
    <s v="Branch"/>
    <n v="10000"/>
    <n v="2808"/>
    <n v="52"/>
  </r>
  <r>
    <x v="13"/>
    <s v="Southeast Branch Library"/>
    <s v="16.333"/>
    <s v="Branch"/>
    <n v="15000"/>
    <n v="2840"/>
    <n v="52"/>
  </r>
  <r>
    <x v="13"/>
    <s v="Southwest Branch Library"/>
    <s v="16.372"/>
    <s v="Branch"/>
    <n v="11200"/>
    <n v="2808"/>
    <n v="52"/>
  </r>
  <r>
    <x v="14"/>
    <s v="Betty Warmack Branch Library"/>
    <s v="162.323"/>
    <s v="Branch"/>
    <n v="10000"/>
    <n v="2316"/>
    <n v="52"/>
  </r>
  <r>
    <x v="14"/>
    <s v="Tony Shotwell Life Center Branch Library"/>
    <s v="162.365"/>
    <s v="Branch"/>
    <n v="2760"/>
    <n v="2028"/>
    <n v="52"/>
  </r>
  <r>
    <x v="15"/>
    <s v="Waller County Library Brookshire-Pattison"/>
    <s v="180.127"/>
    <s v="Branch"/>
    <n v="4400"/>
    <n v="2288"/>
    <n v="52"/>
  </r>
  <r>
    <x v="16"/>
    <s v="Morrow Branch Library"/>
    <s v="181.128"/>
    <s v="Branch"/>
    <n v="1910"/>
    <n v="2158"/>
    <n v="52"/>
  </r>
  <r>
    <x v="16"/>
    <s v="McMillan Memorial Library"/>
    <s v="181.129"/>
    <s v="Branch"/>
    <n v="11383"/>
    <n v="2158"/>
    <n v="52"/>
  </r>
  <r>
    <x v="16"/>
    <s v="Tatum Public Library"/>
    <s v="181.130"/>
    <s v="Branch"/>
    <n v="3206"/>
    <n v="2158"/>
    <n v="52"/>
  </r>
  <r>
    <x v="16"/>
    <s v="Rusk County Library"/>
    <s v="181.279"/>
    <s v="Branch"/>
    <n v="20774"/>
    <n v="2483"/>
    <n v="52"/>
  </r>
  <r>
    <x v="17"/>
    <s v="Shepard-Acres Homes Branch Library"/>
    <s v="189.131"/>
    <s v="Branch"/>
    <n v="8720"/>
    <n v="1976"/>
    <n v="50"/>
  </r>
  <r>
    <x v="17"/>
    <s v="Henington-Alief Regional Library"/>
    <s v="189.132"/>
    <s v="Branch"/>
    <n v="19620"/>
    <n v="2129"/>
    <n v="50"/>
  </r>
  <r>
    <x v="17"/>
    <s v="Bracewell Branch Library"/>
    <s v="189.133"/>
    <s v="Branch"/>
    <n v="12000"/>
    <n v="1763"/>
    <n v="50"/>
  </r>
  <r>
    <x v="17"/>
    <s v="Carnegie Branch Library"/>
    <s v="189.134"/>
    <s v="Branch"/>
    <n v="19620"/>
    <n v="2855"/>
    <n v="50"/>
  </r>
  <r>
    <x v="17"/>
    <s v="Collier Regional Library"/>
    <s v="189.135"/>
    <s v="Branch"/>
    <n v="17440"/>
    <n v="2021"/>
    <n v="50"/>
  </r>
  <r>
    <x v="17"/>
    <s v="Clayton Library Ctr for Gen Res"/>
    <s v="189.136"/>
    <s v="Branch"/>
    <n v="34936"/>
    <n v="2017"/>
    <n v="50"/>
  </r>
  <r>
    <x v="17"/>
    <s v="Dixon Branch Library"/>
    <s v="189.137"/>
    <s v="Branch"/>
    <n v="3270"/>
    <n v="1767"/>
    <n v="50"/>
  </r>
  <r>
    <x v="17"/>
    <s v="Fifth Ward Branch Library"/>
    <s v="189.138"/>
    <s v="Branch"/>
    <n v="551"/>
    <n v="945"/>
    <n v="50"/>
  </r>
  <r>
    <x v="17"/>
    <s v="Flores Branch Library"/>
    <s v="189.139"/>
    <s v="Branch"/>
    <n v="9265"/>
    <n v="1740"/>
    <n v="50"/>
  </r>
  <r>
    <x v="17"/>
    <s v="Frank Branch Library"/>
    <s v="189.140"/>
    <s v="Branch"/>
    <n v="9040"/>
    <n v="1516"/>
    <n v="50"/>
  </r>
  <r>
    <x v="17"/>
    <s v="Heights Branch Library"/>
    <s v="189.141"/>
    <s v="Branch"/>
    <n v="15260"/>
    <n v="2157"/>
    <n v="50"/>
  </r>
  <r>
    <x v="17"/>
    <s v="Hillendahl Branch Library"/>
    <s v="189.142"/>
    <s v="Branch"/>
    <n v="10900"/>
    <n v="1375"/>
    <n v="50"/>
  </r>
  <r>
    <x v="17"/>
    <s v="Johnson Branch Library"/>
    <s v="189.143"/>
    <s v="Branch"/>
    <n v="12190"/>
    <n v="1752"/>
    <n v="50"/>
  </r>
  <r>
    <x v="17"/>
    <s v="Jungman Branch Library"/>
    <s v="189.144"/>
    <s v="Branch"/>
    <n v="18530"/>
    <n v="1635"/>
    <n v="50"/>
  </r>
  <r>
    <x v="17"/>
    <s v="McCrane-Kashmere Gardens Branch Library"/>
    <s v="189.145"/>
    <s v="Branch"/>
    <n v="11178"/>
    <n v="1718"/>
    <n v="50"/>
  </r>
  <r>
    <x v="17"/>
    <s v="Kendall Branch Library"/>
    <s v="189.146"/>
    <s v="Branch"/>
    <n v="19000"/>
    <n v="2160"/>
    <n v="50"/>
  </r>
  <r>
    <x v="17"/>
    <s v="Lakewood Branch Library"/>
    <s v="189.147"/>
    <s v="Branch"/>
    <n v="4524"/>
    <n v="1861"/>
    <n v="50"/>
  </r>
  <r>
    <x v="17"/>
    <s v="Looscan Branch Library"/>
    <s v="189.148"/>
    <s v="Branch"/>
    <n v="20000"/>
    <n v="2031"/>
    <n v="28"/>
  </r>
  <r>
    <x v="17"/>
    <s v="Mancuso Branch Library"/>
    <s v="189.149"/>
    <s v="Branch"/>
    <n v="8930"/>
    <n v="2056"/>
    <n v="50"/>
  </r>
  <r>
    <x v="17"/>
    <s v="Melcher Branch Library"/>
    <s v="189.150"/>
    <s v="Branch"/>
    <n v="4578"/>
    <n v="1762"/>
    <n v="50"/>
  </r>
  <r>
    <x v="17"/>
    <s v="Meyer Branch Library"/>
    <s v="189.151"/>
    <s v="Branch"/>
    <n v="8339"/>
    <n v="1744"/>
    <n v="50"/>
  </r>
  <r>
    <x v="17"/>
    <s v="Moody Branch Library"/>
    <s v="189.152"/>
    <s v="Branch"/>
    <n v="6213"/>
    <n v="2033"/>
    <n v="50"/>
  </r>
  <r>
    <x v="17"/>
    <s v="Oak Forest Branch Library"/>
    <s v="189.153"/>
    <s v="Branch"/>
    <n v="12116"/>
    <n v="1794"/>
    <n v="50"/>
  </r>
  <r>
    <x v="17"/>
    <s v="Park Place Regional Library"/>
    <s v="189.154"/>
    <s v="Branch"/>
    <n v="16000"/>
    <n v="2146"/>
    <n v="50"/>
  </r>
  <r>
    <x v="17"/>
    <s v="Pleasantville Branch Library"/>
    <s v="189.155"/>
    <s v="Branch"/>
    <n v="4360"/>
    <n v="2046"/>
    <n v="50"/>
  </r>
  <r>
    <x v="17"/>
    <s v="Ring Branch Library"/>
    <s v="189.156"/>
    <s v="Branch"/>
    <n v="8391"/>
    <n v="1883"/>
    <n v="50"/>
  </r>
  <r>
    <x v="17"/>
    <s v="Scenic Woods Regional Library"/>
    <s v="189.157"/>
    <s v="Branch"/>
    <n v="12252"/>
    <n v="2071"/>
    <n v="50"/>
  </r>
  <r>
    <x v="17"/>
    <s v="Smith Branch Library"/>
    <s v="189.158"/>
    <s v="Branch"/>
    <n v="11445"/>
    <n v="2045"/>
    <n v="50"/>
  </r>
  <r>
    <x v="17"/>
    <s v="Stanaker Branch Library"/>
    <s v="189.159"/>
    <s v="Branch"/>
    <n v="9045"/>
    <n v="2012"/>
    <n v="31"/>
  </r>
  <r>
    <x v="17"/>
    <s v="Tuttle Branch Library"/>
    <s v="189.160"/>
    <s v="Branch"/>
    <n v="7722"/>
    <n v="1768"/>
    <n v="50"/>
  </r>
  <r>
    <x v="17"/>
    <s v="HPL Express Vinson"/>
    <s v="189.161"/>
    <s v="Branch"/>
    <n v="19864"/>
    <n v="1767"/>
    <n v="50"/>
  </r>
  <r>
    <x v="17"/>
    <s v="Walter Branch Library"/>
    <s v="189.162"/>
    <s v="Branch"/>
    <n v="10400"/>
    <n v="1760"/>
    <n v="50"/>
  </r>
  <r>
    <x v="17"/>
    <s v="Young Branch Library"/>
    <s v="189.163"/>
    <s v="Branch"/>
    <n v="7922"/>
    <n v="1768"/>
    <n v="50"/>
  </r>
  <r>
    <x v="17"/>
    <s v="Freed-Montrose Branch Library"/>
    <s v="189.164"/>
    <s v="Branch"/>
    <n v="16459"/>
    <n v="1758"/>
    <n v="50"/>
  </r>
  <r>
    <x v="17"/>
    <s v="Robinson-Westchase Branch Library"/>
    <s v="189.165"/>
    <s v="Branch"/>
    <n v="18094"/>
    <n v="2018"/>
    <n v="50"/>
  </r>
  <r>
    <x v="17"/>
    <s v="Stimley-Blue Ridge Branch Library"/>
    <s v="189.303"/>
    <s v="Branch"/>
    <n v="14660"/>
    <n v="2053"/>
    <n v="50"/>
  </r>
  <r>
    <x v="17"/>
    <s v="McGovern-Stella Link Branch Library"/>
    <s v="189.360"/>
    <s v="Branch"/>
    <n v="20393"/>
    <n v="2154"/>
    <n v="50"/>
  </r>
  <r>
    <x v="17"/>
    <s v="HPL Express Discovery Green"/>
    <s v="189.377"/>
    <s v="Branch"/>
    <n v="450"/>
    <n v="695"/>
    <n v="50"/>
  </r>
  <r>
    <x v="17"/>
    <s v="HPL Express Southwest"/>
    <s v="189.378"/>
    <s v="Branch"/>
    <n v="3636"/>
    <n v="2022"/>
    <n v="50"/>
  </r>
  <r>
    <x v="17"/>
    <s v="African American Library"/>
    <s v="189.391"/>
    <s v="Branch"/>
    <n v="26000"/>
    <n v="1956"/>
    <n v="50"/>
  </r>
  <r>
    <x v="17"/>
    <s v="Houston Metropolitan Research Center"/>
    <s v="189.392"/>
    <s v="Branch"/>
    <n v="88000"/>
    <n v="2049"/>
    <n v="50"/>
  </r>
  <r>
    <x v="17"/>
    <s v="HPL Mobile Express"/>
    <s v="189.393"/>
    <s v="Bookmobile"/>
    <n v="-3"/>
    <n v="-3"/>
    <n v="-3"/>
  </r>
  <r>
    <x v="18"/>
    <s v="Crosby Branch Library"/>
    <s v="190.166"/>
    <s v="Branch"/>
    <n v="10500"/>
    <n v="1799"/>
    <n v="52"/>
  </r>
  <r>
    <x v="18"/>
    <s v="Northwest Branch Library"/>
    <s v="190.167"/>
    <s v="Branch"/>
    <n v="12000"/>
    <n v="1909"/>
    <n v="52"/>
  </r>
  <r>
    <x v="18"/>
    <s v="Galena Park Branch Library"/>
    <s v="190.168"/>
    <s v="Branch"/>
    <n v="6922"/>
    <n v="1140"/>
    <n v="33"/>
  </r>
  <r>
    <x v="18"/>
    <s v="Stratford Branch Library"/>
    <s v="190.169"/>
    <s v="Branch"/>
    <n v="2700"/>
    <n v="2054"/>
    <n v="52"/>
  </r>
  <r>
    <x v="18"/>
    <s v="Aldine Branch Library"/>
    <s v="190.170"/>
    <s v="Branch"/>
    <n v="13268"/>
    <n v="2209"/>
    <n v="52"/>
  </r>
  <r>
    <x v="18"/>
    <s v="Katherine Tyra/Bear Creek Branch Library"/>
    <s v="190.171"/>
    <s v="Branch"/>
    <n v="12000"/>
    <n v="2261"/>
    <n v="52"/>
  </r>
  <r>
    <x v="18"/>
    <s v="Fairbanks Branch Library"/>
    <s v="190.172"/>
    <s v="Branch"/>
    <n v="7247"/>
    <n v="2207"/>
    <n v="52"/>
  </r>
  <r>
    <x v="18"/>
    <s v="Freeman Memorial Branch Library"/>
    <s v="190.173"/>
    <s v="Branch"/>
    <n v="42000"/>
    <n v="2654"/>
    <n v="52"/>
  </r>
  <r>
    <x v="18"/>
    <s v="High Meadows Branch Library"/>
    <s v="190.174"/>
    <s v="Branch"/>
    <n v="9500"/>
    <n v="2362"/>
    <n v="52"/>
  </r>
  <r>
    <x v="18"/>
    <s v="Jacinto City Branch Library"/>
    <s v="190.175"/>
    <s v="Branch"/>
    <n v="5883"/>
    <n v="2012"/>
    <n v="52"/>
  </r>
  <r>
    <x v="18"/>
    <s v="Spring Branch Library"/>
    <s v="190.176"/>
    <s v="Branch"/>
    <n v="10500"/>
    <n v="2357"/>
    <n v="52"/>
  </r>
  <r>
    <x v="18"/>
    <s v="West University Branch Library"/>
    <s v="190.177"/>
    <s v="Branch"/>
    <n v="6100"/>
    <n v="2150"/>
    <n v="52"/>
  </r>
  <r>
    <x v="18"/>
    <s v="North Channel Branch Library"/>
    <s v="190.179"/>
    <s v="Branch"/>
    <n v="14000"/>
    <n v="2463"/>
    <n v="52"/>
  </r>
  <r>
    <x v="18"/>
    <s v="Parker Williams Branch Library"/>
    <s v="190.180"/>
    <s v="Branch"/>
    <n v="20000"/>
    <n v="1960"/>
    <n v="52"/>
  </r>
  <r>
    <x v="18"/>
    <s v="Baldwin Boettcher Branch Library"/>
    <s v="190.181"/>
    <s v="Branch"/>
    <n v="10137"/>
    <n v="2159"/>
    <n v="52"/>
  </r>
  <r>
    <x v="18"/>
    <s v="Octavia Fields Branch Library"/>
    <s v="190.182"/>
    <s v="Branch"/>
    <n v="15000"/>
    <n v="2215"/>
    <n v="52"/>
  </r>
  <r>
    <x v="18"/>
    <s v="Katy Branch Library"/>
    <s v="190.183"/>
    <s v="Branch"/>
    <n v="15000"/>
    <n v="2254"/>
    <n v="52"/>
  </r>
  <r>
    <x v="18"/>
    <s v="Maud Smith Marks Branch Library"/>
    <s v="190.184"/>
    <s v="Branch"/>
    <n v="12300"/>
    <n v="2357"/>
    <n v="52"/>
  </r>
  <r>
    <x v="18"/>
    <s v="Kingwood Branch Library"/>
    <s v="190.185"/>
    <s v="Branch"/>
    <n v="30000"/>
    <n v="2667"/>
    <n v="52"/>
  </r>
  <r>
    <x v="18"/>
    <s v="La Porte Branch Library"/>
    <s v="190.186"/>
    <s v="Branch"/>
    <n v="23357"/>
    <n v="2359"/>
    <n v="52"/>
  </r>
  <r>
    <x v="18"/>
    <s v="Evelyn Meador Branch Library"/>
    <s v="190.187"/>
    <s v="Branch"/>
    <n v="21100"/>
    <n v="2354"/>
    <n v="52"/>
  </r>
  <r>
    <x v="18"/>
    <s v="South Houston Branch Library"/>
    <s v="190.188"/>
    <s v="Branch"/>
    <n v="6910"/>
    <n v="1909"/>
    <n v="52"/>
  </r>
  <r>
    <x v="18"/>
    <s v="Barbara Bush Branch Library"/>
    <s v="190.189"/>
    <s v="Branch"/>
    <n v="32000"/>
    <n v="2660"/>
    <n v="52"/>
  </r>
  <r>
    <x v="18"/>
    <s v="Tomball Branch Library"/>
    <s v="190.190"/>
    <s v="Branch"/>
    <n v="72000"/>
    <n v="3557"/>
    <n v="52"/>
  </r>
  <r>
    <x v="18"/>
    <s v="Atascocita Branch Library"/>
    <s v="190.286"/>
    <s v="Branch"/>
    <n v="12000"/>
    <n v="2357"/>
    <n v="52"/>
  </r>
  <r>
    <x v="18"/>
    <s v="Cy-Fair College"/>
    <s v="190.341"/>
    <s v="Branch"/>
    <n v="78500"/>
    <n v="4270"/>
    <n v="52"/>
  </r>
  <r>
    <x v="18"/>
    <s v="HCPL Technology Center at Lincoln Park"/>
    <s v="190.396"/>
    <s v="Branch"/>
    <n v="552"/>
    <n v="2000"/>
    <n v="52"/>
  </r>
  <r>
    <x v="18"/>
    <s v="HCPL Technology Center at Finnegan Park"/>
    <s v="190.397"/>
    <s v="Branch"/>
    <n v="275"/>
    <n v="2000"/>
    <n v="52"/>
  </r>
  <r>
    <x v="19"/>
    <s v="West Irving Library"/>
    <s v="198.192"/>
    <s v="Branch"/>
    <n v="25000"/>
    <n v="2744"/>
    <n v="52"/>
  </r>
  <r>
    <x v="19"/>
    <s v="East Branch Library"/>
    <s v="198.281"/>
    <s v="Branch"/>
    <n v="5700"/>
    <n v="1600"/>
    <n v="52"/>
  </r>
  <r>
    <x v="19"/>
    <s v="Valley Ranch Library"/>
    <s v="198.284"/>
    <s v="Branch"/>
    <n v="26000"/>
    <n v="2312"/>
    <n v="44"/>
  </r>
  <r>
    <x v="20"/>
    <s v="Abilene Public Library South Branch"/>
    <s v="2.1"/>
    <s v="Branch"/>
    <n v="5600"/>
    <n v="3077"/>
    <n v="52"/>
  </r>
  <r>
    <x v="20"/>
    <s v="Abilene Public Library Mockingbird"/>
    <s v="2.384"/>
    <s v="Branch"/>
    <n v="11880"/>
    <n v="3158"/>
    <n v="52"/>
  </r>
  <r>
    <x v="21"/>
    <s v="Austin History Center Library"/>
    <s v="20.27"/>
    <s v="Branch"/>
    <n v="36176"/>
    <n v="2346"/>
    <n v="52"/>
  </r>
  <r>
    <x v="21"/>
    <s v="Carver Branch Library"/>
    <s v="20.28"/>
    <s v="Branch"/>
    <n v="14967"/>
    <n v="2526"/>
    <n v="52"/>
  </r>
  <r>
    <x v="21"/>
    <s v="Milwood Branch Library"/>
    <s v="20.288"/>
    <s v="Branch"/>
    <n v="8266"/>
    <n v="2542"/>
    <n v="52"/>
  </r>
  <r>
    <x v="21"/>
    <s v="Will Hampton Branch at Oak Hill"/>
    <s v="20.289"/>
    <s v="Branch"/>
    <n v="8580"/>
    <n v="2392"/>
    <n v="52"/>
  </r>
  <r>
    <x v="21"/>
    <s v="Eustasio Cepeda Branch Library"/>
    <s v="20.29"/>
    <s v="Branch"/>
    <n v="8110"/>
    <n v="2542"/>
    <n v="52"/>
  </r>
  <r>
    <x v="21"/>
    <s v="Howson Branch Library"/>
    <s v="20.30"/>
    <s v="Branch"/>
    <n v="6700"/>
    <n v="2392"/>
    <n v="52"/>
  </r>
  <r>
    <x v="21"/>
    <s v="Little Walnut Creek Branch Library"/>
    <s v="20.31"/>
    <s v="Branch"/>
    <n v="11000"/>
    <n v="2746"/>
    <n v="52"/>
  </r>
  <r>
    <x v="21"/>
    <s v="Manchaca Road Branch Library"/>
    <s v="20.32"/>
    <s v="Branch"/>
    <n v="14500"/>
    <n v="2746"/>
    <n v="52"/>
  </r>
  <r>
    <x v="21"/>
    <s v="Ralph W Yarborough Branch Library"/>
    <s v="20.33"/>
    <s v="Branch"/>
    <n v="15120"/>
    <n v="2542"/>
    <n v="52"/>
  </r>
  <r>
    <x v="21"/>
    <s v="St John Branch Library"/>
    <s v="20.330"/>
    <s v="Branch"/>
    <n v="7536"/>
    <n v="2340"/>
    <n v="52"/>
  </r>
  <r>
    <x v="21"/>
    <s v="North Village Branch Library"/>
    <s v="20.34"/>
    <s v="Branch"/>
    <n v="10738"/>
    <n v="2392"/>
    <n v="52"/>
  </r>
  <r>
    <x v="21"/>
    <s v="Willie Mae Kirk Branch Library"/>
    <s v="20.35"/>
    <s v="Branch"/>
    <n v="10000"/>
    <n v="2392"/>
    <n v="52"/>
  </r>
  <r>
    <x v="21"/>
    <s v="Old Quarry Branch Library"/>
    <s v="20.36"/>
    <s v="Branch"/>
    <n v="9017"/>
    <n v="2542"/>
    <n v="52"/>
  </r>
  <r>
    <x v="21"/>
    <s v="Pleasant Hill Branch Library"/>
    <s v="20.37"/>
    <s v="Branch"/>
    <n v="9017"/>
    <n v="2542"/>
    <n v="52"/>
  </r>
  <r>
    <x v="21"/>
    <s v="Daniel E Ruiz Branch Library"/>
    <s v="20.38"/>
    <s v="Branch"/>
    <n v="16000"/>
    <n v="2746"/>
    <n v="52"/>
  </r>
  <r>
    <x v="21"/>
    <s v="Spicewood Springs Branch Library"/>
    <s v="20.39"/>
    <s v="Branch"/>
    <n v="13257"/>
    <n v="2392"/>
    <n v="52"/>
  </r>
  <r>
    <x v="21"/>
    <s v="Terrazas Branch Library"/>
    <s v="20.40"/>
    <s v="Branch"/>
    <n v="10827"/>
    <n v="2392"/>
    <n v="52"/>
  </r>
  <r>
    <x v="21"/>
    <s v="Twin Oaks Branch Library"/>
    <s v="20.41"/>
    <s v="Branch"/>
    <n v="10120"/>
    <n v="2392"/>
    <n v="52"/>
  </r>
  <r>
    <x v="21"/>
    <s v="University Hills Branch Library"/>
    <s v="20.42"/>
    <s v="Branch"/>
    <n v="8000"/>
    <n v="2542"/>
    <n v="52"/>
  </r>
  <r>
    <x v="21"/>
    <s v="Windsor Park Branch Library"/>
    <s v="20.43"/>
    <s v="Branch"/>
    <n v="8630"/>
    <n v="2392"/>
    <n v="52"/>
  </r>
  <r>
    <x v="21"/>
    <s v="Southeast Austin Community Branch Library"/>
    <s v="20.44"/>
    <s v="Branch"/>
    <n v="8320"/>
    <n v="2392"/>
    <n v="52"/>
  </r>
  <r>
    <x v="22"/>
    <s v="Wink Branch Library"/>
    <s v="212.194"/>
    <s v="Branch"/>
    <n v="9606"/>
    <n v="1560"/>
    <n v="52"/>
  </r>
  <r>
    <x v="23"/>
    <s v="Kerr Regional History Center"/>
    <s v="213.334"/>
    <s v="Branch"/>
    <n v="1795"/>
    <n v="1296"/>
    <n v="49"/>
  </r>
  <r>
    <x v="24"/>
    <s v="Copper Mountain Branch Library"/>
    <s v="215.319"/>
    <s v="Branch"/>
    <n v="9800"/>
    <n v="2598"/>
    <n v="52"/>
  </r>
  <r>
    <x v="25"/>
    <s v="Bruni Plaza Branch Library"/>
    <s v="228.311"/>
    <s v="Branch"/>
    <n v="5051"/>
    <n v="2216"/>
    <n v="50"/>
  </r>
  <r>
    <x v="25"/>
    <s v="Cyber Mobile"/>
    <s v="228.386"/>
    <s v="Bookmobile"/>
    <n v="240"/>
    <n v="100"/>
    <n v="3"/>
  </r>
  <r>
    <x v="25"/>
    <s v="Inner City Branch Library"/>
    <s v="228.405"/>
    <s v="Branch"/>
    <n v="15151"/>
    <n v="2307"/>
    <n v="51"/>
  </r>
  <r>
    <x v="25"/>
    <s v="Santa Rita Express Branch Library"/>
    <s v="228.406"/>
    <s v="Branch"/>
    <n v="1073"/>
    <n v="962"/>
    <n v="48"/>
  </r>
  <r>
    <x v="25"/>
    <s v="Barbara Fasken Branch Library"/>
    <s v="228.407"/>
    <s v="Branch"/>
    <n v="8034"/>
    <n v="1231"/>
    <n v="29"/>
  </r>
  <r>
    <x v="25"/>
    <s v="Sophie Christen McKendrick, Francisco Ochoa and Fernando Salinas Branch Library"/>
    <s v="228.411"/>
    <s v="Branch"/>
    <n v="0"/>
    <n v="0"/>
    <n v="0"/>
  </r>
  <r>
    <x v="26"/>
    <s v="Sundown Branch Library"/>
    <s v="231.200"/>
    <s v="Branch"/>
    <n v="1287"/>
    <n v="1912"/>
    <n v="50"/>
  </r>
  <r>
    <x v="27"/>
    <s v="Lakeshore Branch Library"/>
    <s v="236.202"/>
    <s v="Branch"/>
    <n v="3433"/>
    <n v="1970"/>
    <n v="52"/>
  </r>
  <r>
    <x v="27"/>
    <s v="Kingsland Branch Library"/>
    <s v="236.203"/>
    <s v="Branch"/>
    <n v="9200"/>
    <n v="2265"/>
    <n v="52"/>
  </r>
  <r>
    <x v="28"/>
    <s v="Broughton Branch Library"/>
    <s v="238.328"/>
    <s v="Branch"/>
    <n v="500"/>
    <n v="1005"/>
    <n v="52"/>
  </r>
  <r>
    <x v="29"/>
    <s v="Godeke Branch Library"/>
    <s v="240.204"/>
    <s v="Branch"/>
    <n v="12630"/>
    <n v="2727"/>
    <n v="52"/>
  </r>
  <r>
    <x v="29"/>
    <s v="Patterson Branch Library"/>
    <s v="240.282"/>
    <s v="Branch"/>
    <n v="10426"/>
    <n v="2727"/>
    <n v="52"/>
  </r>
  <r>
    <x v="29"/>
    <s v="Groves Branch Library"/>
    <s v="240.292"/>
    <s v="Branch"/>
    <n v="10426"/>
    <n v="2727"/>
    <n v="52"/>
  </r>
  <r>
    <x v="30"/>
    <s v="Lark Branch Library"/>
    <s v="254.320"/>
    <s v="Branch"/>
    <n v="11000"/>
    <n v="3322"/>
    <n v="52"/>
  </r>
  <r>
    <x v="30"/>
    <s v="Palm View Branch Library"/>
    <s v="254.321"/>
    <s v="Branch"/>
    <n v="11000"/>
    <n v="3322"/>
    <n v="52"/>
  </r>
  <r>
    <x v="31"/>
    <s v="John and Judy Gay Library"/>
    <s v="256.381"/>
    <s v="Branch"/>
    <n v="20000"/>
    <n v="3136"/>
    <n v="52"/>
  </r>
  <r>
    <x v="32"/>
    <s v="Mesquite Public Library-North Branch"/>
    <s v="262.206"/>
    <s v="Branch"/>
    <n v="10000"/>
    <n v="2730"/>
    <n v="52"/>
  </r>
  <r>
    <x v="33"/>
    <s v="Midland Centennial Library"/>
    <s v="264.207"/>
    <s v="Branch"/>
    <n v="32956"/>
    <n v="3000"/>
    <n v="49"/>
  </r>
  <r>
    <x v="34"/>
    <s v="Mineola Memorial Library Bookmobile"/>
    <s v="266.402"/>
    <s v="Bookmobile"/>
    <n v="0"/>
    <n v="212"/>
    <n v="48"/>
  </r>
  <r>
    <x v="35"/>
    <s v="Barstow Library"/>
    <s v="269.208"/>
    <s v="Branch"/>
    <n v="480"/>
    <n v="900"/>
    <n v="52"/>
  </r>
  <r>
    <x v="35"/>
    <s v="Grandfalls Library"/>
    <s v="269.209"/>
    <s v="Branch"/>
    <n v="2030"/>
    <n v="2223"/>
    <n v="52"/>
  </r>
  <r>
    <x v="36"/>
    <s v="Sargent Branch Library"/>
    <s v="28.47"/>
    <s v="Branch"/>
    <n v="500"/>
    <n v="896"/>
    <n v="46"/>
  </r>
  <r>
    <x v="37"/>
    <s v="Westside Community Center Library"/>
    <s v="283.412"/>
    <s v="Branch"/>
    <n v="805"/>
    <n v="1000"/>
    <n v="50"/>
  </r>
  <r>
    <x v="38"/>
    <s v="Deweyville Public Library"/>
    <s v="284.315"/>
    <s v="Branch"/>
    <n v="736"/>
    <n v="1378"/>
    <n v="50"/>
  </r>
  <r>
    <x v="39"/>
    <s v="Blessing Library"/>
    <s v="295.211"/>
    <s v="Branch"/>
    <n v="1099"/>
    <n v="1030"/>
    <n v="52"/>
  </r>
  <r>
    <x v="40"/>
    <s v="Groom Branch Library"/>
    <s v="298.212"/>
    <s v="Branch"/>
    <n v="1000"/>
    <n v="880"/>
    <n v="47"/>
  </r>
  <r>
    <x v="40"/>
    <s v="Skellytown Branch Library"/>
    <s v="298.213"/>
    <s v="Branch"/>
    <n v="3444"/>
    <n v="988"/>
    <n v="52"/>
  </r>
  <r>
    <x v="40"/>
    <s v="White Deer Branch Library"/>
    <s v="298.214"/>
    <s v="Branch"/>
    <n v="1200"/>
    <n v="988"/>
    <n v="52"/>
  </r>
  <r>
    <x v="41"/>
    <s v="Elmo R Willard Branch Library"/>
    <s v="30.295"/>
    <s v="Branch"/>
    <n v="11500"/>
    <n v="3132"/>
    <n v="52"/>
  </r>
  <r>
    <x v="41"/>
    <s v="Maurine Gray Literacy Center"/>
    <s v="30.296"/>
    <s v="Branch"/>
    <n v="1400"/>
    <n v="2617"/>
    <n v="52"/>
  </r>
  <r>
    <x v="41"/>
    <s v="RC Miller Memorial Library"/>
    <s v="30.51"/>
    <s v="Branch"/>
    <n v="16030"/>
    <n v="3132"/>
    <n v="52"/>
  </r>
  <r>
    <x v="41"/>
    <s v="Tyrrell Historical Library"/>
    <s v="30.52"/>
    <s v="Branch"/>
    <n v="24008"/>
    <n v="3124"/>
    <n v="52"/>
  </r>
  <r>
    <x v="41"/>
    <s v="Theodore Johns Branch Library"/>
    <s v="30.53"/>
    <s v="Branch"/>
    <n v="11970"/>
    <n v="3132"/>
    <n v="52"/>
  </r>
  <r>
    <x v="42"/>
    <s v="Fairmont Branch Library"/>
    <s v="300.215"/>
    <s v="Branch"/>
    <n v="10300"/>
    <n v="2416"/>
    <n v="52"/>
  </r>
  <r>
    <x v="43"/>
    <s v="LER Schimelpfenig Library"/>
    <s v="311.216"/>
    <s v="Branch"/>
    <n v="30000"/>
    <n v="3421"/>
    <n v="52"/>
  </r>
  <r>
    <x v="43"/>
    <s v="Gladys Harrington Library"/>
    <s v="311.217"/>
    <s v="Branch"/>
    <n v="30000"/>
    <n v="3433"/>
    <n v="52"/>
  </r>
  <r>
    <x v="43"/>
    <s v="Maribelle M Davis Library"/>
    <s v="311.298"/>
    <s v="Branch"/>
    <n v="30000"/>
    <n v="3352"/>
    <n v="52"/>
  </r>
  <r>
    <x v="43"/>
    <s v="Christopher A Parr Library"/>
    <s v="311.322"/>
    <s v="Branch"/>
    <n v="30000"/>
    <n v="3356"/>
    <n v="52"/>
  </r>
  <r>
    <x v="44"/>
    <s v="Public Library Reading Room"/>
    <s v="315.366"/>
    <s v="Branch"/>
    <n v="500"/>
    <n v="877"/>
    <n v="52"/>
  </r>
  <r>
    <x v="45"/>
    <s v="Point Comfort Branch Library"/>
    <s v="316.221"/>
    <s v="Branch"/>
    <n v="3867"/>
    <n v="1593"/>
    <n v="50"/>
  </r>
  <r>
    <x v="45"/>
    <s v="Port O`Connor Branch Library"/>
    <s v="316.222"/>
    <s v="Branch"/>
    <n v="1786"/>
    <n v="1503"/>
    <n v="51"/>
  </r>
  <r>
    <x v="45"/>
    <s v="Seadrift Branch Library"/>
    <s v="316.223"/>
    <s v="Branch"/>
    <n v="7560"/>
    <n v="1505"/>
    <n v="51"/>
  </r>
  <r>
    <x v="46"/>
    <s v="Midkiff Public Library"/>
    <s v="324.224"/>
    <s v="Branch"/>
    <n v="888"/>
    <n v="714"/>
    <n v="52"/>
  </r>
  <r>
    <x v="47"/>
    <s v="Missouri City Branch Library"/>
    <s v="329.226"/>
    <s v="Branch"/>
    <n v="18600"/>
    <n v="2537"/>
    <n v="52"/>
  </r>
  <r>
    <x v="47"/>
    <s v="Albert George Branch Library"/>
    <s v="329.227"/>
    <s v="Branch"/>
    <n v="6280"/>
    <n v="2136"/>
    <n v="52"/>
  </r>
  <r>
    <x v="47"/>
    <s v="George Memorial Library"/>
    <s v="329.228"/>
    <s v="Branch"/>
    <n v="77000"/>
    <n v="2840"/>
    <n v="52"/>
  </r>
  <r>
    <x v="47"/>
    <s v="Fort Bend County Law Library"/>
    <s v="329.229"/>
    <s v="Branch"/>
    <n v="1535"/>
    <n v="2241"/>
    <n v="52"/>
  </r>
  <r>
    <x v="47"/>
    <s v="Bob Lutts Fulshear/Simonton Branch Library"/>
    <s v="329.230"/>
    <s v="Branch"/>
    <n v="10500"/>
    <n v="2169"/>
    <n v="52"/>
  </r>
  <r>
    <x v="47"/>
    <s v="Mamie George Branch Library"/>
    <s v="329.231"/>
    <s v="Branch"/>
    <n v="4800"/>
    <n v="1991"/>
    <n v="52"/>
  </r>
  <r>
    <x v="47"/>
    <s v="First Colony Branch Library"/>
    <s v="329.232"/>
    <s v="Branch"/>
    <n v="19400"/>
    <n v="2537"/>
    <n v="52"/>
  </r>
  <r>
    <x v="47"/>
    <s v="Cinco Ranch Branch Library"/>
    <s v="329.299"/>
    <s v="Branch"/>
    <n v="33500"/>
    <n v="2536"/>
    <n v="52"/>
  </r>
  <r>
    <x v="47"/>
    <s v="Sugar Land Branch Library"/>
    <s v="329.302"/>
    <s v="Branch"/>
    <n v="21300"/>
    <n v="2523"/>
    <n v="52"/>
  </r>
  <r>
    <x v="47"/>
    <s v="Sienna Branch Library"/>
    <s v="329.382"/>
    <s v="Branch"/>
    <n v="44989"/>
    <n v="3493"/>
    <n v="52"/>
  </r>
  <r>
    <x v="47"/>
    <s v="University Branch Library"/>
    <s v="329.399"/>
    <s v="Branch"/>
    <n v="40193"/>
    <n v="2541"/>
    <n v="52"/>
  </r>
  <r>
    <x v="48"/>
    <s v="Bishop Branch Library"/>
    <s v="334.313"/>
    <s v="Branch"/>
    <n v="1424"/>
    <n v="917"/>
    <n v="46"/>
  </r>
  <r>
    <x v="49"/>
    <s v="Angelo West Branch Library"/>
    <s v="343.233"/>
    <s v="Branch"/>
    <n v="5096"/>
    <n v="1932"/>
    <n v="52"/>
  </r>
  <r>
    <x v="49"/>
    <s v="North Angelo Branch Library"/>
    <s v="343.234"/>
    <s v="Branch"/>
    <n v="2680"/>
    <n v="1684"/>
    <n v="52"/>
  </r>
  <r>
    <x v="50"/>
    <s v="Bazan Branch Library"/>
    <s v="344.236"/>
    <s v="Branch"/>
    <n v="10336"/>
    <n v="2912"/>
    <n v="52"/>
  </r>
  <r>
    <x v="50"/>
    <s v="Brook Hollow Branch Library"/>
    <s v="344.237"/>
    <s v="Branch"/>
    <n v="14470"/>
    <n v="2912"/>
    <n v="52"/>
  </r>
  <r>
    <x v="50"/>
    <s v="Carver Branch Library"/>
    <s v="344.238"/>
    <s v="Branch"/>
    <n v="10770"/>
    <n v="2912"/>
    <n v="52"/>
  </r>
  <r>
    <x v="50"/>
    <s v="Cody Branch Library"/>
    <s v="344.239"/>
    <s v="Branch"/>
    <n v="13617"/>
    <n v="2912"/>
    <n v="52"/>
  </r>
  <r>
    <x v="50"/>
    <s v="Collins Garden Branch Library"/>
    <s v="344.240"/>
    <s v="Branch"/>
    <n v="9234"/>
    <n v="2912"/>
    <n v="52"/>
  </r>
  <r>
    <x v="50"/>
    <s v="Cortez Branch Library"/>
    <s v="344.241"/>
    <s v="Branch"/>
    <n v="13065"/>
    <n v="2912"/>
    <n v="52"/>
  </r>
  <r>
    <x v="50"/>
    <s v="Johnston Branch Library"/>
    <s v="344.242"/>
    <s v="Branch"/>
    <n v="11428"/>
    <n v="2912"/>
    <n v="52"/>
  </r>
  <r>
    <x v="50"/>
    <s v="Landa Branch Library"/>
    <s v="344.243"/>
    <s v="Branch"/>
    <n v="5252"/>
    <n v="2912"/>
    <n v="52"/>
  </r>
  <r>
    <x v="50"/>
    <s v="Las Palmas Branch Library"/>
    <s v="344.244"/>
    <s v="Branch"/>
    <n v="13792"/>
    <n v="2912"/>
    <n v="52"/>
  </r>
  <r>
    <x v="50"/>
    <s v="McCreless Branch Library"/>
    <s v="344.245"/>
    <s v="Branch"/>
    <n v="12677"/>
    <n v="2912"/>
    <n v="52"/>
  </r>
  <r>
    <x v="50"/>
    <s v="Memorial Branch Library"/>
    <s v="344.246"/>
    <s v="Branch"/>
    <n v="9999"/>
    <n v="2912"/>
    <n v="52"/>
  </r>
  <r>
    <x v="50"/>
    <s v="Tobin Library at Oakwell"/>
    <s v="344.247"/>
    <s v="Branch"/>
    <n v="13060"/>
    <n v="2912"/>
    <n v="52"/>
  </r>
  <r>
    <x v="50"/>
    <s v="Pan American Branch Library"/>
    <s v="344.248"/>
    <s v="Branch"/>
    <n v="11322"/>
    <n v="2912"/>
    <n v="52"/>
  </r>
  <r>
    <x v="50"/>
    <s v="San Pedro Branch Library"/>
    <s v="344.249"/>
    <s v="Branch"/>
    <n v="4450"/>
    <n v="2912"/>
    <n v="52"/>
  </r>
  <r>
    <x v="50"/>
    <s v="Westfall Branch Library"/>
    <s v="344.250"/>
    <s v="Branch"/>
    <n v="12304"/>
    <n v="2912"/>
    <n v="52"/>
  </r>
  <r>
    <x v="50"/>
    <s v="Forest Hills Branch Library"/>
    <s v="344.251"/>
    <s v="Branch"/>
    <n v="12035"/>
    <n v="2912"/>
    <n v="52"/>
  </r>
  <r>
    <x v="50"/>
    <s v="Thousand Oaks Branch Library"/>
    <s v="344.252"/>
    <s v="Branch"/>
    <n v="11350"/>
    <n v="2912"/>
    <n v="52"/>
  </r>
  <r>
    <x v="50"/>
    <s v="Great Northwest Branch Library"/>
    <s v="344.255"/>
    <s v="Branch"/>
    <n v="17032"/>
    <n v="2912"/>
    <n v="52"/>
  </r>
  <r>
    <x v="50"/>
    <s v="Guerra Branch Library"/>
    <s v="344.342"/>
    <s v="Branch"/>
    <n v="14452"/>
    <n v="2912"/>
    <n v="52"/>
  </r>
  <r>
    <x v="50"/>
    <s v="Semmes Branch Library"/>
    <s v="344.361"/>
    <s v="Branch"/>
    <n v="15975"/>
    <n v="2912"/>
    <n v="52"/>
  </r>
  <r>
    <x v="50"/>
    <s v="Maverick Branch Library"/>
    <s v="344.367"/>
    <s v="Branch"/>
    <n v="15525"/>
    <n v="2912"/>
    <n v="52"/>
  </r>
  <r>
    <x v="50"/>
    <s v="John Igo Branch Library"/>
    <s v="344.371"/>
    <s v="Branch"/>
    <n v="16554"/>
    <n v="2912"/>
    <n v="52"/>
  </r>
  <r>
    <x v="50"/>
    <s v="Central Bookmobile Services"/>
    <s v="344.383"/>
    <s v="Bookmobile"/>
    <n v="0"/>
    <n v="478"/>
    <n v="52"/>
  </r>
  <r>
    <x v="50"/>
    <s v="Molly Pruitt Library at Roosevelt HS"/>
    <s v="344.388"/>
    <s v="Branch"/>
    <n v="14288"/>
    <n v="2912"/>
    <n v="52"/>
  </r>
  <r>
    <x v="50"/>
    <s v="Mission Branch Library"/>
    <s v="344.394"/>
    <s v="Branch"/>
    <n v="16450"/>
    <n v="2912"/>
    <n v="52"/>
  </r>
  <r>
    <x v="50"/>
    <s v="Parman Branch Library at Stone Oak"/>
    <s v="344.395"/>
    <s v="Branch"/>
    <n v="16684"/>
    <n v="2912"/>
    <n v="52"/>
  </r>
  <r>
    <x v="50"/>
    <s v="Kampmann Library Portal"/>
    <s v="344.413"/>
    <s v="Branch"/>
    <n v="830"/>
    <n v="2080"/>
    <n v="52"/>
  </r>
  <r>
    <x v="50"/>
    <s v="Encino Branch Library"/>
    <s v="344.414"/>
    <s v="Branch"/>
    <n v="8000"/>
    <n v="0"/>
    <n v="0"/>
  </r>
  <r>
    <x v="51"/>
    <s v="Gaines County Library-Seagraves"/>
    <s v="357.256"/>
    <s v="Branch"/>
    <n v="890"/>
    <n v="1946"/>
    <n v="52"/>
  </r>
  <r>
    <x v="52"/>
    <s v="Temple Public Library Bookmobile"/>
    <s v="384.258"/>
    <s v="Bookmobile"/>
    <n v="0"/>
    <n v="420"/>
    <n v="52"/>
  </r>
  <r>
    <x v="53"/>
    <s v="East Waco Library"/>
    <s v="398.261"/>
    <s v="Branch"/>
    <n v="7000"/>
    <n v="2630"/>
    <n v="52"/>
  </r>
  <r>
    <x v="53"/>
    <s v="South Waco Library"/>
    <s v="398.262"/>
    <s v="Branch"/>
    <n v="11200"/>
    <n v="2642"/>
    <n v="52"/>
  </r>
  <r>
    <x v="53"/>
    <s v="West Waco Library &amp; Genealogy Center"/>
    <s v="398.387"/>
    <s v="Branch"/>
    <n v="32293"/>
    <n v="2774"/>
    <n v="52"/>
  </r>
  <r>
    <x v="54"/>
    <s v="West End Library"/>
    <s v="400.263"/>
    <s v="Branch"/>
    <n v="1300"/>
    <n v="1487"/>
    <n v="52"/>
  </r>
  <r>
    <x v="54"/>
    <s v="Knox Memorial Library"/>
    <s v="400.287"/>
    <s v="Branch"/>
    <n v="2025"/>
    <n v="1487"/>
    <n v="52"/>
  </r>
  <r>
    <x v="55"/>
    <s v="East Bernard Branch Library"/>
    <s v="408.264"/>
    <s v="Branch"/>
    <n v="5000"/>
    <n v="1331"/>
    <n v="52"/>
  </r>
  <r>
    <x v="55"/>
    <s v="El Campo Branch Library"/>
    <s v="408.265"/>
    <s v="Branch"/>
    <n v="14300"/>
    <n v="2203"/>
    <n v="52"/>
  </r>
  <r>
    <x v="55"/>
    <s v="Louise Branch Library"/>
    <s v="408.266"/>
    <s v="Branch"/>
    <n v="1676"/>
    <n v="618"/>
    <n v="52"/>
  </r>
  <r>
    <x v="56"/>
    <s v="Hutchinson County Library - Fritch"/>
    <s v="41.54"/>
    <s v="Branch"/>
    <n v="1388"/>
    <n v="1728"/>
    <n v="52"/>
  </r>
  <r>
    <x v="56"/>
    <s v="Hutchinson County Library - Stinnett"/>
    <s v="41.55"/>
    <s v="Branch"/>
    <n v="1684"/>
    <n v="1525"/>
    <n v="52"/>
  </r>
  <r>
    <x v="57"/>
    <s v="Guadalupe and Lilia Martinez Zapata County Public Branch Library"/>
    <s v="432.267"/>
    <s v="Branch"/>
    <n v="1680"/>
    <n v="332"/>
    <n v="52"/>
  </r>
  <r>
    <x v="58"/>
    <s v="Laura Bush Community Library"/>
    <s v="452.380"/>
    <s v="Branch"/>
    <n v="14229"/>
    <n v="2834"/>
    <n v="52"/>
  </r>
  <r>
    <x v="59"/>
    <s v="Southmost Branch Library"/>
    <s v="49.362"/>
    <s v="Branch"/>
    <n v="20000"/>
    <n v="2602"/>
    <n v="52"/>
  </r>
  <r>
    <x v="60"/>
    <s v="Orange Grove School/Public Library"/>
    <s v="5.2"/>
    <s v="Branch"/>
    <n v="5234"/>
    <n v="1600"/>
    <n v="48"/>
  </r>
  <r>
    <x v="60"/>
    <s v="Premont Public Library"/>
    <s v="5.3"/>
    <s v="Branch"/>
    <n v="1500"/>
    <n v="1091"/>
    <n v="50"/>
  </r>
  <r>
    <x v="61"/>
    <s v="Brownwood Public Library Local History &amp; Genealogy Library"/>
    <s v="50.364"/>
    <s v="Branch"/>
    <n v="1550"/>
    <n v="1611"/>
    <n v="45"/>
  </r>
  <r>
    <x v="62"/>
    <s v="Duval County/Freer Branch Library"/>
    <s v="502.294"/>
    <s v="Branch"/>
    <n v="1081"/>
    <n v="976"/>
    <n v="48"/>
  </r>
  <r>
    <x v="62"/>
    <s v="Duval County/Benavides Branch Library"/>
    <s v="502.308"/>
    <s v="Branch"/>
    <n v="2500"/>
    <n v="956"/>
    <n v="48"/>
  </r>
  <r>
    <x v="63"/>
    <s v="Carnegie Center of Brazos Valley History"/>
    <s v="51.301"/>
    <s v="Branch"/>
    <n v="6000"/>
    <n v="1672"/>
    <n v="52"/>
  </r>
  <r>
    <x v="63"/>
    <s v="Clara B Mounce Public Library"/>
    <s v="51.379"/>
    <s v="Branch"/>
    <n v="25500"/>
    <n v="2920"/>
    <n v="52"/>
  </r>
  <r>
    <x v="63"/>
    <s v="Larry J Ringer Public Library"/>
    <s v="51.57"/>
    <s v="Branch"/>
    <n v="16000"/>
    <n v="3336"/>
    <n v="52"/>
  </r>
  <r>
    <x v="64"/>
    <s v="Fort Hancock ISD/Public Library"/>
    <s v="517.316"/>
    <s v="Branch"/>
    <n v="3000"/>
    <n v="2930"/>
    <n v="48"/>
  </r>
  <r>
    <x v="65"/>
    <s v="Garfield Library"/>
    <s v="552.385"/>
    <s v="Branch"/>
    <n v="1468"/>
    <n v="2193"/>
    <n v="51"/>
  </r>
  <r>
    <x v="66"/>
    <s v="Bertram Free Library"/>
    <s v="56.58"/>
    <s v="Branch"/>
    <n v="8550"/>
    <n v="1968"/>
    <n v="52"/>
  </r>
  <r>
    <x v="66"/>
    <s v="Oakalla Public Library"/>
    <s v="56.59"/>
    <s v="Branch"/>
    <n v="800"/>
    <n v="676"/>
    <n v="52"/>
  </r>
  <r>
    <x v="66"/>
    <s v="Herman Brown Free Library"/>
    <s v="56.60"/>
    <s v="Branch"/>
    <n v="10231"/>
    <n v="1984"/>
    <n v="52"/>
  </r>
  <r>
    <x v="66"/>
    <s v="Marble Falls Public Library"/>
    <s v="56.61"/>
    <s v="Branch"/>
    <n v="15200"/>
    <n v="1976"/>
    <n v="52"/>
  </r>
  <r>
    <x v="67"/>
    <s v="Carrollton Public Library @ Hebron and Josey"/>
    <s v="64.340"/>
    <s v="Branch"/>
    <n v="37000"/>
    <n v="2475"/>
    <n v="52"/>
  </r>
  <r>
    <x v="68"/>
    <s v="BiblioTech Central Jury Room"/>
    <s v="649.403"/>
    <s v="Branch"/>
    <n v="170"/>
    <n v="800"/>
    <n v="50"/>
  </r>
  <r>
    <x v="69"/>
    <s v="George &amp; Cynthia Woods Mitchell Library"/>
    <s v="86.363"/>
    <s v="Branch"/>
    <n v="30116"/>
    <n v="3130"/>
    <n v="52"/>
  </r>
  <r>
    <x v="69"/>
    <s v="Malcolm Purvis Library-Magnolia"/>
    <s v="86.63"/>
    <s v="Branch"/>
    <n v="7200"/>
    <n v="2451"/>
    <n v="52"/>
  </r>
  <r>
    <x v="69"/>
    <s v="Charles B Stewart-West Branch Library"/>
    <s v="86.64"/>
    <s v="Branch"/>
    <n v="14560"/>
    <n v="2847"/>
    <n v="52"/>
  </r>
  <r>
    <x v="69"/>
    <s v="RB Tullis Library"/>
    <s v="86.65"/>
    <s v="Branch"/>
    <n v="29600"/>
    <n v="3014"/>
    <n v="52"/>
  </r>
  <r>
    <x v="69"/>
    <s v="South Regional Library"/>
    <s v="86.66"/>
    <s v="Branch"/>
    <n v="30000"/>
    <n v="3128"/>
    <n v="52"/>
  </r>
  <r>
    <x v="69"/>
    <s v="RF Meador Branch Library"/>
    <s v="86.67"/>
    <s v="Branch"/>
    <n v="6000"/>
    <n v="2698"/>
    <n v="52"/>
  </r>
  <r>
    <x v="70"/>
    <s v="Dr Clotilde P Garcia Public Library"/>
    <s v="88.376"/>
    <s v="Branch"/>
    <n v="12000"/>
    <n v="3092"/>
    <n v="52"/>
  </r>
  <r>
    <x v="70"/>
    <s v="Neyland Public Library"/>
    <s v="88.68"/>
    <s v="Branch"/>
    <n v="17000"/>
    <n v="2742"/>
    <n v="52"/>
  </r>
  <r>
    <x v="70"/>
    <s v="Ben F McDonald Public Library"/>
    <s v="88.69"/>
    <s v="Branch"/>
    <n v="13000"/>
    <n v="2742"/>
    <n v="52"/>
  </r>
  <r>
    <x v="70"/>
    <s v="Owen R Hopkins Public Library"/>
    <s v="88.70"/>
    <s v="Branch"/>
    <n v="12771"/>
    <n v="2742"/>
    <n v="52"/>
  </r>
  <r>
    <x v="70"/>
    <s v="Janet F Harte Public Library"/>
    <s v="88.71"/>
    <s v="Branch"/>
    <n v="13500"/>
    <n v="3116"/>
    <n v="52"/>
  </r>
  <r>
    <x v="71"/>
    <s v="Northwest Branch Library"/>
    <s v="9.331"/>
    <s v="Branch"/>
    <n v="15536"/>
    <n v="3226"/>
    <n v="52"/>
  </r>
  <r>
    <x v="71"/>
    <s v="Southwest Branch Library"/>
    <s v="9.5"/>
    <s v="Branch"/>
    <n v="20000"/>
    <n v="3533"/>
    <n v="52"/>
  </r>
  <r>
    <x v="71"/>
    <s v="North Branch Library"/>
    <s v="9.6"/>
    <s v="Branch"/>
    <n v="10000"/>
    <n v="3226"/>
    <n v="52"/>
  </r>
  <r>
    <x v="71"/>
    <s v="East Branch Library"/>
    <s v="9.7"/>
    <s v="Branch"/>
    <n v="10000"/>
    <n v="3226"/>
    <n v="52"/>
  </r>
  <r>
    <x v="72"/>
    <s v="Encinal Library"/>
    <s v="91.400"/>
    <s v="Branch"/>
    <n v="1000"/>
    <n v="880"/>
    <n v="38"/>
  </r>
  <r>
    <x v="73"/>
    <s v="Lorenzo Library"/>
    <s v="94.72"/>
    <s v="Branch"/>
    <n v="1305"/>
    <n v="803"/>
    <n v="51"/>
  </r>
  <r>
    <x v="73"/>
    <s v="Ralls Library"/>
    <s v="94.73"/>
    <s v="Branch"/>
    <n v="4000"/>
    <n v="1604"/>
    <n v="51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341">
  <r>
    <x v="0"/>
    <n v="5529"/>
    <n v="2368"/>
  </r>
  <r>
    <x v="0"/>
    <n v="12900"/>
    <n v="2356"/>
  </r>
  <r>
    <x v="0"/>
    <n v="3900"/>
    <n v="2517"/>
  </r>
  <r>
    <x v="1"/>
    <n v="0"/>
    <n v="610"/>
  </r>
  <r>
    <x v="1"/>
    <n v="19000"/>
    <n v="2829"/>
  </r>
  <r>
    <x v="1"/>
    <n v="12500"/>
    <n v="2040"/>
  </r>
  <r>
    <x v="1"/>
    <n v="18500"/>
    <n v="2040"/>
  </r>
  <r>
    <x v="1"/>
    <n v="1990"/>
    <n v="2040"/>
  </r>
  <r>
    <x v="1"/>
    <n v="0"/>
    <n v="610"/>
  </r>
  <r>
    <x v="1"/>
    <n v="18000"/>
    <n v="2040"/>
  </r>
  <r>
    <x v="1"/>
    <n v="18000"/>
    <n v="2548"/>
  </r>
  <r>
    <x v="1"/>
    <n v="17350"/>
    <n v="2392"/>
  </r>
  <r>
    <x v="1"/>
    <n v="19500"/>
    <n v="2040"/>
  </r>
  <r>
    <x v="1"/>
    <n v="9030"/>
    <n v="2040"/>
  </r>
  <r>
    <x v="1"/>
    <n v="19707"/>
    <n v="2116"/>
  </r>
  <r>
    <x v="1"/>
    <n v="23460"/>
    <n v="3315"/>
  </r>
  <r>
    <x v="1"/>
    <n v="19570"/>
    <n v="2392"/>
  </r>
  <r>
    <x v="1"/>
    <n v="10600"/>
    <n v="2040"/>
  </r>
  <r>
    <x v="1"/>
    <n v="18500"/>
    <n v="2392"/>
  </r>
  <r>
    <x v="1"/>
    <n v="13532"/>
    <n v="2040"/>
  </r>
  <r>
    <x v="1"/>
    <n v="15562"/>
    <n v="2392"/>
  </r>
  <r>
    <x v="1"/>
    <n v="12900"/>
    <n v="2392"/>
  </r>
  <r>
    <x v="1"/>
    <n v="10984"/>
    <n v="2040"/>
  </r>
  <r>
    <x v="1"/>
    <n v="19500"/>
    <n v="2548"/>
  </r>
  <r>
    <x v="1"/>
    <n v="16800"/>
    <n v="2548"/>
  </r>
  <r>
    <x v="1"/>
    <n v="12400"/>
    <n v="2392"/>
  </r>
  <r>
    <x v="1"/>
    <n v="11193"/>
    <n v="2548"/>
  </r>
  <r>
    <x v="1"/>
    <n v="12037"/>
    <n v="2040"/>
  </r>
  <r>
    <x v="1"/>
    <n v="20019"/>
    <n v="2548"/>
  </r>
  <r>
    <x v="1"/>
    <n v="16605"/>
    <n v="2392"/>
  </r>
  <r>
    <x v="1"/>
    <n v="12729"/>
    <n v="2040"/>
  </r>
  <r>
    <x v="1"/>
    <n v="10700"/>
    <n v="2040"/>
  </r>
  <r>
    <x v="1"/>
    <n v="12025"/>
    <n v="2040"/>
  </r>
  <r>
    <x v="2"/>
    <n v="21450"/>
    <n v="3046"/>
  </r>
  <r>
    <x v="2"/>
    <n v="33504"/>
    <n v="3338"/>
  </r>
  <r>
    <x v="3"/>
    <n v="2400"/>
    <n v="1928"/>
  </r>
  <r>
    <x v="3"/>
    <n v="2300"/>
    <n v="1875"/>
  </r>
  <r>
    <x v="4"/>
    <n v="18500"/>
    <n v="2439"/>
  </r>
  <r>
    <x v="4"/>
    <n v="22000"/>
    <n v="2774"/>
  </r>
  <r>
    <x v="4"/>
    <n v="12035"/>
    <n v="2433"/>
  </r>
  <r>
    <x v="4"/>
    <n v="8930"/>
    <n v="2059"/>
  </r>
  <r>
    <x v="4"/>
    <n v="9750"/>
    <n v="2064"/>
  </r>
  <r>
    <x v="4"/>
    <n v="21000"/>
    <n v="2519"/>
  </r>
  <r>
    <x v="4"/>
    <n v="3000"/>
    <n v="2448"/>
  </r>
  <r>
    <x v="4"/>
    <n v="20000"/>
    <n v="2796"/>
  </r>
  <r>
    <x v="4"/>
    <n v="4000"/>
    <n v="2572"/>
  </r>
  <r>
    <x v="4"/>
    <n v="5000"/>
    <n v="2054"/>
  </r>
  <r>
    <x v="4"/>
    <n v="1600"/>
    <n v="1797"/>
  </r>
  <r>
    <x v="4"/>
    <n v="10000"/>
    <n v="2071"/>
  </r>
  <r>
    <x v="5"/>
    <n v="4034"/>
    <n v="1900"/>
  </r>
  <r>
    <x v="6"/>
    <n v="15126"/>
    <n v="2496"/>
  </r>
  <r>
    <x v="6"/>
    <n v="15000"/>
    <n v="2496"/>
  </r>
  <r>
    <x v="6"/>
    <n v="9700"/>
    <n v="2496"/>
  </r>
  <r>
    <x v="6"/>
    <n v="8107"/>
    <n v="2496"/>
  </r>
  <r>
    <x v="6"/>
    <n v="15500"/>
    <n v="2496"/>
  </r>
  <r>
    <x v="6"/>
    <n v="185"/>
    <n v="891"/>
  </r>
  <r>
    <x v="6"/>
    <n v="15000"/>
    <n v="2496"/>
  </r>
  <r>
    <x v="6"/>
    <n v="10358"/>
    <n v="3402"/>
  </r>
  <r>
    <x v="6"/>
    <n v="22000"/>
    <n v="2496"/>
  </r>
  <r>
    <x v="6"/>
    <n v="24665"/>
    <n v="2496"/>
  </r>
  <r>
    <x v="6"/>
    <n v="9200"/>
    <n v="2496"/>
  </r>
  <r>
    <x v="6"/>
    <n v="185"/>
    <n v="0"/>
  </r>
  <r>
    <x v="6"/>
    <n v="12352"/>
    <n v="2496"/>
  </r>
  <r>
    <x v="6"/>
    <n v="20200"/>
    <n v="2496"/>
  </r>
  <r>
    <x v="7"/>
    <n v="2100"/>
    <n v="2080"/>
  </r>
  <r>
    <x v="7"/>
    <n v="103"/>
    <n v="1040"/>
  </r>
  <r>
    <x v="7"/>
    <n v="580"/>
    <n v="1612"/>
  </r>
  <r>
    <x v="8"/>
    <n v="2950"/>
    <n v="988"/>
  </r>
  <r>
    <x v="9"/>
    <n v="7527"/>
    <n v="2000"/>
  </r>
  <r>
    <x v="9"/>
    <n v="5045"/>
    <n v="2000"/>
  </r>
  <r>
    <x v="9"/>
    <n v="7072"/>
    <n v="2000"/>
  </r>
  <r>
    <x v="9"/>
    <n v="9585"/>
    <n v="2000"/>
  </r>
  <r>
    <x v="9"/>
    <n v="6313"/>
    <n v="2000"/>
  </r>
  <r>
    <x v="9"/>
    <n v="6834"/>
    <n v="2000"/>
  </r>
  <r>
    <x v="9"/>
    <n v="13445"/>
    <n v="2000"/>
  </r>
  <r>
    <x v="9"/>
    <n v="25661"/>
    <n v="2000"/>
  </r>
  <r>
    <x v="9"/>
    <n v="4962"/>
    <n v="2000"/>
  </r>
  <r>
    <x v="9"/>
    <n v="8121"/>
    <n v="2000"/>
  </r>
  <r>
    <x v="9"/>
    <n v="915"/>
    <n v="2259"/>
  </r>
  <r>
    <x v="9"/>
    <n v="23990"/>
    <n v="2000"/>
  </r>
  <r>
    <x v="9"/>
    <n v="1400"/>
    <n v="2259"/>
  </r>
  <r>
    <x v="9"/>
    <n v="11068"/>
    <n v="2000"/>
  </r>
  <r>
    <x v="9"/>
    <n v="13038"/>
    <n v="2000"/>
  </r>
  <r>
    <x v="10"/>
    <n v="8000"/>
    <n v="2064"/>
  </r>
  <r>
    <x v="10"/>
    <n v="16500"/>
    <n v="2064"/>
  </r>
  <r>
    <x v="10"/>
    <n v="36920"/>
    <n v="2064"/>
  </r>
  <r>
    <x v="11"/>
    <n v="2064"/>
    <n v="1651"/>
  </r>
  <r>
    <x v="12"/>
    <n v="135"/>
    <n v="1960"/>
  </r>
  <r>
    <x v="13"/>
    <n v="10000"/>
    <n v="2808"/>
  </r>
  <r>
    <x v="13"/>
    <n v="10000"/>
    <n v="2808"/>
  </r>
  <r>
    <x v="13"/>
    <n v="8100"/>
    <n v="2808"/>
  </r>
  <r>
    <x v="13"/>
    <n v="10000"/>
    <n v="2808"/>
  </r>
  <r>
    <x v="13"/>
    <n v="15000"/>
    <n v="2840"/>
  </r>
  <r>
    <x v="13"/>
    <n v="11200"/>
    <n v="2808"/>
  </r>
  <r>
    <x v="14"/>
    <n v="10000"/>
    <n v="2944"/>
  </r>
  <r>
    <x v="14"/>
    <n v="2760"/>
    <n v="2754"/>
  </r>
  <r>
    <x v="15"/>
    <n v="4400"/>
    <n v="2288"/>
  </r>
  <r>
    <x v="16"/>
    <n v="8000"/>
    <n v="2158"/>
  </r>
  <r>
    <x v="16"/>
    <n v="11383"/>
    <n v="2158"/>
  </r>
  <r>
    <x v="16"/>
    <n v="3206"/>
    <n v="2158"/>
  </r>
  <r>
    <x v="16"/>
    <n v="20774"/>
    <n v="2483"/>
  </r>
  <r>
    <x v="17"/>
    <n v="8720"/>
    <n v="2022"/>
  </r>
  <r>
    <x v="17"/>
    <n v="19620"/>
    <n v="212"/>
  </r>
  <r>
    <x v="17"/>
    <n v="11979"/>
    <n v="1812"/>
  </r>
  <r>
    <x v="17"/>
    <n v="22365"/>
    <n v="2754"/>
  </r>
  <r>
    <x v="17"/>
    <n v="17440"/>
    <n v="2148"/>
  </r>
  <r>
    <x v="17"/>
    <n v="34936"/>
    <n v="2014"/>
  </r>
  <r>
    <x v="17"/>
    <n v="3270"/>
    <n v="1771"/>
  </r>
  <r>
    <x v="17"/>
    <n v="2000"/>
    <n v="956"/>
  </r>
  <r>
    <x v="17"/>
    <n v="9265"/>
    <n v="1770"/>
  </r>
  <r>
    <x v="17"/>
    <n v="10049"/>
    <n v="2049"/>
  </r>
  <r>
    <x v="17"/>
    <n v="15260"/>
    <n v="2164"/>
  </r>
  <r>
    <x v="17"/>
    <n v="10900"/>
    <n v="1779"/>
  </r>
  <r>
    <x v="17"/>
    <n v="12190"/>
    <n v="1765"/>
  </r>
  <r>
    <x v="17"/>
    <n v="18530"/>
    <n v="0"/>
  </r>
  <r>
    <x v="17"/>
    <n v="11178"/>
    <n v="1758"/>
  </r>
  <r>
    <x v="17"/>
    <n v="22365"/>
    <n v="2151"/>
  </r>
  <r>
    <x v="17"/>
    <n v="4524"/>
    <n v="2059"/>
  </r>
  <r>
    <x v="17"/>
    <n v="21175"/>
    <n v="2036"/>
  </r>
  <r>
    <x v="17"/>
    <n v="8930"/>
    <n v="2066"/>
  </r>
  <r>
    <x v="17"/>
    <n v="4578"/>
    <n v="1608"/>
  </r>
  <r>
    <x v="17"/>
    <n v="8339"/>
    <n v="1795"/>
  </r>
  <r>
    <x v="17"/>
    <n v="6213"/>
    <n v="2063"/>
  </r>
  <r>
    <x v="17"/>
    <n v="12116"/>
    <n v="1772"/>
  </r>
  <r>
    <x v="17"/>
    <n v="16000"/>
    <n v="2162"/>
  </r>
  <r>
    <x v="17"/>
    <n v="4360"/>
    <n v="2017"/>
  </r>
  <r>
    <x v="17"/>
    <n v="8391"/>
    <n v="2049"/>
  </r>
  <r>
    <x v="17"/>
    <n v="12252"/>
    <n v="2094"/>
  </r>
  <r>
    <x v="17"/>
    <n v="11445"/>
    <n v="2052"/>
  </r>
  <r>
    <x v="17"/>
    <n v="9045"/>
    <n v="2062"/>
  </r>
  <r>
    <x v="17"/>
    <n v="7722"/>
    <n v="1765"/>
  </r>
  <r>
    <x v="17"/>
    <n v="19864"/>
    <n v="1781"/>
  </r>
  <r>
    <x v="17"/>
    <n v="10400"/>
    <n v="1759"/>
  </r>
  <r>
    <x v="17"/>
    <n v="7922"/>
    <n v="1776"/>
  </r>
  <r>
    <x v="17"/>
    <n v="16459"/>
    <n v="1771"/>
  </r>
  <r>
    <x v="17"/>
    <n v="18094"/>
    <n v="2055"/>
  </r>
  <r>
    <x v="17"/>
    <n v="14660"/>
    <n v="1592"/>
  </r>
  <r>
    <x v="17"/>
    <n v="20393"/>
    <n v="2160"/>
  </r>
  <r>
    <x v="17"/>
    <n v="450"/>
    <n v="669"/>
  </r>
  <r>
    <x v="17"/>
    <n v="3636"/>
    <n v="2014"/>
  </r>
  <r>
    <x v="17"/>
    <n v="26007"/>
    <n v="1936"/>
  </r>
  <r>
    <x v="17"/>
    <n v="93000"/>
    <n v="2045"/>
  </r>
  <r>
    <x v="18"/>
    <n v="10500"/>
    <n v="1799"/>
  </r>
  <r>
    <x v="18"/>
    <n v="12000"/>
    <n v="1909"/>
  </r>
  <r>
    <x v="18"/>
    <n v="6922"/>
    <n v="1140"/>
  </r>
  <r>
    <x v="18"/>
    <n v="2700"/>
    <n v="2054"/>
  </r>
  <r>
    <x v="18"/>
    <n v="13268"/>
    <n v="2209"/>
  </r>
  <r>
    <x v="18"/>
    <n v="12000"/>
    <n v="2261"/>
  </r>
  <r>
    <x v="18"/>
    <n v="7247"/>
    <n v="2207"/>
  </r>
  <r>
    <x v="18"/>
    <n v="42000"/>
    <n v="2654"/>
  </r>
  <r>
    <x v="18"/>
    <n v="9500"/>
    <n v="2362"/>
  </r>
  <r>
    <x v="18"/>
    <n v="5883"/>
    <n v="2012"/>
  </r>
  <r>
    <x v="18"/>
    <n v="10500"/>
    <n v="2357"/>
  </r>
  <r>
    <x v="18"/>
    <n v="6100"/>
    <n v="2150"/>
  </r>
  <r>
    <x v="18"/>
    <n v="14000"/>
    <n v="2463"/>
  </r>
  <r>
    <x v="18"/>
    <n v="20000"/>
    <n v="1960"/>
  </r>
  <r>
    <x v="18"/>
    <n v="10137"/>
    <n v="2159"/>
  </r>
  <r>
    <x v="18"/>
    <n v="15000"/>
    <n v="2215"/>
  </r>
  <r>
    <x v="18"/>
    <n v="15000"/>
    <n v="2254"/>
  </r>
  <r>
    <x v="18"/>
    <n v="12300"/>
    <n v="2357"/>
  </r>
  <r>
    <x v="18"/>
    <n v="30000"/>
    <n v="2667"/>
  </r>
  <r>
    <x v="18"/>
    <n v="23357"/>
    <n v="2359"/>
  </r>
  <r>
    <x v="18"/>
    <n v="21100"/>
    <n v="2354"/>
  </r>
  <r>
    <x v="18"/>
    <n v="6910"/>
    <n v="1909"/>
  </r>
  <r>
    <x v="18"/>
    <n v="32000"/>
    <n v="2660"/>
  </r>
  <r>
    <x v="18"/>
    <n v="72000"/>
    <n v="3557"/>
  </r>
  <r>
    <x v="18"/>
    <n v="12000"/>
    <n v="2357"/>
  </r>
  <r>
    <x v="18"/>
    <n v="78500"/>
    <n v="4270"/>
  </r>
  <r>
    <x v="18"/>
    <n v="552"/>
    <n v="2000"/>
  </r>
  <r>
    <x v="18"/>
    <n v="275"/>
    <n v="2000"/>
  </r>
  <r>
    <x v="19"/>
    <n v="25000"/>
    <n v="2818"/>
  </r>
  <r>
    <x v="19"/>
    <n v="5700"/>
    <n v="1694"/>
  </r>
  <r>
    <x v="19"/>
    <n v="26000"/>
    <n v="2792"/>
  </r>
  <r>
    <x v="19"/>
    <n v="52570"/>
    <n v="2824"/>
  </r>
  <r>
    <x v="20"/>
    <n v="5600"/>
    <n v="2950"/>
  </r>
  <r>
    <x v="20"/>
    <n v="11880"/>
    <n v="3153"/>
  </r>
  <r>
    <x v="21"/>
    <n v="36176"/>
    <n v="2392"/>
  </r>
  <r>
    <x v="21"/>
    <n v="14967"/>
    <n v="2912"/>
  </r>
  <r>
    <x v="21"/>
    <n v="8266"/>
    <n v="2912"/>
  </r>
  <r>
    <x v="21"/>
    <n v="8580"/>
    <n v="2912"/>
  </r>
  <r>
    <x v="21"/>
    <n v="8110"/>
    <n v="2912"/>
  </r>
  <r>
    <x v="21"/>
    <n v="6700"/>
    <n v="2912"/>
  </r>
  <r>
    <x v="21"/>
    <n v="11000"/>
    <n v="3120"/>
  </r>
  <r>
    <x v="21"/>
    <n v="14500"/>
    <n v="3120"/>
  </r>
  <r>
    <x v="21"/>
    <n v="15120"/>
    <n v="3120"/>
  </r>
  <r>
    <x v="21"/>
    <n v="7536"/>
    <n v="2860"/>
  </r>
  <r>
    <x v="21"/>
    <n v="10738"/>
    <n v="2912"/>
  </r>
  <r>
    <x v="21"/>
    <n v="9017"/>
    <n v="2912"/>
  </r>
  <r>
    <x v="21"/>
    <n v="9017"/>
    <n v="2912"/>
  </r>
  <r>
    <x v="21"/>
    <n v="16000"/>
    <n v="2912"/>
  </r>
  <r>
    <x v="21"/>
    <n v="16000"/>
    <n v="3120"/>
  </r>
  <r>
    <x v="21"/>
    <n v="13257"/>
    <n v="2912"/>
  </r>
  <r>
    <x v="21"/>
    <n v="10827"/>
    <n v="2912"/>
  </r>
  <r>
    <x v="21"/>
    <n v="10120"/>
    <n v="2912"/>
  </r>
  <r>
    <x v="21"/>
    <n v="8000"/>
    <n v="2912"/>
  </r>
  <r>
    <x v="21"/>
    <n v="8630"/>
    <n v="2912"/>
  </r>
  <r>
    <x v="21"/>
    <n v="8320"/>
    <n v="2912"/>
  </r>
  <r>
    <x v="22"/>
    <n v="9606"/>
    <n v="1560"/>
  </r>
  <r>
    <x v="23"/>
    <n v="1795"/>
    <n v="684"/>
  </r>
  <r>
    <x v="24"/>
    <n v="9800"/>
    <n v="2808"/>
  </r>
  <r>
    <x v="25"/>
    <n v="5051"/>
    <n v="2163"/>
  </r>
  <r>
    <x v="25"/>
    <n v="240"/>
    <n v="132"/>
  </r>
  <r>
    <x v="25"/>
    <n v="15151"/>
    <n v="2238"/>
  </r>
  <r>
    <x v="25"/>
    <n v="1073"/>
    <n v="753"/>
  </r>
  <r>
    <x v="25"/>
    <n v="8034"/>
    <n v="2354"/>
  </r>
  <r>
    <x v="25"/>
    <n v="20000"/>
    <n v="2230"/>
  </r>
  <r>
    <x v="26"/>
    <n v="1287"/>
    <n v="665"/>
  </r>
  <r>
    <x v="27"/>
    <n v="3433"/>
    <n v="2100"/>
  </r>
  <r>
    <x v="27"/>
    <n v="9200"/>
    <n v="2210"/>
  </r>
  <r>
    <x v="28"/>
    <n v="500"/>
    <n v="1005"/>
  </r>
  <r>
    <x v="29"/>
    <n v="12630"/>
    <n v="2727"/>
  </r>
  <r>
    <x v="29"/>
    <n v="10426"/>
    <n v="2727"/>
  </r>
  <r>
    <x v="29"/>
    <n v="10426"/>
    <n v="2727"/>
  </r>
  <r>
    <x v="30"/>
    <n v="11000"/>
    <n v="3322"/>
  </r>
  <r>
    <x v="30"/>
    <n v="11000"/>
    <n v="3322"/>
  </r>
  <r>
    <x v="31"/>
    <n v="20000"/>
    <n v="3296"/>
  </r>
  <r>
    <x v="32"/>
    <n v="10000"/>
    <n v="2735"/>
  </r>
  <r>
    <x v="33"/>
    <n v="32956"/>
    <n v="2965"/>
  </r>
  <r>
    <x v="33"/>
    <n v="74"/>
    <n v="241"/>
  </r>
  <r>
    <x v="34"/>
    <n v="0"/>
    <n v="212"/>
  </r>
  <r>
    <x v="35"/>
    <n v="480"/>
    <n v="936"/>
  </r>
  <r>
    <x v="35"/>
    <n v="2030"/>
    <n v="1664"/>
  </r>
  <r>
    <x v="36"/>
    <n v="500"/>
    <n v="1000"/>
  </r>
  <r>
    <x v="37"/>
    <n v="805"/>
    <n v="2080"/>
  </r>
  <r>
    <x v="37"/>
    <n v="150"/>
    <n v="300"/>
  </r>
  <r>
    <x v="38"/>
    <n v="736"/>
    <n v="1370"/>
  </r>
  <r>
    <x v="39"/>
    <n v="1099"/>
    <n v="1030"/>
  </r>
  <r>
    <x v="40"/>
    <n v="1000"/>
    <n v="992"/>
  </r>
  <r>
    <x v="40"/>
    <n v="3444"/>
    <n v="991"/>
  </r>
  <r>
    <x v="40"/>
    <n v="1200"/>
    <n v="984"/>
  </r>
  <r>
    <x v="41"/>
    <n v="11500"/>
    <n v="3132"/>
  </r>
  <r>
    <x v="41"/>
    <n v="1400"/>
    <n v="2617"/>
  </r>
  <r>
    <x v="41"/>
    <n v="16030"/>
    <n v="3132"/>
  </r>
  <r>
    <x v="41"/>
    <n v="24008"/>
    <n v="3124"/>
  </r>
  <r>
    <x v="41"/>
    <n v="11970"/>
    <n v="3132"/>
  </r>
  <r>
    <x v="42"/>
    <n v="10300"/>
    <n v="2713"/>
  </r>
  <r>
    <x v="43"/>
    <n v="30000"/>
    <n v="3444"/>
  </r>
  <r>
    <x v="43"/>
    <n v="30000"/>
    <n v="3444"/>
  </r>
  <r>
    <x v="43"/>
    <n v="30000"/>
    <n v="3444"/>
  </r>
  <r>
    <x v="43"/>
    <n v="30000"/>
    <n v="3423"/>
  </r>
  <r>
    <x v="44"/>
    <m/>
    <n v="0"/>
  </r>
  <r>
    <x v="45"/>
    <n v="3867"/>
    <n v="1470"/>
  </r>
  <r>
    <x v="45"/>
    <n v="1786"/>
    <n v="1504"/>
  </r>
  <r>
    <x v="45"/>
    <n v="7560"/>
    <n v="1531"/>
  </r>
  <r>
    <x v="46"/>
    <n v="888"/>
    <n v="714"/>
  </r>
  <r>
    <x v="47"/>
    <n v="18600"/>
    <n v="2531"/>
  </r>
  <r>
    <x v="47"/>
    <n v="6280"/>
    <n v="2134"/>
  </r>
  <r>
    <x v="47"/>
    <n v="77000"/>
    <n v="3397"/>
  </r>
  <r>
    <x v="47"/>
    <n v="1535"/>
    <n v="2232"/>
  </r>
  <r>
    <x v="47"/>
    <n v="10500"/>
    <n v="2130"/>
  </r>
  <r>
    <x v="47"/>
    <n v="4800"/>
    <n v="1842"/>
  </r>
  <r>
    <x v="47"/>
    <n v="19400"/>
    <n v="2390"/>
  </r>
  <r>
    <x v="47"/>
    <n v="33500"/>
    <n v="2521"/>
  </r>
  <r>
    <x v="47"/>
    <n v="21300"/>
    <n v="2528"/>
  </r>
  <r>
    <x v="47"/>
    <n v="44989"/>
    <n v="3206"/>
  </r>
  <r>
    <x v="47"/>
    <n v="40193"/>
    <n v="2869"/>
  </r>
  <r>
    <x v="48"/>
    <n v="1430"/>
    <n v="917"/>
  </r>
  <r>
    <x v="49"/>
    <n v="5096"/>
    <n v="1932"/>
  </r>
  <r>
    <x v="49"/>
    <n v="2680"/>
    <n v="1684"/>
  </r>
  <r>
    <x v="50"/>
    <n v="12000"/>
    <n v="2912"/>
  </r>
  <r>
    <x v="50"/>
    <n v="14470"/>
    <n v="2912"/>
  </r>
  <r>
    <x v="50"/>
    <n v="10770"/>
    <n v="2912"/>
  </r>
  <r>
    <x v="50"/>
    <n v="13617"/>
    <n v="2912"/>
  </r>
  <r>
    <x v="50"/>
    <n v="10137"/>
    <n v="2912"/>
  </r>
  <r>
    <x v="50"/>
    <n v="13065"/>
    <n v="2912"/>
  </r>
  <r>
    <x v="50"/>
    <n v="11428"/>
    <n v="2912"/>
  </r>
  <r>
    <x v="50"/>
    <n v="5252"/>
    <n v="2912"/>
  </r>
  <r>
    <x v="50"/>
    <n v="13792"/>
    <n v="2912"/>
  </r>
  <r>
    <x v="50"/>
    <n v="12677"/>
    <n v="2912"/>
  </r>
  <r>
    <x v="50"/>
    <n v="9999"/>
    <n v="2912"/>
  </r>
  <r>
    <x v="50"/>
    <n v="13060"/>
    <n v="2912"/>
  </r>
  <r>
    <x v="50"/>
    <n v="11322"/>
    <n v="2912"/>
  </r>
  <r>
    <x v="50"/>
    <n v="4450"/>
    <n v="2912"/>
  </r>
  <r>
    <x v="50"/>
    <n v="12304"/>
    <n v="2912"/>
  </r>
  <r>
    <x v="50"/>
    <n v="12035"/>
    <n v="2912"/>
  </r>
  <r>
    <x v="50"/>
    <n v="11350"/>
    <n v="2912"/>
  </r>
  <r>
    <x v="50"/>
    <n v="17032"/>
    <n v="2912"/>
  </r>
  <r>
    <x v="50"/>
    <n v="14452"/>
    <n v="2912"/>
  </r>
  <r>
    <x v="50"/>
    <n v="15975"/>
    <n v="2912"/>
  </r>
  <r>
    <x v="50"/>
    <n v="15525"/>
    <n v="2912"/>
  </r>
  <r>
    <x v="50"/>
    <n v="16554"/>
    <n v="2912"/>
  </r>
  <r>
    <x v="50"/>
    <n v="14288"/>
    <n v="2912"/>
  </r>
  <r>
    <x v="50"/>
    <n v="16450"/>
    <n v="2912"/>
  </r>
  <r>
    <x v="50"/>
    <n v="16684"/>
    <n v="2912"/>
  </r>
  <r>
    <x v="50"/>
    <n v="830"/>
    <n v="2280"/>
  </r>
  <r>
    <x v="50"/>
    <n v="10177"/>
    <n v="2912"/>
  </r>
  <r>
    <x v="50"/>
    <n v="5000"/>
    <n v="0"/>
  </r>
  <r>
    <x v="50"/>
    <n v="11366"/>
    <n v="0"/>
  </r>
  <r>
    <x v="51"/>
    <n v="890"/>
    <n v="1930"/>
  </r>
  <r>
    <x v="52"/>
    <n v="0"/>
    <n v="495"/>
  </r>
  <r>
    <x v="53"/>
    <n v="13382"/>
    <n v="2642"/>
  </r>
  <r>
    <x v="53"/>
    <n v="11200"/>
    <n v="2642"/>
  </r>
  <r>
    <x v="53"/>
    <n v="32293"/>
    <n v="2774"/>
  </r>
  <r>
    <x v="54"/>
    <n v="1300"/>
    <n v="1487"/>
  </r>
  <r>
    <x v="54"/>
    <n v="2025"/>
    <n v="1487"/>
  </r>
  <r>
    <x v="55"/>
    <n v="5000"/>
    <n v="1331"/>
  </r>
  <r>
    <x v="55"/>
    <n v="14300"/>
    <n v="2203"/>
  </r>
  <r>
    <x v="55"/>
    <n v="1676"/>
    <n v="618"/>
  </r>
  <r>
    <x v="56"/>
    <n v="1388"/>
    <n v="1769"/>
  </r>
  <r>
    <x v="56"/>
    <n v="1684"/>
    <n v="1771"/>
  </r>
  <r>
    <x v="57"/>
    <n v="1680"/>
    <n v="0"/>
  </r>
  <r>
    <x v="58"/>
    <n v="14229"/>
    <n v="2700"/>
  </r>
  <r>
    <x v="59"/>
    <n v="20000"/>
    <n v="2602"/>
  </r>
  <r>
    <x v="60"/>
    <n v="5234"/>
    <n v="1600"/>
  </r>
  <r>
    <x v="60"/>
    <n v="1500"/>
    <n v="1091"/>
  </r>
  <r>
    <x v="61"/>
    <n v="1550"/>
    <n v="1872"/>
  </r>
  <r>
    <x v="62"/>
    <n v="1081"/>
    <n v="797"/>
  </r>
  <r>
    <x v="62"/>
    <n v="2500"/>
    <n v="972"/>
  </r>
  <r>
    <x v="63"/>
    <n v="6000"/>
    <n v="1620"/>
  </r>
  <r>
    <x v="63"/>
    <n v="25500"/>
    <n v="2798"/>
  </r>
  <r>
    <x v="63"/>
    <n v="16000"/>
    <n v="3172"/>
  </r>
  <r>
    <x v="64"/>
    <n v="3000"/>
    <n v="2930"/>
  </r>
  <r>
    <x v="65"/>
    <n v="1468"/>
    <n v="2984"/>
  </r>
  <r>
    <x v="66"/>
    <n v="8550"/>
    <n v="2000"/>
  </r>
  <r>
    <x v="66"/>
    <n v="800"/>
    <n v="416"/>
  </r>
  <r>
    <x v="66"/>
    <n v="10231"/>
    <n v="2040"/>
  </r>
  <r>
    <x v="66"/>
    <n v="15200"/>
    <n v="2000"/>
  </r>
  <r>
    <x v="67"/>
    <n v="15"/>
    <n v="120"/>
  </r>
  <r>
    <x v="68"/>
    <n v="37000"/>
    <n v="2499"/>
  </r>
  <r>
    <x v="69"/>
    <n v="170"/>
    <n v="800"/>
  </r>
  <r>
    <x v="69"/>
    <n v="2100"/>
    <n v="2828"/>
  </r>
  <r>
    <x v="69"/>
    <n v="4883"/>
    <n v="2828"/>
  </r>
  <r>
    <x v="70"/>
    <n v="30116"/>
    <n v="3138"/>
  </r>
  <r>
    <x v="70"/>
    <n v="7200"/>
    <n v="2412"/>
  </r>
  <r>
    <x v="70"/>
    <n v="14560"/>
    <n v="2975"/>
  </r>
  <r>
    <x v="70"/>
    <n v="29600"/>
    <n v="2983"/>
  </r>
  <r>
    <x v="70"/>
    <n v="30000"/>
    <n v="3124"/>
  </r>
  <r>
    <x v="70"/>
    <n v="8400"/>
    <n v="2611"/>
  </r>
  <r>
    <x v="71"/>
    <n v="12000"/>
    <n v="2860"/>
  </r>
  <r>
    <x v="71"/>
    <n v="17000"/>
    <n v="2948"/>
  </r>
  <r>
    <x v="71"/>
    <n v="13000"/>
    <n v="2860"/>
  </r>
  <r>
    <x v="71"/>
    <n v="12771"/>
    <n v="2860"/>
  </r>
  <r>
    <x v="71"/>
    <n v="13500"/>
    <n v="2912"/>
  </r>
  <r>
    <x v="72"/>
    <n v="15536"/>
    <n v="3226"/>
  </r>
  <r>
    <x v="72"/>
    <n v="20000"/>
    <n v="3533"/>
  </r>
  <r>
    <x v="72"/>
    <n v="10000"/>
    <n v="3226"/>
  </r>
  <r>
    <x v="72"/>
    <n v="10000"/>
    <n v="3226"/>
  </r>
  <r>
    <x v="73"/>
    <n v="1000"/>
    <n v="1066"/>
  </r>
  <r>
    <x v="74"/>
    <n v="1305"/>
    <n v="805"/>
  </r>
  <r>
    <x v="74"/>
    <n v="4000"/>
    <n v="1516"/>
  </r>
  <r>
    <x v="75"/>
    <s v="4,208,294"/>
    <s v="754,78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600-000000000000}" name="PivotTable1" cacheId="0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I2:K78" firstHeaderRow="1" firstDataRow="2" firstDataCol="1"/>
  <pivotFields count="7">
    <pivotField axis="axisRow" numFmtId="1" showAll="0">
      <items count="75">
        <item x="20"/>
        <item x="60"/>
        <item x="71"/>
        <item x="0"/>
        <item x="4"/>
        <item x="13"/>
        <item x="21"/>
        <item x="36"/>
        <item x="41"/>
        <item x="56"/>
        <item x="59"/>
        <item x="61"/>
        <item x="63"/>
        <item x="66"/>
        <item x="67"/>
        <item x="69"/>
        <item x="70"/>
        <item x="72"/>
        <item x="73"/>
        <item x="1"/>
        <item x="2"/>
        <item x="3"/>
        <item x="5"/>
        <item x="6"/>
        <item x="7"/>
        <item x="8"/>
        <item x="9"/>
        <item x="10"/>
        <item x="11"/>
        <item x="12"/>
        <item x="14"/>
        <item x="15"/>
        <item x="16"/>
        <item x="17"/>
        <item x="18"/>
        <item x="19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7"/>
        <item x="38"/>
        <item x="39"/>
        <item x="40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7"/>
        <item x="58"/>
        <item x="62"/>
        <item x="64"/>
        <item x="65"/>
        <item x="68"/>
        <item t="default"/>
      </items>
    </pivotField>
    <pivotField showAll="0"/>
    <pivotField showAll="0"/>
    <pivotField showAll="0"/>
    <pivotField dataField="1" numFmtId="1" showAll="0"/>
    <pivotField dataField="1" numFmtId="1" showAll="0"/>
    <pivotField numFmtId="1" showAll="0"/>
  </pivotFields>
  <rowFields count="1">
    <field x="0"/>
  </rowFields>
  <rowItems count="7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 t="grand">
      <x/>
    </i>
  </rowItems>
  <colFields count="1">
    <field x="-2"/>
  </colFields>
  <colItems count="2">
    <i>
      <x/>
    </i>
    <i i="1">
      <x v="1"/>
    </i>
  </colItems>
  <dataFields count="2">
    <dataField name="Sum of Sqft:Q467" fld="4" baseField="0" baseItem="0"/>
    <dataField name="Sum of Hrs:Q480" fld="5" baseField="0" baseItem="0"/>
  </dataField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700-000000000000}" name="PivotTable1" cacheId="1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 rowHeaderCaption="ID">
  <location ref="E2:G80" firstHeaderRow="1" firstDataRow="2" firstDataCol="1"/>
  <pivotFields count="3">
    <pivotField axis="axisRow" showAll="0">
      <items count="77">
        <item x="20"/>
        <item x="60"/>
        <item x="72"/>
        <item x="0"/>
        <item x="4"/>
        <item x="13"/>
        <item x="21"/>
        <item x="36"/>
        <item x="41"/>
        <item x="56"/>
        <item x="59"/>
        <item x="61"/>
        <item x="63"/>
        <item x="66"/>
        <item x="68"/>
        <item x="70"/>
        <item x="71"/>
        <item x="73"/>
        <item x="74"/>
        <item x="1"/>
        <item x="2"/>
        <item x="3"/>
        <item x="5"/>
        <item x="6"/>
        <item x="7"/>
        <item x="8"/>
        <item x="9"/>
        <item x="10"/>
        <item x="11"/>
        <item x="12"/>
        <item x="14"/>
        <item x="15"/>
        <item x="16"/>
        <item x="17"/>
        <item x="18"/>
        <item x="19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7"/>
        <item x="38"/>
        <item x="39"/>
        <item x="40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7"/>
        <item x="58"/>
        <item x="62"/>
        <item x="64"/>
        <item x="65"/>
        <item x="67"/>
        <item x="69"/>
        <item x="75"/>
        <item t="default"/>
      </items>
    </pivotField>
    <pivotField dataField="1" showAll="0" defaultSubtotal="0"/>
    <pivotField dataField="1" showAll="0" defaultSubtotal="0"/>
  </pivotFields>
  <rowFields count="1">
    <field x="0"/>
  </rowFields>
  <rowItems count="77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 t="grand">
      <x/>
    </i>
  </rowItems>
  <colFields count="1">
    <field x="-2"/>
  </colFields>
  <colItems count="2">
    <i>
      <x/>
    </i>
    <i i="1">
      <x v="1"/>
    </i>
  </colItems>
  <dataFields count="2">
    <dataField name="Sum of SqFt" fld="1" baseField="0" baseItem="0"/>
    <dataField name="Sum of Hours" fld="2" baseField="0" baseItem="0"/>
  </dataFields>
  <formats count="6">
    <format dxfId="5">
      <pivotArea type="all" dataOnly="0" outline="0" fieldPosition="0"/>
    </format>
    <format dxfId="4">
      <pivotArea type="origin" dataOnly="0" labelOnly="1" outline="0" fieldPosition="0"/>
    </format>
    <format dxfId="3">
      <pivotArea field="0" type="button" dataOnly="0" labelOnly="1" outline="0" axis="axisRow" fieldPosition="0"/>
    </format>
    <format dxfId="2">
      <pivotArea dataOnly="0" labelOnly="1" fieldPosition="0">
        <references count="1">
          <reference field="0" count="50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49"/>
          </reference>
        </references>
      </pivotArea>
    </format>
    <format dxfId="1">
      <pivotArea dataOnly="0" labelOnly="1" fieldPosition="0">
        <references count="1">
          <reference field="0" count="26">
            <x v="50"/>
            <x v="51"/>
            <x v="52"/>
            <x v="53"/>
            <x v="54"/>
            <x v="55"/>
            <x v="56"/>
            <x v="57"/>
            <x v="58"/>
            <x v="59"/>
            <x v="60"/>
            <x v="61"/>
            <x v="62"/>
            <x v="63"/>
            <x v="64"/>
            <x v="65"/>
            <x v="66"/>
            <x v="67"/>
            <x v="68"/>
            <x v="69"/>
            <x v="70"/>
            <x v="71"/>
            <x v="72"/>
            <x v="73"/>
            <x v="74"/>
            <x v="75"/>
          </reference>
        </references>
      </pivotArea>
    </format>
    <format dxfId="0">
      <pivotArea dataOnly="0" labelOnly="1" grandRow="1" outline="0" fieldPosition="0"/>
    </format>
  </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Apex">
  <a:themeElements>
    <a:clrScheme name="Apex">
      <a:dk1>
        <a:sysClr val="windowText" lastClr="000000"/>
      </a:dk1>
      <a:lt1>
        <a:sysClr val="window" lastClr="FFFFFF"/>
      </a:lt1>
      <a:dk2>
        <a:srgbClr val="69676D"/>
      </a:dk2>
      <a:lt2>
        <a:srgbClr val="C9C2D1"/>
      </a:lt2>
      <a:accent1>
        <a:srgbClr val="CEB966"/>
      </a:accent1>
      <a:accent2>
        <a:srgbClr val="9CB084"/>
      </a:accent2>
      <a:accent3>
        <a:srgbClr val="6BB1C9"/>
      </a:accent3>
      <a:accent4>
        <a:srgbClr val="6585CF"/>
      </a:accent4>
      <a:accent5>
        <a:srgbClr val="7E6BC9"/>
      </a:accent5>
      <a:accent6>
        <a:srgbClr val="A379BB"/>
      </a:accent6>
      <a:hlink>
        <a:srgbClr val="410082"/>
      </a:hlink>
      <a:folHlink>
        <a:srgbClr val="932968"/>
      </a:folHlink>
    </a:clrScheme>
    <a:fontScheme name="Apex">
      <a:majorFont>
        <a:latin typeface="Lucida Sans"/>
        <a:ea typeface=""/>
        <a:cs typeface=""/>
        <a:font script="Grek" typeface="Arial"/>
        <a:font script="Cyrl" typeface="Arial"/>
        <a:font script="Jpan" typeface="HG丸ｺﾞｼｯｸM-PRO"/>
        <a:font script="Hang" typeface="휴먼옛체"/>
        <a:font script="Hans" typeface="黑体"/>
        <a:font script="Hant" typeface="微軟正黑體"/>
        <a:font script="Arab" typeface="Tahoma"/>
        <a:font script="Hebr" typeface="Levenim MT"/>
        <a:font script="Thai" typeface="Frees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</a:majorFont>
      <a:minorFont>
        <a:latin typeface="Book Antiqua"/>
        <a:ea typeface=""/>
        <a:cs typeface=""/>
        <a:font script="Grek" typeface="Times New Roman"/>
        <a:font script="Cyrl" typeface="Times New Roman"/>
        <a:font script="Jpan" typeface="HG明朝B"/>
        <a:font script="Hang" typeface="돋움"/>
        <a:font script="Hans" typeface="宋体"/>
        <a:font script="Hant" typeface="新細明體"/>
        <a:font script="Arab" typeface="Times New Roman"/>
        <a:font script="Hebr" typeface="David"/>
        <a:font script="Thai" typeface="EucrosiaUPC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inorFont>
    </a:fontScheme>
    <a:fmtScheme name="Apex">
      <a:fillStyleLst>
        <a:solidFill>
          <a:schemeClr val="phClr"/>
        </a:solidFill>
        <a:gradFill rotWithShape="1">
          <a:gsLst>
            <a:gs pos="20000">
              <a:schemeClr val="phClr">
                <a:tint val="9000"/>
              </a:schemeClr>
            </a:gs>
            <a:gs pos="100000">
              <a:schemeClr val="phClr">
                <a:tint val="70000"/>
                <a:satMod val="100000"/>
              </a:schemeClr>
            </a:gs>
          </a:gsLst>
          <a:path path="circle">
            <a:fillToRect l="-15000" t="-15000" r="115000" b="115000"/>
          </a:path>
        </a:gradFill>
        <a:gradFill rotWithShape="1">
          <a:gsLst>
            <a:gs pos="0">
              <a:schemeClr val="phClr">
                <a:shade val="60000"/>
              </a:schemeClr>
            </a:gs>
            <a:gs pos="33000">
              <a:schemeClr val="phClr">
                <a:tint val="86500"/>
              </a:schemeClr>
            </a:gs>
            <a:gs pos="46750">
              <a:schemeClr val="phClr">
                <a:tint val="71000"/>
                <a:satMod val="112000"/>
              </a:schemeClr>
            </a:gs>
            <a:gs pos="53000">
              <a:schemeClr val="phClr">
                <a:tint val="71000"/>
                <a:satMod val="112000"/>
              </a:schemeClr>
            </a:gs>
            <a:gs pos="68000">
              <a:schemeClr val="phClr">
                <a:tint val="86000"/>
              </a:schemeClr>
            </a:gs>
            <a:gs pos="100000">
              <a:schemeClr val="phClr">
                <a:shade val="60000"/>
              </a:schemeClr>
            </a:gs>
          </a:gsLst>
          <a:lin ang="8350000" scaled="1"/>
        </a:gradFill>
      </a:fillStyleLst>
      <a:lnStyleLst>
        <a:ln w="9525" cap="flat" cmpd="sng" algn="ctr">
          <a:solidFill>
            <a:schemeClr val="phClr">
              <a:shade val="48000"/>
              <a:satMod val="110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130000" dist="101600" dir="2700000" algn="tl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190500" dist="228600" dir="2700000" sy="90000" rotWithShape="0">
              <a:srgbClr val="000000">
                <a:alpha val="25500"/>
              </a:srgbClr>
            </a:outerShdw>
          </a:effectLst>
        </a:effectStyle>
        <a:effectStyle>
          <a:effectLst>
            <a:outerShdw blurRad="190500" dist="228600" dir="2700000" sy="90000" rotWithShape="0">
              <a:srgbClr val="000000">
                <a:alpha val="25500"/>
              </a:srgbClr>
            </a:outerShdw>
          </a:effectLst>
          <a:scene3d>
            <a:camera prst="orthographicFront" fov="0">
              <a:rot lat="0" lon="0" rev="0"/>
            </a:camera>
            <a:lightRig rig="soft" dir="tl">
              <a:rot lat="0" lon="0" rev="20100000"/>
            </a:lightRig>
          </a:scene3d>
          <a:sp3d>
            <a:bevelT w="50800" h="508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180000"/>
              </a:schemeClr>
            </a:gs>
            <a:gs pos="100000">
              <a:schemeClr val="phClr">
                <a:shade val="45000"/>
                <a:satMod val="120000"/>
              </a:schemeClr>
            </a:gs>
          </a:gsLst>
          <a:path path="circle">
            <a:fillToRect r="100000" b="100000"/>
          </a:path>
        </a:gradFill>
        <a:blipFill>
          <a:blip xmlns:r="http://schemas.openxmlformats.org/officeDocument/2006/relationships" r:embed="rId1">
            <a:duotone>
              <a:schemeClr val="phClr">
                <a:shade val="3000"/>
                <a:satMod val="110000"/>
              </a:schemeClr>
              <a:schemeClr val="phClr">
                <a:tint val="60000"/>
                <a:satMod val="425000"/>
              </a:schemeClr>
            </a:duotone>
          </a:blip>
          <a:stretch>
            <a:fillRect/>
          </a:stretch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creativecommons.org/licenses/by-nc-sa/4.0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G74"/>
  <sheetViews>
    <sheetView showGridLines="0" tabSelected="1" workbookViewId="0">
      <selection activeCell="F20" sqref="F20"/>
    </sheetView>
  </sheetViews>
  <sheetFormatPr defaultColWidth="8.875" defaultRowHeight="16.5" x14ac:dyDescent="0.3"/>
  <cols>
    <col min="1" max="1" width="9.375" style="235" customWidth="1"/>
    <col min="2" max="2" width="29.875" style="235" customWidth="1"/>
    <col min="3" max="3" width="32.625" style="254" customWidth="1"/>
    <col min="4" max="4" width="7.125" style="235" customWidth="1"/>
    <col min="5" max="5" width="13.125" style="235" customWidth="1"/>
    <col min="6" max="6" width="8.5" style="235" customWidth="1"/>
    <col min="7" max="7" width="4.875" style="235" customWidth="1"/>
    <col min="8" max="8" width="10.625" style="235" customWidth="1"/>
    <col min="9" max="9" width="11.625" style="244" customWidth="1"/>
    <col min="10" max="10" width="12" style="235" customWidth="1"/>
    <col min="11" max="11" width="13.125" style="244" customWidth="1"/>
    <col min="12" max="12" width="13.625" style="235" customWidth="1"/>
    <col min="13" max="13" width="11.625" style="244" customWidth="1"/>
    <col min="14" max="14" width="11.625" style="235" customWidth="1"/>
    <col min="15" max="15" width="18.125" style="235" customWidth="1"/>
    <col min="16" max="24" width="11.625" style="235" customWidth="1"/>
    <col min="25" max="27" width="11.625" style="236" customWidth="1"/>
    <col min="28" max="28" width="9" style="236" customWidth="1"/>
    <col min="29" max="31" width="11.625" style="236" customWidth="1"/>
    <col min="32" max="32" width="11.625" style="235" customWidth="1"/>
    <col min="33" max="33" width="8.625" style="235" customWidth="1"/>
    <col min="34" max="34" width="11.625" style="235" customWidth="1"/>
    <col min="35" max="37" width="10.375" style="235" bestFit="1" customWidth="1"/>
    <col min="38" max="38" width="9.125" style="235" bestFit="1" customWidth="1"/>
    <col min="39" max="39" width="9.875" style="235" bestFit="1" customWidth="1"/>
    <col min="40" max="40" width="9.125" style="235" bestFit="1" customWidth="1"/>
    <col min="41" max="41" width="9.875" style="235" bestFit="1" customWidth="1"/>
    <col min="42" max="42" width="9.625" style="235" bestFit="1" customWidth="1"/>
    <col min="43" max="43" width="9.875" style="235" bestFit="1" customWidth="1"/>
    <col min="44" max="44" width="9.5" style="235" bestFit="1" customWidth="1"/>
    <col min="45" max="46" width="9.875" style="235" bestFit="1" customWidth="1"/>
    <col min="47" max="47" width="9.125" style="235" bestFit="1" customWidth="1"/>
    <col min="48" max="48" width="9.875" style="235" bestFit="1" customWidth="1"/>
    <col min="49" max="49" width="9.125" style="235" bestFit="1" customWidth="1"/>
    <col min="50" max="50" width="9.875" style="235" bestFit="1" customWidth="1"/>
    <col min="51" max="51" width="9.125" style="235" bestFit="1" customWidth="1"/>
    <col min="52" max="52" width="9.875" style="235" bestFit="1" customWidth="1"/>
    <col min="53" max="53" width="8.625" style="235" bestFit="1" customWidth="1"/>
    <col min="54" max="55" width="9.875" style="235" bestFit="1" customWidth="1"/>
    <col min="56" max="56" width="8.125" style="235" bestFit="1" customWidth="1"/>
    <col min="57" max="57" width="8.5" style="235" bestFit="1" customWidth="1"/>
    <col min="58" max="58" width="7.625" style="235" bestFit="1" customWidth="1"/>
    <col min="59" max="59" width="11.625" style="235" bestFit="1" customWidth="1"/>
    <col min="60" max="60" width="9.5" style="235" bestFit="1" customWidth="1"/>
    <col min="61" max="61" width="8.125" style="235" bestFit="1" customWidth="1"/>
    <col min="62" max="62" width="6.625" style="235" bestFit="1" customWidth="1"/>
    <col min="63" max="63" width="8.125" style="235" bestFit="1" customWidth="1"/>
    <col min="64" max="64" width="7.625" style="235" bestFit="1" customWidth="1"/>
    <col min="65" max="65" width="8.125" style="235" bestFit="1" customWidth="1"/>
    <col min="66" max="66" width="9.875" style="235" bestFit="1" customWidth="1"/>
    <col min="67" max="67" width="11" style="235" bestFit="1" customWidth="1"/>
    <col min="68" max="68" width="9.625" style="235" bestFit="1" customWidth="1"/>
    <col min="69" max="69" width="11.5" style="235" bestFit="1" customWidth="1"/>
    <col min="70" max="71" width="6.125" style="235" bestFit="1" customWidth="1"/>
    <col min="72" max="72" width="9.625" style="235" bestFit="1" customWidth="1"/>
    <col min="73" max="73" width="6.125" style="235" bestFit="1" customWidth="1"/>
    <col min="74" max="74" width="9.625" style="235" bestFit="1" customWidth="1"/>
    <col min="75" max="75" width="5.625" style="235" bestFit="1" customWidth="1"/>
    <col min="76" max="76" width="6.125" style="235" bestFit="1" customWidth="1"/>
    <col min="77" max="78" width="8.5" style="235" bestFit="1" customWidth="1"/>
    <col min="79" max="81" width="9.625" style="235" bestFit="1" customWidth="1"/>
    <col min="82" max="82" width="7.625" style="235" bestFit="1" customWidth="1"/>
    <col min="83" max="83" width="9.375" style="235" bestFit="1" customWidth="1"/>
    <col min="84" max="84" width="9.625" style="235" bestFit="1" customWidth="1"/>
    <col min="85" max="85" width="8.625" style="235" bestFit="1" customWidth="1"/>
    <col min="86" max="86" width="9.875" style="235" bestFit="1" customWidth="1"/>
    <col min="87" max="88" width="9.375" style="235" bestFit="1" customWidth="1"/>
    <col min="89" max="90" width="9.125" style="235" bestFit="1" customWidth="1"/>
    <col min="91" max="91" width="12.125" style="235" bestFit="1" customWidth="1"/>
    <col min="92" max="93" width="8.875" style="235" bestFit="1" customWidth="1"/>
    <col min="94" max="94" width="9.625" style="235" bestFit="1" customWidth="1"/>
    <col min="95" max="95" width="12.125" style="235" bestFit="1" customWidth="1"/>
    <col min="96" max="96" width="6.375" style="235" bestFit="1" customWidth="1"/>
    <col min="97" max="97" width="8.875" style="235" bestFit="1" customWidth="1"/>
    <col min="98" max="98" width="7.125" style="235" bestFit="1" customWidth="1"/>
    <col min="99" max="99" width="8.625" style="235" bestFit="1" customWidth="1"/>
    <col min="100" max="100" width="6.625" style="235" bestFit="1" customWidth="1"/>
    <col min="101" max="101" width="7.625" style="235" bestFit="1" customWidth="1"/>
    <col min="102" max="102" width="11.125" style="235" bestFit="1" customWidth="1"/>
    <col min="103" max="103" width="10.5" style="235" bestFit="1" customWidth="1"/>
    <col min="104" max="104" width="9.875" style="235" bestFit="1" customWidth="1"/>
    <col min="105" max="105" width="8.625" style="235" bestFit="1" customWidth="1"/>
    <col min="106" max="106" width="8.875" style="235" bestFit="1" customWidth="1"/>
    <col min="107" max="107" width="6.875" style="235" bestFit="1" customWidth="1"/>
    <col min="108" max="108" width="7" style="235" bestFit="1" customWidth="1"/>
    <col min="109" max="109" width="8.625" style="235" bestFit="1" customWidth="1"/>
    <col min="110" max="110" width="9.625" style="235" bestFit="1" customWidth="1"/>
    <col min="111" max="113" width="8.625" style="235" bestFit="1" customWidth="1"/>
    <col min="114" max="115" width="8.875" style="235" bestFit="1" customWidth="1"/>
    <col min="116" max="116" width="7.875" style="235" bestFit="1" customWidth="1"/>
    <col min="117" max="117" width="8.875" style="235" bestFit="1" customWidth="1"/>
    <col min="118" max="118" width="8.625" style="235" bestFit="1" customWidth="1"/>
    <col min="119" max="119" width="8.875" style="235" bestFit="1" customWidth="1"/>
    <col min="120" max="120" width="8.625" style="235" bestFit="1" customWidth="1"/>
    <col min="121" max="121" width="8.875" style="235" bestFit="1" customWidth="1"/>
    <col min="122" max="124" width="11.625" style="235" bestFit="1" customWidth="1"/>
    <col min="125" max="125" width="7.625" style="235" bestFit="1" customWidth="1"/>
    <col min="126" max="126" width="9.625" style="235" bestFit="1" customWidth="1"/>
    <col min="127" max="127" width="7" style="235" bestFit="1" customWidth="1"/>
    <col min="128" max="16384" width="8.875" style="235"/>
  </cols>
  <sheetData>
    <row r="1" spans="1:31" x14ac:dyDescent="0.3">
      <c r="A1" s="231" t="s">
        <v>1268</v>
      </c>
      <c r="B1" s="232"/>
      <c r="C1" s="233"/>
      <c r="D1" s="234"/>
      <c r="E1" s="234"/>
      <c r="F1" s="234"/>
      <c r="G1" s="234"/>
      <c r="H1" s="234"/>
      <c r="I1" s="235"/>
      <c r="K1" s="235"/>
      <c r="M1" s="235"/>
    </row>
    <row r="2" spans="1:31" x14ac:dyDescent="0.3">
      <c r="A2" s="237"/>
      <c r="B2" s="232"/>
      <c r="C2" s="233"/>
      <c r="D2" s="234"/>
      <c r="E2" s="234"/>
      <c r="F2" s="234"/>
      <c r="G2" s="234"/>
      <c r="H2" s="234"/>
      <c r="I2" s="235"/>
      <c r="K2" s="235"/>
      <c r="M2" s="235"/>
    </row>
    <row r="3" spans="1:31" x14ac:dyDescent="0.3">
      <c r="A3" s="237"/>
      <c r="B3" s="232"/>
      <c r="C3" s="233"/>
      <c r="D3" s="234"/>
      <c r="E3" s="234"/>
      <c r="F3" s="234"/>
      <c r="G3" s="234"/>
      <c r="H3" s="234"/>
      <c r="I3" s="235"/>
      <c r="K3" s="235"/>
      <c r="M3" s="235"/>
    </row>
    <row r="4" spans="1:31" ht="20.45" customHeight="1" x14ac:dyDescent="0.3">
      <c r="A4" s="238"/>
      <c r="B4" s="239"/>
      <c r="C4" s="240"/>
      <c r="D4" s="234"/>
      <c r="E4" s="234"/>
      <c r="F4" s="234"/>
      <c r="G4" s="234"/>
      <c r="H4" s="234"/>
      <c r="I4" s="235"/>
      <c r="K4" s="235"/>
      <c r="M4" s="235"/>
    </row>
    <row r="5" spans="1:31" x14ac:dyDescent="0.3">
      <c r="A5" s="238"/>
      <c r="B5" s="234"/>
      <c r="C5" s="240"/>
      <c r="D5" s="241"/>
      <c r="E5" s="234"/>
      <c r="F5" s="234"/>
      <c r="G5" s="234"/>
      <c r="H5" s="234"/>
      <c r="I5" s="235"/>
      <c r="K5" s="235"/>
      <c r="M5" s="235"/>
    </row>
    <row r="6" spans="1:31" x14ac:dyDescent="0.3">
      <c r="A6" s="238"/>
      <c r="B6" s="234"/>
      <c r="C6" s="240"/>
      <c r="D6" s="234"/>
      <c r="E6" s="234"/>
      <c r="F6" s="234"/>
      <c r="G6" s="234"/>
      <c r="H6" s="234"/>
      <c r="I6" s="235"/>
      <c r="K6" s="235"/>
      <c r="M6" s="235"/>
    </row>
    <row r="7" spans="1:31" x14ac:dyDescent="0.3">
      <c r="A7" s="234"/>
      <c r="B7" s="234"/>
      <c r="C7" s="240"/>
      <c r="D7" s="234"/>
      <c r="E7" s="234"/>
      <c r="F7" s="234"/>
      <c r="G7" s="234"/>
      <c r="H7" s="234"/>
      <c r="I7" s="235"/>
      <c r="K7" s="235"/>
      <c r="M7" s="235"/>
    </row>
    <row r="8" spans="1:31" x14ac:dyDescent="0.3">
      <c r="A8" s="234"/>
      <c r="B8" s="234"/>
      <c r="C8" s="240"/>
      <c r="D8" s="234"/>
      <c r="E8" s="234"/>
      <c r="F8" s="234"/>
      <c r="G8" s="234"/>
      <c r="H8" s="234"/>
      <c r="I8" s="235"/>
      <c r="K8" s="235"/>
      <c r="M8" s="235"/>
    </row>
    <row r="9" spans="1:31" ht="28.5" x14ac:dyDescent="0.45">
      <c r="A9" s="373" t="s">
        <v>1250</v>
      </c>
      <c r="B9" s="373"/>
      <c r="C9" s="373"/>
      <c r="D9" s="373"/>
      <c r="E9" s="373"/>
      <c r="F9" s="373"/>
      <c r="G9" s="373"/>
      <c r="H9" s="373"/>
      <c r="I9" s="242"/>
      <c r="J9" s="242"/>
      <c r="K9" s="242"/>
      <c r="L9" s="242"/>
      <c r="M9" s="242"/>
      <c r="N9" s="242"/>
    </row>
    <row r="10" spans="1:31" ht="18.75" x14ac:dyDescent="0.3">
      <c r="A10" s="234"/>
      <c r="B10" s="243"/>
      <c r="C10" s="240"/>
      <c r="D10" s="234"/>
      <c r="E10" s="234"/>
      <c r="F10" s="234"/>
      <c r="G10" s="234"/>
      <c r="H10" s="234"/>
    </row>
    <row r="11" spans="1:31" ht="37.5" x14ac:dyDescent="0.3">
      <c r="A11" s="234"/>
      <c r="B11" s="335" t="s">
        <v>1165</v>
      </c>
      <c r="C11" s="338" t="s">
        <v>1120</v>
      </c>
      <c r="D11" s="234"/>
      <c r="E11" s="244"/>
      <c r="H11" s="234"/>
    </row>
    <row r="12" spans="1:31" ht="32.1" customHeight="1" x14ac:dyDescent="0.3">
      <c r="A12" s="234"/>
      <c r="B12" s="381" t="s">
        <v>1163</v>
      </c>
      <c r="C12" s="346" t="s">
        <v>1264</v>
      </c>
      <c r="D12" s="374" t="s">
        <v>165</v>
      </c>
      <c r="E12" s="374"/>
      <c r="F12" s="375"/>
      <c r="G12" s="234"/>
      <c r="H12" s="244"/>
      <c r="I12" s="235"/>
      <c r="J12" s="244"/>
      <c r="K12" s="235"/>
      <c r="L12" s="244"/>
      <c r="M12" s="235"/>
      <c r="X12" s="236"/>
      <c r="AE12" s="235"/>
    </row>
    <row r="13" spans="1:31" ht="18.75" customHeight="1" x14ac:dyDescent="0.3">
      <c r="A13" s="234"/>
      <c r="B13" s="381"/>
      <c r="C13" s="380" t="s">
        <v>1265</v>
      </c>
      <c r="D13" s="376" t="s">
        <v>900</v>
      </c>
      <c r="E13" s="376"/>
      <c r="F13" s="377"/>
      <c r="G13" s="234"/>
      <c r="H13" s="244"/>
      <c r="I13" s="235"/>
      <c r="J13" s="244"/>
      <c r="K13" s="235"/>
      <c r="L13" s="244"/>
      <c r="M13" s="235"/>
      <c r="X13" s="236"/>
      <c r="AE13" s="235"/>
    </row>
    <row r="14" spans="1:31" ht="24" customHeight="1" x14ac:dyDescent="0.3">
      <c r="A14" s="234"/>
      <c r="B14" s="381"/>
      <c r="C14" s="380"/>
      <c r="D14" s="378"/>
      <c r="E14" s="378"/>
      <c r="F14" s="379"/>
      <c r="G14" s="234"/>
      <c r="H14" s="244"/>
      <c r="I14" s="235"/>
      <c r="J14" s="244"/>
      <c r="K14" s="235"/>
      <c r="L14" s="244"/>
      <c r="M14" s="235"/>
      <c r="X14" s="236"/>
      <c r="AE14" s="235"/>
    </row>
    <row r="15" spans="1:31" ht="16.5" customHeight="1" x14ac:dyDescent="0.3">
      <c r="A15" s="234"/>
      <c r="B15" s="245"/>
      <c r="C15" s="246"/>
      <c r="D15" s="247"/>
      <c r="E15" s="247"/>
      <c r="F15" s="247"/>
      <c r="G15" s="247"/>
      <c r="H15" s="234"/>
    </row>
    <row r="16" spans="1:31" s="250" customFormat="1" ht="21" x14ac:dyDescent="0.35">
      <c r="A16" s="248"/>
      <c r="B16" s="372" t="s">
        <v>166</v>
      </c>
      <c r="C16" s="372"/>
      <c r="D16" s="372"/>
      <c r="E16" s="372"/>
      <c r="F16" s="372"/>
      <c r="G16" s="372"/>
      <c r="H16" s="248"/>
      <c r="I16" s="249"/>
      <c r="K16" s="249"/>
      <c r="M16" s="249"/>
      <c r="Y16" s="251"/>
      <c r="Z16" s="251"/>
      <c r="AA16" s="251"/>
      <c r="AB16" s="251"/>
      <c r="AC16" s="251"/>
      <c r="AD16" s="251"/>
      <c r="AE16" s="251"/>
    </row>
    <row r="17" spans="1:31" x14ac:dyDescent="0.3">
      <c r="A17" s="234"/>
      <c r="B17" s="336" t="s">
        <v>1155</v>
      </c>
      <c r="C17" s="339" t="s">
        <v>1120</v>
      </c>
      <c r="D17" s="275"/>
      <c r="E17" s="275"/>
      <c r="F17" s="275"/>
      <c r="G17" s="275"/>
      <c r="H17" s="234"/>
    </row>
    <row r="18" spans="1:31" x14ac:dyDescent="0.3">
      <c r="A18" s="234"/>
      <c r="B18" s="336" t="s">
        <v>1156</v>
      </c>
      <c r="C18" s="339" t="s">
        <v>1120</v>
      </c>
      <c r="D18" s="275"/>
      <c r="E18" s="275"/>
      <c r="F18" s="275"/>
      <c r="G18" s="275"/>
      <c r="H18" s="234"/>
    </row>
    <row r="19" spans="1:31" x14ac:dyDescent="0.3">
      <c r="A19" s="234"/>
      <c r="B19" s="336" t="s">
        <v>1157</v>
      </c>
      <c r="C19" s="339" t="s">
        <v>1120</v>
      </c>
      <c r="D19" s="275"/>
      <c r="E19" s="275"/>
      <c r="F19" s="275"/>
      <c r="G19" s="275"/>
      <c r="H19" s="234"/>
    </row>
    <row r="20" spans="1:31" x14ac:dyDescent="0.3">
      <c r="A20" s="234"/>
      <c r="B20" s="336" t="s">
        <v>1158</v>
      </c>
      <c r="C20" s="339" t="s">
        <v>1120</v>
      </c>
      <c r="D20" s="275"/>
      <c r="E20" s="275"/>
      <c r="F20" s="275"/>
      <c r="G20" s="275"/>
      <c r="H20" s="234"/>
    </row>
    <row r="21" spans="1:31" ht="21" x14ac:dyDescent="0.35">
      <c r="A21" s="234"/>
      <c r="B21" s="337" t="s">
        <v>1164</v>
      </c>
      <c r="C21" s="346" t="s">
        <v>1266</v>
      </c>
      <c r="D21" s="275"/>
      <c r="E21" s="275"/>
      <c r="F21" s="275"/>
      <c r="G21" s="275"/>
      <c r="H21" s="234"/>
    </row>
    <row r="22" spans="1:31" ht="14.45" customHeight="1" x14ac:dyDescent="0.3">
      <c r="A22" s="234"/>
      <c r="B22" s="238"/>
      <c r="C22" s="240"/>
      <c r="D22" s="234"/>
      <c r="E22" s="234"/>
      <c r="F22" s="234"/>
      <c r="G22" s="234"/>
      <c r="H22" s="234"/>
    </row>
    <row r="23" spans="1:31" ht="30.6" customHeight="1" x14ac:dyDescent="0.3">
      <c r="A23" s="370" t="s">
        <v>1248</v>
      </c>
      <c r="B23" s="370"/>
      <c r="C23" s="370"/>
      <c r="D23" s="370"/>
      <c r="E23" s="370"/>
      <c r="F23" s="370"/>
      <c r="G23" s="370"/>
      <c r="H23" s="370"/>
      <c r="I23" s="235"/>
      <c r="J23" s="244"/>
      <c r="K23" s="235"/>
      <c r="L23" s="244"/>
      <c r="M23" s="235"/>
      <c r="X23" s="236"/>
      <c r="AE23" s="235"/>
    </row>
    <row r="24" spans="1:31" ht="9.75" customHeight="1" x14ac:dyDescent="0.3">
      <c r="A24" s="252"/>
      <c r="B24" s="252"/>
      <c r="C24" s="252"/>
      <c r="D24" s="252"/>
      <c r="E24" s="252"/>
      <c r="F24" s="252"/>
      <c r="G24" s="234"/>
      <c r="H24" s="244"/>
      <c r="I24" s="235"/>
      <c r="J24" s="244"/>
      <c r="K24" s="235"/>
      <c r="L24" s="244"/>
      <c r="M24" s="235"/>
      <c r="X24" s="236"/>
      <c r="AE24" s="235"/>
    </row>
    <row r="25" spans="1:31" ht="15" customHeight="1" x14ac:dyDescent="0.3">
      <c r="A25" s="371" t="s">
        <v>1167</v>
      </c>
      <c r="B25" s="371"/>
      <c r="C25" s="371"/>
      <c r="D25" s="371"/>
      <c r="E25" s="371"/>
      <c r="F25" s="371"/>
      <c r="G25" s="371"/>
      <c r="H25" s="371"/>
      <c r="I25" s="235"/>
      <c r="J25" s="244"/>
      <c r="K25" s="235"/>
      <c r="L25" s="244"/>
      <c r="M25" s="235"/>
      <c r="X25" s="236"/>
      <c r="AE25" s="235"/>
    </row>
    <row r="26" spans="1:31" ht="16.5" customHeight="1" x14ac:dyDescent="0.3">
      <c r="A26" s="371"/>
      <c r="B26" s="371"/>
      <c r="C26" s="371"/>
      <c r="D26" s="371"/>
      <c r="E26" s="371"/>
      <c r="F26" s="371"/>
      <c r="G26" s="371"/>
      <c r="H26" s="371"/>
    </row>
    <row r="27" spans="1:31" x14ac:dyDescent="0.3">
      <c r="A27" s="371"/>
      <c r="B27" s="371"/>
      <c r="C27" s="371"/>
      <c r="D27" s="371"/>
      <c r="E27" s="371"/>
      <c r="F27" s="371"/>
      <c r="G27" s="371"/>
      <c r="H27" s="371"/>
    </row>
    <row r="28" spans="1:31" x14ac:dyDescent="0.3">
      <c r="A28" s="253"/>
      <c r="B28" s="234"/>
      <c r="D28" s="234"/>
      <c r="E28" s="234"/>
      <c r="F28" s="234"/>
      <c r="G28" s="234"/>
      <c r="I28" s="235"/>
      <c r="K28" s="235"/>
      <c r="M28" s="235"/>
      <c r="Y28" s="235"/>
      <c r="Z28" s="235"/>
      <c r="AA28" s="235"/>
      <c r="AB28" s="235"/>
      <c r="AC28" s="235"/>
      <c r="AD28" s="235"/>
      <c r="AE28" s="235"/>
    </row>
    <row r="29" spans="1:31" ht="15" customHeight="1" x14ac:dyDescent="0.3">
      <c r="A29" s="255"/>
      <c r="B29" s="234"/>
      <c r="C29" s="240"/>
      <c r="D29" s="234"/>
      <c r="E29" s="234"/>
      <c r="F29" s="234"/>
      <c r="G29" s="234"/>
      <c r="I29" s="235"/>
      <c r="K29" s="235"/>
      <c r="M29" s="235"/>
      <c r="Y29" s="235"/>
      <c r="Z29" s="235"/>
      <c r="AA29" s="235"/>
      <c r="AB29" s="235"/>
      <c r="AC29" s="235"/>
      <c r="AD29" s="235"/>
      <c r="AE29" s="235"/>
    </row>
    <row r="30" spans="1:31" ht="15" customHeight="1" x14ac:dyDescent="0.3">
      <c r="B30" s="256"/>
      <c r="I30" s="235"/>
      <c r="K30" s="235"/>
      <c r="M30" s="235"/>
      <c r="Y30" s="235"/>
      <c r="Z30" s="235"/>
      <c r="AA30" s="235"/>
      <c r="AB30" s="235"/>
      <c r="AC30" s="235"/>
      <c r="AD30" s="235"/>
      <c r="AE30" s="235"/>
    </row>
    <row r="32" spans="1:31" x14ac:dyDescent="0.3">
      <c r="B32" s="256"/>
    </row>
    <row r="33" spans="2:2" x14ac:dyDescent="0.3">
      <c r="B33" s="256"/>
    </row>
    <row r="34" spans="2:2" x14ac:dyDescent="0.3">
      <c r="B34" s="256"/>
    </row>
    <row r="35" spans="2:2" x14ac:dyDescent="0.3">
      <c r="B35" s="256"/>
    </row>
    <row r="36" spans="2:2" x14ac:dyDescent="0.3">
      <c r="B36" s="256"/>
    </row>
    <row r="37" spans="2:2" x14ac:dyDescent="0.3">
      <c r="B37" s="256"/>
    </row>
    <row r="38" spans="2:2" x14ac:dyDescent="0.3">
      <c r="B38" s="256"/>
    </row>
    <row r="65" spans="15:33" x14ac:dyDescent="0.3">
      <c r="AG65" s="257"/>
    </row>
    <row r="69" spans="15:33" x14ac:dyDescent="0.3">
      <c r="P69" s="258"/>
      <c r="Q69" s="258"/>
      <c r="R69" s="259"/>
      <c r="S69" s="260"/>
      <c r="T69" s="260"/>
      <c r="U69" s="260"/>
      <c r="V69" s="260"/>
      <c r="W69" s="261"/>
      <c r="X69" s="261"/>
      <c r="Y69" s="261"/>
      <c r="Z69" s="261"/>
      <c r="AA69" s="261"/>
    </row>
    <row r="70" spans="15:33" x14ac:dyDescent="0.3">
      <c r="P70" s="262"/>
      <c r="Q70" s="262"/>
      <c r="R70" s="258"/>
      <c r="S70" s="260"/>
      <c r="T70" s="260"/>
      <c r="U70" s="260"/>
      <c r="V70" s="263"/>
      <c r="W70" s="258"/>
      <c r="X70" s="258"/>
      <c r="Y70" s="264"/>
      <c r="Z70" s="265"/>
      <c r="AA70" s="264"/>
    </row>
    <row r="71" spans="15:33" x14ac:dyDescent="0.3">
      <c r="P71" s="262"/>
      <c r="Q71" s="262"/>
      <c r="R71" s="266"/>
      <c r="S71" s="264"/>
      <c r="T71" s="264"/>
      <c r="U71" s="264"/>
      <c r="V71" s="260"/>
      <c r="W71" s="258"/>
      <c r="X71" s="258"/>
      <c r="Y71" s="262"/>
      <c r="Z71" s="262"/>
      <c r="AA71" s="262"/>
    </row>
    <row r="72" spans="15:33" x14ac:dyDescent="0.3">
      <c r="P72" s="262"/>
      <c r="Q72" s="262"/>
      <c r="R72" s="264"/>
      <c r="S72" s="264"/>
      <c r="T72" s="263"/>
      <c r="U72" s="263"/>
      <c r="V72" s="258"/>
      <c r="W72" s="258"/>
      <c r="X72" s="258"/>
      <c r="Y72" s="267"/>
      <c r="Z72" s="262"/>
      <c r="AA72" s="258"/>
    </row>
    <row r="73" spans="15:33" x14ac:dyDescent="0.3">
      <c r="P73" s="268"/>
      <c r="Q73" s="268"/>
      <c r="R73" s="264"/>
      <c r="S73" s="264"/>
      <c r="T73" s="266"/>
      <c r="U73" s="266"/>
      <c r="V73" s="266"/>
      <c r="W73" s="258"/>
      <c r="X73" s="258"/>
      <c r="Y73" s="264"/>
      <c r="Z73" s="262"/>
      <c r="AA73" s="269"/>
    </row>
    <row r="74" spans="15:33" x14ac:dyDescent="0.3">
      <c r="O74" s="270"/>
      <c r="P74" s="270"/>
      <c r="Q74" s="271"/>
      <c r="R74" s="271"/>
      <c r="S74" s="271"/>
      <c r="U74" s="272"/>
      <c r="V74" s="273"/>
      <c r="W74" s="272"/>
      <c r="X74" s="272"/>
      <c r="Z74" s="274"/>
    </row>
  </sheetData>
  <mergeCells count="8">
    <mergeCell ref="A23:H23"/>
    <mergeCell ref="A25:H27"/>
    <mergeCell ref="B16:G16"/>
    <mergeCell ref="A9:H9"/>
    <mergeCell ref="D12:F12"/>
    <mergeCell ref="D13:F14"/>
    <mergeCell ref="C13:C14"/>
    <mergeCell ref="B12:B14"/>
  </mergeCells>
  <hyperlinks>
    <hyperlink ref="C12" location="'2021 Library Quick Report'!A1" display="2021 Quick Report" xr:uid="{00000000-0004-0000-0000-000000000000}"/>
    <hyperlink ref="C13" location="'2013 Charts'!A1" display="2013 Charts" xr:uid="{00000000-0004-0000-0000-000001000000}"/>
    <hyperlink ref="C13:C14" location="'2021 Individual Charts'!A1" display="2021 Charts" xr:uid="{00000000-0004-0000-0000-000006000000}"/>
    <hyperlink ref="A25" r:id="rId1" display="These charts are licensed under a Creative Commons Attribution-NonCommercial-ShareAlike 4.0 International License," xr:uid="{00000000-0004-0000-0000-000003000000}"/>
    <hyperlink ref="C21" location="'2021 Comparison Charts'!A1" display="2021 Comparison Charts" xr:uid="{00000000-0004-0000-0000-000002000000}"/>
  </hyperlinks>
  <printOptions horizontalCentered="1" verticalCentered="1"/>
  <pageMargins left="0.25" right="0.25" top="0.75" bottom="0.75" header="0.3" footer="0.3"/>
  <pageSetup orientation="landscape" r:id="rId2"/>
  <drawing r:id="rId3"/>
  <extLst>
    <ext xmlns:x14="http://schemas.microsoft.com/office/spreadsheetml/2009/9/main" uri="{CCE6A557-97BC-4b89-ADB6-D9C93CAAB3DF}">
      <x14:dataValidations xmlns:xm="http://schemas.microsoft.com/office/excel/2006/main" xWindow="507" yWindow="818" count="2">
        <x14:dataValidation type="list" showInputMessage="1" showErrorMessage="1" prompt="Find library in drop-down list" xr:uid="{00000000-0002-0000-0000-000000000000}">
          <x14:formula1>
            <xm:f>'2021Data'!$A$2:$A$84</xm:f>
          </x14:formula1>
          <xm:sqref>C17:C20</xm:sqref>
        </x14:dataValidation>
        <x14:dataValidation type="list" allowBlank="1" showInputMessage="1" showErrorMessage="1" prompt="Find your library in the drop-down list" xr:uid="{00000000-0002-0000-0000-000001000000}">
          <x14:formula1>
            <xm:f>'2021Data'!A2:A84</xm:f>
          </x14:formula1>
          <xm:sqref>C11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J58"/>
  <sheetViews>
    <sheetView showGridLines="0" zoomScale="80" zoomScaleNormal="80" zoomScaleSheetLayoutView="80" zoomScalePageLayoutView="50" workbookViewId="0"/>
  </sheetViews>
  <sheetFormatPr defaultColWidth="9" defaultRowHeight="14.25" x14ac:dyDescent="0.2"/>
  <cols>
    <col min="1" max="1" width="2.125" style="1" customWidth="1"/>
    <col min="2" max="2" width="53" style="192" customWidth="1"/>
    <col min="3" max="3" width="25.625" style="1" customWidth="1"/>
    <col min="4" max="4" width="2.125" style="1" customWidth="1"/>
    <col min="5" max="5" width="40.625" style="1" customWidth="1"/>
    <col min="6" max="6" width="13.125" style="1" bestFit="1" customWidth="1"/>
    <col min="7" max="16384" width="9" style="1"/>
  </cols>
  <sheetData>
    <row r="1" spans="1:10" ht="15" thickBot="1" x14ac:dyDescent="0.25"/>
    <row r="2" spans="1:10" s="3" customFormat="1" ht="33.75" x14ac:dyDescent="0.5">
      <c r="B2" s="386" t="str">
        <f>VLOOKUP(Input!$C$11, '2021Data'!$A$1:$DZ$83,122,0)</f>
        <v>ALAMANCE</v>
      </c>
      <c r="C2" s="387"/>
      <c r="D2" s="387"/>
      <c r="E2" s="387"/>
      <c r="F2" s="388"/>
      <c r="G2" s="2"/>
      <c r="H2" s="2"/>
      <c r="I2" s="2"/>
      <c r="J2" s="2"/>
    </row>
    <row r="3" spans="1:10" s="3" customFormat="1" ht="18.75" thickBot="1" x14ac:dyDescent="0.3">
      <c r="B3" s="389" t="s">
        <v>1263</v>
      </c>
      <c r="C3" s="390"/>
      <c r="D3" s="390"/>
      <c r="E3" s="390"/>
      <c r="F3" s="391"/>
      <c r="G3" s="2"/>
      <c r="H3" s="2"/>
      <c r="I3" s="2"/>
      <c r="J3" s="2"/>
    </row>
    <row r="4" spans="1:10" ht="15" customHeight="1" x14ac:dyDescent="0.25">
      <c r="B4" s="382" t="s">
        <v>136</v>
      </c>
      <c r="C4" s="383"/>
      <c r="D4" s="4"/>
      <c r="E4" s="382" t="s">
        <v>145</v>
      </c>
      <c r="F4" s="383"/>
    </row>
    <row r="5" spans="1:10" ht="15" customHeight="1" x14ac:dyDescent="0.2">
      <c r="B5" s="193" t="s">
        <v>124</v>
      </c>
      <c r="C5" s="28" t="str">
        <f>VLOOKUP(Input!$C$11,'2021Data'!$A$1:$DX$83,1)</f>
        <v xml:space="preserve">ALAMANCE </v>
      </c>
      <c r="D5" s="214"/>
      <c r="E5" s="5" t="s">
        <v>146</v>
      </c>
      <c r="F5" s="6">
        <f>VLOOKUP(Input!$C$11,'2021Data'!$A$1:$DX$83,52,0)</f>
        <v>167660</v>
      </c>
    </row>
    <row r="6" spans="1:10" x14ac:dyDescent="0.2">
      <c r="B6" s="193" t="s">
        <v>125</v>
      </c>
      <c r="C6" s="28" t="str">
        <f>VLOOKUP(Input!$C$11,'2021Data'!$A$1:$DX$88,123,0)</f>
        <v>ALAMANCE</v>
      </c>
      <c r="D6" s="214"/>
      <c r="E6" s="5" t="s">
        <v>178</v>
      </c>
      <c r="F6" s="6">
        <f>VLOOKUP(Input!$C$11,'2021Data'!$A$1:$DX$83,54,0)</f>
        <v>13195</v>
      </c>
    </row>
    <row r="7" spans="1:10" ht="15" customHeight="1" x14ac:dyDescent="0.2">
      <c r="B7" s="193" t="s">
        <v>134</v>
      </c>
      <c r="C7" s="28" t="str">
        <f>VLOOKUP(Input!$C$11,'2021Data'!$A$1:$DX$88,119,0)</f>
        <v>County</v>
      </c>
      <c r="D7" s="214"/>
      <c r="E7" s="5" t="s">
        <v>179</v>
      </c>
      <c r="F7" s="6">
        <f>VLOOKUP(Input!$C$11,'2021Data'!$A$1:$DX$83,56,0)</f>
        <v>24579</v>
      </c>
    </row>
    <row r="8" spans="1:10" ht="15" customHeight="1" x14ac:dyDescent="0.2">
      <c r="B8" s="193" t="s">
        <v>168</v>
      </c>
      <c r="C8" s="31">
        <f>VLOOKUP(Input!$C$11,'2021Data'!$A$1:$DX$83,3)</f>
        <v>164997</v>
      </c>
      <c r="D8" s="214"/>
      <c r="E8" s="5" t="s">
        <v>147</v>
      </c>
      <c r="F8" s="6">
        <f>VLOOKUP(Input!$C$11,'2021Data'!$A$1:$DX$83,58,0)</f>
        <v>133979</v>
      </c>
    </row>
    <row r="9" spans="1:10" ht="15" customHeight="1" x14ac:dyDescent="0.2">
      <c r="B9" s="193" t="s">
        <v>169</v>
      </c>
      <c r="C9" s="9">
        <f>VLOOKUP(Input!$C$11,'2021Data'!$A$1:$DX$83,4,0)</f>
        <v>3</v>
      </c>
      <c r="D9" s="214"/>
      <c r="E9" s="5" t="s">
        <v>180</v>
      </c>
      <c r="F9" s="6">
        <f>VLOOKUP(Input!$C$11,'2021Data'!$A$1:$DX$83,55,0)</f>
        <v>25728</v>
      </c>
    </row>
    <row r="10" spans="1:10" ht="15" customHeight="1" thickBot="1" x14ac:dyDescent="0.25">
      <c r="B10" s="194" t="s">
        <v>170</v>
      </c>
      <c r="C10" s="29">
        <f>VLOOKUP(Input!$C$11,'2021Data'!$A$1:$DX$83,5,0)</f>
        <v>0</v>
      </c>
      <c r="D10" s="214"/>
      <c r="E10" s="5" t="s">
        <v>181</v>
      </c>
      <c r="F10" s="6">
        <f>VLOOKUP(Input!$C$11,'2021Data'!$A$1:$DX$83,57,0)</f>
        <v>2130</v>
      </c>
    </row>
    <row r="11" spans="1:10" ht="15" customHeight="1" x14ac:dyDescent="0.2">
      <c r="B11" s="193"/>
      <c r="C11" s="214"/>
      <c r="D11" s="214"/>
      <c r="E11" s="5" t="s">
        <v>932</v>
      </c>
      <c r="F11" s="6">
        <f>VLOOKUP(Input!$C$11,'2021Data'!$A$1:$DX$83,59,0)</f>
        <v>7</v>
      </c>
    </row>
    <row r="12" spans="1:10" ht="15" customHeight="1" thickBot="1" x14ac:dyDescent="0.3">
      <c r="B12" s="193"/>
      <c r="C12" s="214"/>
      <c r="D12" s="214"/>
      <c r="E12" s="10" t="s">
        <v>182</v>
      </c>
      <c r="F12" s="7">
        <f>VLOOKUP(Input!$C$11,'2021Data'!$A$1:$DX$83,63,0)</f>
        <v>379581</v>
      </c>
    </row>
    <row r="13" spans="1:10" ht="15" customHeight="1" x14ac:dyDescent="0.25">
      <c r="A13" s="214"/>
      <c r="B13" s="382" t="s">
        <v>137</v>
      </c>
      <c r="C13" s="383"/>
      <c r="D13" s="214"/>
      <c r="E13" s="5" t="s">
        <v>183</v>
      </c>
      <c r="F13" s="6">
        <f>VLOOKUP(Input!$C$11,'2021Data'!$A$1:$DX$83,65,0)</f>
        <v>189</v>
      </c>
    </row>
    <row r="14" spans="1:10" ht="15" customHeight="1" x14ac:dyDescent="0.2">
      <c r="B14" s="193" t="s">
        <v>138</v>
      </c>
      <c r="C14" s="11">
        <f>VLOOKUP(Input!$C$11,'2021Data'!$A$1:$DX$83,10,0)</f>
        <v>1597813</v>
      </c>
      <c r="D14" s="214"/>
      <c r="E14" s="5" t="s">
        <v>159</v>
      </c>
      <c r="F14" s="8">
        <f>VLOOKUP(Input!$C$11,'2021Data'!$A$1:$DX$83,53,0)</f>
        <v>1.0161396873882556</v>
      </c>
    </row>
    <row r="15" spans="1:10" ht="15" customHeight="1" thickBot="1" x14ac:dyDescent="0.25">
      <c r="B15" s="193" t="s">
        <v>139</v>
      </c>
      <c r="C15" s="11">
        <f>VLOOKUP(Input!$C$11,'2021Data'!$A$1:$DX$83,11,0)</f>
        <v>657579</v>
      </c>
      <c r="D15" s="214"/>
      <c r="E15" s="12" t="s">
        <v>104</v>
      </c>
      <c r="F15" s="25">
        <f>VLOOKUP(Input!$C$11,'2021Data'!$A$1:$DX$83,64,0)</f>
        <v>2.300532736958854</v>
      </c>
    </row>
    <row r="16" spans="1:10" ht="15" customHeight="1" thickBot="1" x14ac:dyDescent="0.25">
      <c r="B16" s="195" t="s">
        <v>140</v>
      </c>
      <c r="C16" s="11">
        <f>VLOOKUP(Input!$C$11,'2021Data'!$A$1:$DX$83,12,0)</f>
        <v>2255392</v>
      </c>
      <c r="D16" s="214"/>
      <c r="E16" s="214"/>
      <c r="F16" s="9"/>
    </row>
    <row r="17" spans="2:6" ht="15" customHeight="1" x14ac:dyDescent="0.25">
      <c r="B17" s="193" t="s">
        <v>171</v>
      </c>
      <c r="C17" s="11">
        <f>VLOOKUP(Input!$C$11,'2021Data'!$A$1:$DX$83,14,0)</f>
        <v>158000</v>
      </c>
      <c r="D17" s="214"/>
      <c r="E17" s="382" t="s">
        <v>148</v>
      </c>
      <c r="F17" s="383"/>
    </row>
    <row r="18" spans="2:6" ht="15" customHeight="1" x14ac:dyDescent="0.2">
      <c r="B18" s="193" t="s">
        <v>172</v>
      </c>
      <c r="C18" s="11">
        <f>VLOOKUP(Input!$C$11,'2021Data'!$A$1:$DX$83,15,0)</f>
        <v>90000</v>
      </c>
      <c r="D18" s="214"/>
      <c r="E18" s="5" t="s">
        <v>1115</v>
      </c>
      <c r="F18" s="6">
        <f>VLOOKUP(Input!$C$11,'2021Data'!$A$1:$DX$83,68,0)</f>
        <v>88749</v>
      </c>
    </row>
    <row r="19" spans="2:6" ht="15" customHeight="1" x14ac:dyDescent="0.2">
      <c r="B19" s="193" t="s">
        <v>173</v>
      </c>
      <c r="C19" s="11">
        <f>VLOOKUP(Input!$C$11,'2021Data'!$A$1:$DX$83,16,0)</f>
        <v>62000</v>
      </c>
      <c r="D19" s="214"/>
      <c r="E19" s="5" t="s">
        <v>1116</v>
      </c>
      <c r="F19" s="6">
        <f>VLOOKUP(Input!$C$11,'2021Data'!$A$1:$DX$83,70,0)</f>
        <v>248640</v>
      </c>
    </row>
    <row r="20" spans="2:6" ht="15" customHeight="1" x14ac:dyDescent="0.2">
      <c r="B20" s="195" t="s">
        <v>141</v>
      </c>
      <c r="C20" s="11">
        <f>VLOOKUP(Input!$C$11,'2021Data'!$A$1:$DX$83,17,0)</f>
        <v>310000</v>
      </c>
      <c r="D20" s="214"/>
      <c r="E20" s="5" t="s">
        <v>1117</v>
      </c>
      <c r="F20" s="6">
        <f>VLOOKUP(Input!$C$11,'2021Data'!$A$1:$DX$83,71,0)</f>
        <v>129317</v>
      </c>
    </row>
    <row r="21" spans="2:6" ht="15" customHeight="1" x14ac:dyDescent="0.2">
      <c r="B21" s="193" t="s">
        <v>142</v>
      </c>
      <c r="C21" s="11">
        <f>VLOOKUP(Input!$C$11,'2021Data'!$A$1:$DX$83,19,0)</f>
        <v>461475</v>
      </c>
      <c r="D21" s="214"/>
      <c r="E21" s="5" t="s">
        <v>1118</v>
      </c>
      <c r="F21" s="6">
        <f>VLOOKUP(Input!$C$11,'2021Data'!$A$1:$DX$83,72,0)</f>
        <v>377957</v>
      </c>
    </row>
    <row r="22" spans="2:6" ht="15" customHeight="1" x14ac:dyDescent="0.25">
      <c r="B22" s="196" t="s">
        <v>156</v>
      </c>
      <c r="C22" s="22">
        <f>VLOOKUP(Input!$C$11,'2021Data'!$A$1:$DX$83,22,0)</f>
        <v>3026867</v>
      </c>
      <c r="D22" s="214"/>
      <c r="E22" s="5" t="s">
        <v>184</v>
      </c>
      <c r="F22" s="6">
        <f>VLOOKUP(Input!$C$11,'2021Data'!$A$1:$DX$83,89,0)</f>
        <v>94158</v>
      </c>
    </row>
    <row r="23" spans="2:6" ht="15" customHeight="1" x14ac:dyDescent="0.2">
      <c r="B23" s="193" t="s">
        <v>155</v>
      </c>
      <c r="C23" s="26">
        <f>VLOOKUP(Input!$C$11,'2021Data'!$A$1:$DX$83,13)</f>
        <v>13.669290956805275</v>
      </c>
      <c r="D23" s="214"/>
      <c r="E23" s="5"/>
      <c r="F23" s="6"/>
    </row>
    <row r="24" spans="2:6" ht="15" customHeight="1" x14ac:dyDescent="0.2">
      <c r="B24" s="193" t="s">
        <v>894</v>
      </c>
      <c r="C24" s="26">
        <f>VLOOKUP(Input!$C$11,'2021Data'!$A$1:$DX$83,25,0)</f>
        <v>0.10241612862408557</v>
      </c>
      <c r="D24" s="214"/>
      <c r="E24" s="5" t="s">
        <v>185</v>
      </c>
      <c r="F24" s="6">
        <f>VLOOKUP(Input!$C$11,'2021Data'!$A$1:$DX$83,66,0)</f>
        <v>20756</v>
      </c>
    </row>
    <row r="25" spans="2:6" ht="15" customHeight="1" x14ac:dyDescent="0.2">
      <c r="B25" s="193" t="s">
        <v>895</v>
      </c>
      <c r="C25" s="26">
        <f>VLOOKUP(Input!$C$11,'2021Data'!$A$1:$DX$83,23,0)</f>
        <v>18.344982029976304</v>
      </c>
      <c r="D25" s="214"/>
      <c r="E25" s="5" t="s">
        <v>186</v>
      </c>
      <c r="F25" s="6">
        <f>VLOOKUP(Input!$C$11,'2021Data'!$A$1:$DX$83,87,0)</f>
        <v>87723</v>
      </c>
    </row>
    <row r="26" spans="2:6" ht="15" customHeight="1" x14ac:dyDescent="0.2">
      <c r="B26" s="193" t="s">
        <v>896</v>
      </c>
      <c r="C26" s="27">
        <f>VLOOKUP(Input!$C$11,'2021Data'!$A$1:$DX$83,24,0)</f>
        <v>0.74512424893462448</v>
      </c>
      <c r="D26" s="214"/>
      <c r="E26" s="5" t="s">
        <v>187</v>
      </c>
      <c r="F26" s="6">
        <f>VLOOKUP(Input!$C$11,'2021Data'!$A$1:$DX$83,81,0)</f>
        <v>237</v>
      </c>
    </row>
    <row r="27" spans="2:6" ht="15.75" customHeight="1" x14ac:dyDescent="0.2">
      <c r="B27" s="193" t="s">
        <v>897</v>
      </c>
      <c r="C27" s="27">
        <f>VLOOKUP(Input!$C$11,'2021Data'!$A$1:$DX$83,25,0)</f>
        <v>0.10241612862408557</v>
      </c>
      <c r="D27" s="214"/>
      <c r="E27" s="5" t="s">
        <v>188</v>
      </c>
      <c r="F27" s="6">
        <f>VLOOKUP(Input!$C$11,'2021Data'!$A$1:$DX$83,85,0)</f>
        <v>4647</v>
      </c>
    </row>
    <row r="28" spans="2:6" ht="27.75" customHeight="1" x14ac:dyDescent="0.2">
      <c r="B28" s="193" t="s">
        <v>898</v>
      </c>
      <c r="C28" s="27">
        <f>VLOOKUP(Input!$C$11,'2021Data'!$A$1:$DX$83,26,0)</f>
        <v>0.15245962244128997</v>
      </c>
      <c r="D28" s="214"/>
      <c r="E28" s="5" t="s">
        <v>1159</v>
      </c>
      <c r="F28" s="8">
        <f>VLOOKUP(Input!$C$11,'2021Data'!$A$1:$DX$83,73,0)</f>
        <v>2.2906901337600076</v>
      </c>
    </row>
    <row r="29" spans="2:6" x14ac:dyDescent="0.2">
      <c r="B29" s="193" t="s">
        <v>135</v>
      </c>
      <c r="C29" s="11">
        <f>VLOOKUP(Input!$C$11,'2021Data'!$A$1:$DX$83,28,0)</f>
        <v>377087</v>
      </c>
      <c r="D29" s="214"/>
      <c r="E29" s="5" t="s">
        <v>1160</v>
      </c>
      <c r="F29" s="6">
        <f>VLOOKUP(Input!$C$11,'2021Data'!$A$1:$DX$83,74,0)</f>
        <v>5814.7230769230773</v>
      </c>
    </row>
    <row r="30" spans="2:6" ht="15" x14ac:dyDescent="0.25">
      <c r="B30" s="384" t="s">
        <v>157</v>
      </c>
      <c r="C30" s="385"/>
      <c r="D30" s="214"/>
      <c r="E30" s="5" t="s">
        <v>1161</v>
      </c>
      <c r="F30" s="8">
        <f>VLOOKUP(Input!$C$11,'2021Data'!$A$1:$DX$83,75,0)</f>
        <v>44.009897531439215</v>
      </c>
    </row>
    <row r="31" spans="2:6" x14ac:dyDescent="0.2">
      <c r="B31" s="193" t="s">
        <v>1151</v>
      </c>
      <c r="C31" s="11">
        <f>VLOOKUP(Input!$C$11,'2021Data'!$A$1:$DX$83,29,0)</f>
        <v>0</v>
      </c>
      <c r="D31" s="214"/>
      <c r="E31" s="5" t="s">
        <v>1162</v>
      </c>
      <c r="F31" s="8">
        <f>VLOOKUP(Input!$C$11,'2021Data'!$A$1:$DX$83,76,0)</f>
        <v>4.3085279801192389</v>
      </c>
    </row>
    <row r="32" spans="2:6" ht="15" customHeight="1" x14ac:dyDescent="0.2">
      <c r="B32" s="193" t="s">
        <v>911</v>
      </c>
      <c r="C32" s="11">
        <f>VLOOKUP(Input!$C$11,'2021Data'!$A$1:$DX$83,30,0)</f>
        <v>0</v>
      </c>
      <c r="D32" s="214"/>
      <c r="E32" s="5" t="s">
        <v>160</v>
      </c>
      <c r="F32" s="8">
        <f>VLOOKUP(Input!$C$11,'2021Data'!$A$1:$DX$83,77,0)</f>
        <v>0.99572159828863926</v>
      </c>
    </row>
    <row r="33" spans="1:7" ht="15" customHeight="1" thickBot="1" x14ac:dyDescent="0.25">
      <c r="B33" s="194" t="s">
        <v>955</v>
      </c>
      <c r="C33" s="24">
        <f>VLOOKUP(Input!$C$11,'2021Data'!$A$1:$DX$83,31,0)</f>
        <v>0</v>
      </c>
      <c r="D33" s="214"/>
      <c r="E33" s="5" t="s">
        <v>167</v>
      </c>
      <c r="F33" s="8">
        <f>VLOOKUP(Input!$C$11,'2021Data'!$A$1:$DX$83,67,0)</f>
        <v>0.12579622659805936</v>
      </c>
    </row>
    <row r="34" spans="1:7" ht="15" customHeight="1" thickBot="1" x14ac:dyDescent="0.25">
      <c r="B34" s="193"/>
      <c r="C34" s="214"/>
      <c r="D34" s="214"/>
      <c r="E34" s="5" t="s">
        <v>161</v>
      </c>
      <c r="F34" s="8">
        <f>VLOOKUP(Input!$C$11,'2021Data'!$A$1:$DX$83,86,0)</f>
        <v>2.8164148439062529E-2</v>
      </c>
    </row>
    <row r="35" spans="1:7" ht="15" customHeight="1" thickBot="1" x14ac:dyDescent="0.3">
      <c r="B35" s="382" t="s">
        <v>143</v>
      </c>
      <c r="C35" s="383"/>
      <c r="D35" s="214"/>
      <c r="E35" s="12" t="s">
        <v>162</v>
      </c>
      <c r="F35" s="25">
        <f>VLOOKUP(Input!$C$11,'2021Data'!$A$1:$DX$83,88,0)</f>
        <v>0.53166421207658321</v>
      </c>
    </row>
    <row r="36" spans="1:7" ht="15" customHeight="1" thickBot="1" x14ac:dyDescent="0.25">
      <c r="A36" s="214"/>
      <c r="B36" s="193" t="s">
        <v>124</v>
      </c>
      <c r="C36" s="11">
        <f>VLOOKUP(Input!$C$11,'2021Data'!$A$1:$DX$83,32,0)</f>
        <v>299838</v>
      </c>
      <c r="D36" s="214"/>
      <c r="E36" s="214"/>
      <c r="F36" s="215"/>
    </row>
    <row r="37" spans="1:7" ht="15" customHeight="1" x14ac:dyDescent="0.25">
      <c r="B37" s="193" t="s">
        <v>125</v>
      </c>
      <c r="C37" s="11">
        <f>VLOOKUP(Input!$C$11,'2021Data'!$A$1:$DX$83,33,0)</f>
        <v>2727029</v>
      </c>
      <c r="D37" s="214"/>
      <c r="E37" s="382" t="s">
        <v>150</v>
      </c>
      <c r="F37" s="383"/>
    </row>
    <row r="38" spans="1:7" ht="15" customHeight="1" x14ac:dyDescent="0.2">
      <c r="B38" s="195" t="s">
        <v>956</v>
      </c>
      <c r="C38" s="11">
        <f>VLOOKUP(Input!$C$11,'2021Data'!$A$1:$DX$83,35,0)</f>
        <v>3026867</v>
      </c>
      <c r="D38" s="214"/>
      <c r="E38" s="5" t="s">
        <v>149</v>
      </c>
      <c r="F38" s="8">
        <f>VLOOKUP(Input!$C$11,'2021Data'!$A$1:$DX$83,93,0)</f>
        <v>11</v>
      </c>
      <c r="G38" s="214"/>
    </row>
    <row r="39" spans="1:7" ht="15" customHeight="1" x14ac:dyDescent="0.2">
      <c r="B39" s="193" t="s">
        <v>174</v>
      </c>
      <c r="C39" s="11">
        <f>VLOOKUP(Input!$C$11,'2021Data'!$A$1:$DX$83,39,0)</f>
        <v>0</v>
      </c>
      <c r="D39" s="214"/>
      <c r="E39" s="5" t="s">
        <v>189</v>
      </c>
      <c r="F39" s="8">
        <f>VLOOKUP(Input!$C$11,'2021Data'!$A$1:$DX$83,95,0)</f>
        <v>0</v>
      </c>
    </row>
    <row r="40" spans="1:7" ht="15" customHeight="1" x14ac:dyDescent="0.2">
      <c r="B40" s="193" t="s">
        <v>928</v>
      </c>
      <c r="C40" s="11">
        <f>VLOOKUP(Input!$C$11,'2021Data'!$A$1:$DX$83,38,0)</f>
        <v>50000</v>
      </c>
      <c r="D40" s="214"/>
      <c r="E40" s="5" t="s">
        <v>190</v>
      </c>
      <c r="F40" s="8">
        <f>VLOOKUP(Input!$C$11,'2021Data'!$A$1:$DX$83,96,0)</f>
        <v>54</v>
      </c>
    </row>
    <row r="41" spans="1:7" ht="15" customHeight="1" x14ac:dyDescent="0.2">
      <c r="B41" s="193" t="s">
        <v>175</v>
      </c>
      <c r="C41" s="11">
        <f>VLOOKUP(Input!$C$11,'2021Data'!$A$1:$DX$83,37,0)</f>
        <v>175947</v>
      </c>
      <c r="D41" s="214"/>
      <c r="E41" s="5" t="s">
        <v>191</v>
      </c>
      <c r="F41" s="8">
        <f>VLOOKUP(Input!$C$11,'2021Data'!$A$1:$DX$83,97,0)</f>
        <v>65</v>
      </c>
    </row>
    <row r="42" spans="1:7" ht="15" customHeight="1" x14ac:dyDescent="0.2">
      <c r="B42" s="193" t="s">
        <v>176</v>
      </c>
      <c r="C42" s="11">
        <f>VLOOKUP(Input!$C$11,'2021Data'!$A$1:$DX$83,40,0)</f>
        <v>64410</v>
      </c>
      <c r="D42" s="214"/>
      <c r="E42" s="5" t="s">
        <v>1119</v>
      </c>
      <c r="F42" s="11">
        <f>VLOOKUP(Input!$C$11,'2021Data'!$A$1:$DX$83,100,0)</f>
        <v>79060</v>
      </c>
    </row>
    <row r="43" spans="1:7" ht="15" customHeight="1" x14ac:dyDescent="0.25">
      <c r="B43" s="196" t="s">
        <v>144</v>
      </c>
      <c r="C43" s="22">
        <f>VLOOKUP(Input!$C$11,'2021Data'!$A$1:$DX$83,42,0)</f>
        <v>3331620</v>
      </c>
      <c r="D43" s="214"/>
      <c r="E43" s="5" t="s">
        <v>931</v>
      </c>
      <c r="F43" s="6">
        <f>VLOOKUP(Input!$C$11,'2021Data'!$A$1:$DX$83,99,0)</f>
        <v>375</v>
      </c>
    </row>
    <row r="44" spans="1:7" ht="15" customHeight="1" x14ac:dyDescent="0.2">
      <c r="B44" s="193" t="s">
        <v>912</v>
      </c>
      <c r="C44" s="23">
        <f>VLOOKUP(Input!$C$11,'2021Data'!$A$1:$DX$83,36)</f>
        <v>18.344982029976304</v>
      </c>
      <c r="D44" s="214"/>
      <c r="E44" s="5" t="s">
        <v>192</v>
      </c>
      <c r="F44" s="8">
        <f>VLOOKUP(Input!$C$11,'2021Data'!$A$1:$DX$83,94,0)</f>
        <v>14999.727272727272</v>
      </c>
    </row>
    <row r="45" spans="1:7" ht="15" customHeight="1" thickBot="1" x14ac:dyDescent="0.25">
      <c r="B45" s="193" t="s">
        <v>158</v>
      </c>
      <c r="C45" s="23">
        <f>VLOOKUP(Input!$C$11,'2021Data'!$A$1:$DX$83,43)</f>
        <v>20.192003490972564</v>
      </c>
      <c r="D45" s="214"/>
      <c r="E45" s="12" t="s">
        <v>193</v>
      </c>
      <c r="F45" s="18">
        <f>VLOOKUP(Input!$C$11,'2021Data'!$A$1:$DX$83,98,0)</f>
        <v>2538.4153846153845</v>
      </c>
    </row>
    <row r="46" spans="1:7" ht="15" customHeight="1" x14ac:dyDescent="0.25">
      <c r="B46" s="384" t="s">
        <v>163</v>
      </c>
      <c r="C46" s="385"/>
      <c r="D46" s="214"/>
      <c r="E46" s="229"/>
      <c r="F46" s="230"/>
    </row>
    <row r="47" spans="1:7" ht="15" customHeight="1" thickBot="1" x14ac:dyDescent="0.25">
      <c r="B47" s="194" t="s">
        <v>154</v>
      </c>
      <c r="C47" s="24">
        <f>VLOOKUP(Input!$C$11,'2021Data'!$A$1:$DX$83,51,0)</f>
        <v>0</v>
      </c>
      <c r="D47" s="214"/>
      <c r="E47" s="12"/>
      <c r="F47" s="29"/>
    </row>
    <row r="48" spans="1:7" ht="15" customHeight="1" x14ac:dyDescent="0.25">
      <c r="B48" s="193"/>
      <c r="C48" s="214"/>
      <c r="D48" s="214"/>
      <c r="E48" s="382" t="s">
        <v>954</v>
      </c>
      <c r="F48" s="383"/>
    </row>
    <row r="49" spans="1:6" ht="15" customHeight="1" thickBot="1" x14ac:dyDescent="0.25">
      <c r="B49" s="193"/>
      <c r="C49" s="214"/>
      <c r="D49" s="214"/>
      <c r="E49" s="5" t="s">
        <v>194</v>
      </c>
      <c r="F49" s="6">
        <f>VLOOKUP(Input!$C$11,'2021Data'!$A$1:$DX$83,104,0)</f>
        <v>56</v>
      </c>
    </row>
    <row r="50" spans="1:6" ht="15" customHeight="1" thickBot="1" x14ac:dyDescent="0.3">
      <c r="B50" s="382" t="s">
        <v>153</v>
      </c>
      <c r="C50" s="383"/>
      <c r="D50" s="214"/>
      <c r="E50" s="12" t="s">
        <v>195</v>
      </c>
      <c r="F50" s="18">
        <f>VLOOKUP(Input!$C$11,'2021Data'!$A$1:$DX$83,105,0)</f>
        <v>194</v>
      </c>
    </row>
    <row r="51" spans="1:6" ht="15" customHeight="1" thickBot="1" x14ac:dyDescent="0.25">
      <c r="B51" s="193" t="s">
        <v>1168</v>
      </c>
      <c r="C51" s="19">
        <f>VLOOKUP(Input!$C$11,'2021Data'!$A$1:$DX$83,6,0)</f>
        <v>55734</v>
      </c>
      <c r="D51" s="214"/>
      <c r="E51" s="214"/>
      <c r="F51" s="9"/>
    </row>
    <row r="52" spans="1:6" ht="15" customHeight="1" x14ac:dyDescent="0.25">
      <c r="A52" s="214"/>
      <c r="B52" s="193" t="s">
        <v>177</v>
      </c>
      <c r="C52" s="20">
        <f>VLOOKUP(Input!$C$11,'2021Data'!$A$1:$DX$83,9,0)</f>
        <v>0.34588999999999998</v>
      </c>
      <c r="D52" s="214"/>
      <c r="E52" s="382" t="s">
        <v>151</v>
      </c>
      <c r="F52" s="383"/>
    </row>
    <row r="53" spans="1:6" ht="15" customHeight="1" thickBot="1" x14ac:dyDescent="0.25">
      <c r="B53" s="194" t="s">
        <v>1169</v>
      </c>
      <c r="C53" s="21">
        <f>VLOOKUP(Input!$C$11,'2021Data'!$A$1:$DX$83,110,0)</f>
        <v>11458</v>
      </c>
      <c r="D53" s="214"/>
      <c r="E53" s="5" t="s">
        <v>196</v>
      </c>
      <c r="F53" s="6">
        <f>VLOOKUP(Input!$C$11,'2021Data'!$A$1:$DX$83,106)</f>
        <v>97</v>
      </c>
    </row>
    <row r="54" spans="1:6" ht="15" customHeight="1" x14ac:dyDescent="0.2">
      <c r="D54" s="214"/>
      <c r="E54" s="5" t="s">
        <v>197</v>
      </c>
      <c r="F54" s="6">
        <f>VLOOKUP(Input!$C$11,'2021Data'!$A$1:$DX$83,107)</f>
        <v>9016</v>
      </c>
    </row>
    <row r="55" spans="1:6" ht="15" customHeight="1" x14ac:dyDescent="0.2">
      <c r="D55" s="214"/>
      <c r="E55" s="5" t="s">
        <v>152</v>
      </c>
      <c r="F55" s="30">
        <f>VLOOKUP(Input!$C$11,'2021Data'!$A$1:$DX$83,108)</f>
        <v>7282</v>
      </c>
    </row>
    <row r="56" spans="1:6" ht="15" customHeight="1" thickBot="1" x14ac:dyDescent="0.25">
      <c r="D56" s="214"/>
      <c r="E56" s="12" t="s">
        <v>198</v>
      </c>
      <c r="F56" s="18">
        <f>VLOOKUP(Input!$C$11,'2021Data'!$A$1:$DX$83,109)</f>
        <v>118525</v>
      </c>
    </row>
    <row r="57" spans="1:6" ht="15" customHeight="1" x14ac:dyDescent="0.2">
      <c r="D57" s="214"/>
    </row>
    <row r="58" spans="1:6" ht="15" customHeight="1" x14ac:dyDescent="0.2">
      <c r="D58" s="214"/>
    </row>
  </sheetData>
  <mergeCells count="13">
    <mergeCell ref="B2:F2"/>
    <mergeCell ref="B3:F3"/>
    <mergeCell ref="B4:C4"/>
    <mergeCell ref="E4:F4"/>
    <mergeCell ref="B13:C13"/>
    <mergeCell ref="E52:F52"/>
    <mergeCell ref="E17:F17"/>
    <mergeCell ref="B35:C35"/>
    <mergeCell ref="E37:F37"/>
    <mergeCell ref="B50:C50"/>
    <mergeCell ref="E48:F48"/>
    <mergeCell ref="B30:C30"/>
    <mergeCell ref="B46:C46"/>
  </mergeCells>
  <printOptions horizontalCentered="1"/>
  <pageMargins left="0.37187500000000001" right="0.37187500000000001" top="0.92" bottom="0.25" header="0.28000000000000003" footer="0.3"/>
  <pageSetup scale="70" orientation="portrait" r:id="rId1"/>
  <headerFooter>
    <oddFooter>&amp;L&amp;"Arial,Regular"&amp;10Information reported in 2018 Texas Public Libraries Annual Report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5:T227"/>
  <sheetViews>
    <sheetView showRuler="0" zoomScaleNormal="100" zoomScaleSheetLayoutView="50" workbookViewId="0">
      <selection activeCell="V191" sqref="V191"/>
    </sheetView>
  </sheetViews>
  <sheetFormatPr defaultColWidth="9" defaultRowHeight="18.75" x14ac:dyDescent="0.3"/>
  <cols>
    <col min="1" max="1" width="3" style="277" customWidth="1"/>
    <col min="2" max="2" width="9" style="278"/>
    <col min="3" max="6" width="9" style="277"/>
    <col min="7" max="7" width="9" style="286"/>
    <col min="8" max="8" width="9" style="287"/>
    <col min="9" max="9" width="9" style="286"/>
    <col min="10" max="16384" width="9" style="277"/>
  </cols>
  <sheetData>
    <row r="5" spans="1:20" s="276" customFormat="1" ht="21" x14ac:dyDescent="0.35">
      <c r="B5" s="393" t="s">
        <v>1267</v>
      </c>
      <c r="C5" s="393"/>
      <c r="D5" s="393"/>
      <c r="E5" s="393"/>
      <c r="F5" s="393"/>
      <c r="G5" s="393"/>
      <c r="H5" s="393"/>
      <c r="I5" s="393"/>
      <c r="J5" s="393"/>
      <c r="K5" s="393"/>
      <c r="L5" s="393"/>
      <c r="M5" s="393"/>
      <c r="N5" s="393"/>
      <c r="O5" s="393"/>
      <c r="T5" s="277"/>
    </row>
    <row r="6" spans="1:20" s="276" customFormat="1" ht="29.25" x14ac:dyDescent="0.35">
      <c r="B6" s="394" t="str">
        <f>VLOOKUP(Input!$C$11,'2021Data'!$A$2:$DZ$83,122,0)</f>
        <v>ALAMANCE</v>
      </c>
      <c r="C6" s="394"/>
      <c r="D6" s="394"/>
      <c r="E6" s="394"/>
      <c r="F6" s="394"/>
      <c r="G6" s="394"/>
      <c r="H6" s="394"/>
      <c r="I6" s="394"/>
      <c r="J6" s="394"/>
      <c r="K6" s="394"/>
      <c r="L6" s="394"/>
      <c r="M6" s="394"/>
      <c r="N6" s="394"/>
      <c r="O6" s="394"/>
      <c r="T6" s="277"/>
    </row>
    <row r="7" spans="1:20" s="276" customFormat="1" ht="20.100000000000001" customHeight="1" x14ac:dyDescent="0.35">
      <c r="A7" s="277"/>
      <c r="B7" s="278"/>
      <c r="C7" s="279"/>
      <c r="D7" s="279"/>
      <c r="E7" s="279"/>
      <c r="F7" s="279"/>
      <c r="G7" s="280"/>
      <c r="H7" s="281"/>
      <c r="I7" s="280"/>
      <c r="J7" s="279"/>
      <c r="K7" s="279"/>
      <c r="T7" s="277"/>
    </row>
    <row r="8" spans="1:20" s="276" customFormat="1" ht="20.100000000000001" customHeight="1" x14ac:dyDescent="0.35">
      <c r="A8" s="277"/>
      <c r="B8" s="278"/>
      <c r="C8" s="279"/>
      <c r="D8" s="279"/>
      <c r="E8" s="279"/>
      <c r="F8" s="279"/>
      <c r="G8" s="280"/>
      <c r="H8" s="281"/>
      <c r="I8" s="280"/>
      <c r="J8" s="279"/>
      <c r="K8" s="279"/>
      <c r="T8" s="277"/>
    </row>
    <row r="9" spans="1:20" s="276" customFormat="1" ht="20.100000000000001" customHeight="1" x14ac:dyDescent="0.35">
      <c r="A9" s="277"/>
      <c r="B9" s="278"/>
      <c r="C9" s="279"/>
      <c r="D9" s="279"/>
      <c r="E9" s="279"/>
      <c r="F9" s="279"/>
      <c r="G9" s="280"/>
      <c r="H9" s="281"/>
      <c r="I9" s="280"/>
      <c r="J9" s="279"/>
      <c r="K9" s="279"/>
      <c r="T9" s="277"/>
    </row>
    <row r="10" spans="1:20" s="276" customFormat="1" ht="20.100000000000001" customHeight="1" x14ac:dyDescent="0.35">
      <c r="A10" s="277"/>
      <c r="B10" s="278"/>
      <c r="C10" s="279"/>
      <c r="D10" s="279"/>
      <c r="E10" s="279"/>
      <c r="F10" s="279"/>
      <c r="G10" s="280"/>
      <c r="H10" s="281"/>
      <c r="I10" s="280"/>
      <c r="J10" s="279"/>
      <c r="K10" s="279"/>
      <c r="T10" s="277"/>
    </row>
    <row r="11" spans="1:20" s="276" customFormat="1" ht="20.100000000000001" customHeight="1" x14ac:dyDescent="0.35">
      <c r="A11" s="277"/>
      <c r="B11" s="278"/>
      <c r="C11" s="279"/>
      <c r="D11" s="279"/>
      <c r="E11" s="279"/>
      <c r="F11" s="279"/>
      <c r="G11" s="280"/>
      <c r="H11" s="281"/>
      <c r="I11" s="280"/>
      <c r="J11" s="279"/>
      <c r="K11" s="279"/>
      <c r="T11" s="277"/>
    </row>
    <row r="12" spans="1:20" s="276" customFormat="1" ht="20.100000000000001" customHeight="1" x14ac:dyDescent="0.35">
      <c r="A12" s="277"/>
      <c r="B12" s="278"/>
      <c r="C12" s="279"/>
      <c r="D12" s="279"/>
      <c r="E12" s="279"/>
      <c r="F12" s="279"/>
      <c r="G12" s="280"/>
      <c r="H12" s="281"/>
      <c r="I12" s="280"/>
      <c r="J12" s="279"/>
      <c r="K12" s="279"/>
      <c r="T12" s="277"/>
    </row>
    <row r="13" spans="1:20" s="283" customFormat="1" ht="25.5" customHeight="1" x14ac:dyDescent="0.4">
      <c r="A13" s="277"/>
      <c r="B13" s="278"/>
      <c r="C13" s="279"/>
      <c r="D13" s="282"/>
      <c r="E13" s="282"/>
      <c r="F13" s="282"/>
      <c r="G13" s="280"/>
      <c r="H13" s="281"/>
      <c r="I13" s="280"/>
      <c r="J13" s="282"/>
      <c r="K13" s="282"/>
      <c r="L13" s="276"/>
      <c r="M13" s="276"/>
      <c r="N13" s="276"/>
      <c r="O13" s="276"/>
    </row>
    <row r="14" spans="1:20" s="283" customFormat="1" ht="16.5" customHeight="1" x14ac:dyDescent="0.4">
      <c r="A14" s="277"/>
      <c r="B14" s="278"/>
      <c r="C14" s="279"/>
      <c r="D14" s="292"/>
      <c r="E14" s="282"/>
      <c r="F14" s="282"/>
      <c r="G14" s="280"/>
      <c r="H14" s="293"/>
      <c r="I14" s="280"/>
      <c r="J14" s="282"/>
      <c r="K14" s="282"/>
      <c r="L14" s="276"/>
      <c r="M14" s="276"/>
      <c r="N14" s="276"/>
      <c r="O14" s="276"/>
    </row>
    <row r="15" spans="1:20" s="284" customFormat="1" ht="43.35" customHeight="1" x14ac:dyDescent="0.3">
      <c r="B15" s="400" t="s">
        <v>199</v>
      </c>
      <c r="C15" s="400"/>
      <c r="D15" s="395" t="s">
        <v>2</v>
      </c>
      <c r="E15" s="396"/>
      <c r="F15" s="395" t="s">
        <v>131</v>
      </c>
      <c r="G15" s="396"/>
      <c r="H15" s="395" t="s">
        <v>3</v>
      </c>
      <c r="I15" s="396"/>
      <c r="J15" s="397" t="s">
        <v>933</v>
      </c>
      <c r="K15" s="398"/>
      <c r="L15" s="399"/>
      <c r="M15" s="294"/>
    </row>
    <row r="16" spans="1:20" ht="8.1" customHeight="1" x14ac:dyDescent="0.3">
      <c r="J16" s="295"/>
    </row>
    <row r="17" spans="2:17" ht="8.1" customHeight="1" x14ac:dyDescent="0.3">
      <c r="J17" s="295"/>
    </row>
    <row r="18" spans="2:17" ht="8.1" customHeight="1" x14ac:dyDescent="0.3">
      <c r="J18" s="295"/>
    </row>
    <row r="19" spans="2:17" ht="8.1" customHeight="1" x14ac:dyDescent="0.3">
      <c r="J19" s="295"/>
    </row>
    <row r="20" spans="2:17" ht="25.5" customHeight="1" x14ac:dyDescent="0.4">
      <c r="B20" s="401" t="s">
        <v>1</v>
      </c>
      <c r="C20" s="401"/>
      <c r="D20" s="401"/>
      <c r="E20" s="321"/>
      <c r="F20" s="318"/>
      <c r="G20" s="319"/>
      <c r="H20" s="320"/>
      <c r="I20" s="319"/>
      <c r="J20" s="318"/>
      <c r="K20" s="318"/>
      <c r="L20" s="318"/>
      <c r="M20" s="318"/>
      <c r="N20" s="318"/>
      <c r="O20" s="318"/>
    </row>
    <row r="21" spans="2:17" ht="20.100000000000001" customHeight="1" x14ac:dyDescent="0.3">
      <c r="B21" s="288"/>
    </row>
    <row r="22" spans="2:17" ht="18" customHeight="1" x14ac:dyDescent="0.3">
      <c r="B22" s="288"/>
      <c r="Q22" s="277" t="s">
        <v>132</v>
      </c>
    </row>
    <row r="23" spans="2:17" ht="18" customHeight="1" x14ac:dyDescent="0.3">
      <c r="B23" s="288"/>
    </row>
    <row r="24" spans="2:17" ht="18" customHeight="1" x14ac:dyDescent="0.3">
      <c r="B24" s="288"/>
    </row>
    <row r="25" spans="2:17" ht="18" customHeight="1" x14ac:dyDescent="0.3">
      <c r="B25" s="288"/>
      <c r="Q25" s="277" t="s">
        <v>132</v>
      </c>
    </row>
    <row r="26" spans="2:17" ht="18" customHeight="1" x14ac:dyDescent="0.3">
      <c r="B26" s="288"/>
    </row>
    <row r="27" spans="2:17" ht="18" customHeight="1" x14ac:dyDescent="0.3">
      <c r="B27" s="288"/>
    </row>
    <row r="28" spans="2:17" ht="18" customHeight="1" x14ac:dyDescent="0.3">
      <c r="B28" s="288"/>
    </row>
    <row r="29" spans="2:17" ht="18" customHeight="1" x14ac:dyDescent="0.3"/>
    <row r="30" spans="2:17" ht="18" customHeight="1" x14ac:dyDescent="0.3"/>
    <row r="31" spans="2:17" ht="18" customHeight="1" x14ac:dyDescent="0.3"/>
    <row r="32" spans="2:17" ht="18" customHeight="1" x14ac:dyDescent="0.3"/>
    <row r="33" ht="18" customHeight="1" x14ac:dyDescent="0.3"/>
    <row r="34" ht="18" customHeight="1" x14ac:dyDescent="0.3"/>
    <row r="35" ht="18" customHeight="1" x14ac:dyDescent="0.3"/>
    <row r="36" ht="18" customHeight="1" x14ac:dyDescent="0.3"/>
    <row r="37" ht="18" customHeight="1" x14ac:dyDescent="0.3"/>
    <row r="38" ht="18" customHeight="1" x14ac:dyDescent="0.3"/>
    <row r="39" ht="18" customHeight="1" x14ac:dyDescent="0.3"/>
    <row r="40" ht="18" customHeight="1" x14ac:dyDescent="0.3"/>
    <row r="41" ht="18" customHeight="1" x14ac:dyDescent="0.3"/>
    <row r="42" ht="18" customHeight="1" x14ac:dyDescent="0.3"/>
    <row r="43" ht="18" customHeight="1" x14ac:dyDescent="0.3"/>
    <row r="44" ht="18" customHeight="1" x14ac:dyDescent="0.3"/>
    <row r="45" ht="18" customHeight="1" x14ac:dyDescent="0.3"/>
    <row r="46" ht="18" customHeight="1" x14ac:dyDescent="0.3"/>
    <row r="47" ht="18" customHeight="1" x14ac:dyDescent="0.3"/>
    <row r="48" ht="18" customHeight="1" x14ac:dyDescent="0.3"/>
    <row r="49" spans="8:8" ht="18" customHeight="1" x14ac:dyDescent="0.3"/>
    <row r="50" spans="8:8" ht="18" customHeight="1" x14ac:dyDescent="0.3"/>
    <row r="51" spans="8:8" ht="18" customHeight="1" x14ac:dyDescent="0.3"/>
    <row r="52" spans="8:8" ht="18" customHeight="1" x14ac:dyDescent="0.3"/>
    <row r="53" spans="8:8" ht="18" customHeight="1" x14ac:dyDescent="0.3"/>
    <row r="54" spans="8:8" ht="18" customHeight="1" x14ac:dyDescent="0.3"/>
    <row r="55" spans="8:8" ht="18" customHeight="1" x14ac:dyDescent="0.3"/>
    <row r="56" spans="8:8" ht="18" customHeight="1" x14ac:dyDescent="0.3"/>
    <row r="57" spans="8:8" ht="18" customHeight="1" x14ac:dyDescent="0.3"/>
    <row r="58" spans="8:8" ht="18" customHeight="1" x14ac:dyDescent="0.3"/>
    <row r="59" spans="8:8" ht="18" customHeight="1" x14ac:dyDescent="0.3"/>
    <row r="60" spans="8:8" ht="18" customHeight="1" x14ac:dyDescent="0.3"/>
    <row r="61" spans="8:8" ht="18" customHeight="1" x14ac:dyDescent="0.3">
      <c r="H61" s="289" t="s">
        <v>164</v>
      </c>
    </row>
    <row r="62" spans="8:8" ht="18" customHeight="1" x14ac:dyDescent="0.3"/>
    <row r="63" spans="8:8" ht="18" customHeight="1" x14ac:dyDescent="0.3"/>
    <row r="64" spans="8:8" ht="18" customHeight="1" x14ac:dyDescent="0.3"/>
    <row r="65" ht="18" customHeight="1" x14ac:dyDescent="0.3"/>
    <row r="66" ht="18" customHeight="1" x14ac:dyDescent="0.3"/>
    <row r="67" ht="18" customHeight="1" x14ac:dyDescent="0.3"/>
    <row r="68" ht="18" customHeight="1" x14ac:dyDescent="0.3"/>
    <row r="69" ht="18" customHeight="1" x14ac:dyDescent="0.3"/>
    <row r="70" ht="18" customHeight="1" x14ac:dyDescent="0.3"/>
    <row r="71" ht="18" customHeight="1" x14ac:dyDescent="0.3"/>
    <row r="72" ht="18" customHeight="1" x14ac:dyDescent="0.3"/>
    <row r="73" ht="18" customHeight="1" x14ac:dyDescent="0.3"/>
    <row r="74" ht="18" customHeight="1" x14ac:dyDescent="0.3"/>
    <row r="75" ht="18" customHeight="1" x14ac:dyDescent="0.3"/>
    <row r="76" ht="18" customHeight="1" x14ac:dyDescent="0.3"/>
    <row r="77" ht="18" customHeight="1" x14ac:dyDescent="0.3"/>
    <row r="78" ht="18" customHeight="1" x14ac:dyDescent="0.3"/>
    <row r="79" ht="18" customHeight="1" x14ac:dyDescent="0.3"/>
    <row r="80" ht="18" customHeight="1" x14ac:dyDescent="0.3"/>
    <row r="81" spans="2:14" ht="18" customHeight="1" x14ac:dyDescent="0.3"/>
    <row r="82" spans="2:14" ht="18" customHeight="1" x14ac:dyDescent="0.3"/>
    <row r="83" spans="2:14" ht="18" customHeight="1" x14ac:dyDescent="0.3"/>
    <row r="84" spans="2:14" ht="18" customHeight="1" x14ac:dyDescent="0.3"/>
    <row r="85" spans="2:14" ht="18" customHeight="1" x14ac:dyDescent="0.3"/>
    <row r="86" spans="2:14" ht="18" customHeight="1" x14ac:dyDescent="0.3"/>
    <row r="87" spans="2:14" ht="18" customHeight="1" x14ac:dyDescent="0.3"/>
    <row r="88" spans="2:14" ht="18" customHeight="1" x14ac:dyDescent="0.3"/>
    <row r="89" spans="2:14" ht="18" customHeight="1" x14ac:dyDescent="0.3"/>
    <row r="90" spans="2:14" ht="18" customHeight="1" x14ac:dyDescent="0.3"/>
    <row r="91" spans="2:14" ht="18" customHeight="1" x14ac:dyDescent="0.3">
      <c r="H91" s="289" t="s">
        <v>164</v>
      </c>
    </row>
    <row r="92" spans="2:14" ht="18" customHeight="1" x14ac:dyDescent="0.3"/>
    <row r="93" spans="2:14" ht="18" customHeight="1" x14ac:dyDescent="0.3"/>
    <row r="94" spans="2:14" ht="21.75" customHeight="1" x14ac:dyDescent="0.3">
      <c r="B94" s="402" t="s">
        <v>2</v>
      </c>
      <c r="C94" s="402"/>
      <c r="D94" s="402"/>
      <c r="E94" s="321"/>
      <c r="F94" s="321"/>
      <c r="G94" s="322"/>
      <c r="H94" s="323"/>
      <c r="I94" s="322"/>
      <c r="J94" s="321"/>
      <c r="K94" s="321"/>
      <c r="L94" s="321"/>
      <c r="M94" s="321"/>
      <c r="N94" s="321"/>
    </row>
    <row r="95" spans="2:14" ht="18" customHeight="1" x14ac:dyDescent="0.3">
      <c r="B95" s="296"/>
      <c r="C95" s="296"/>
      <c r="D95" s="296"/>
    </row>
    <row r="96" spans="2:14" ht="18" customHeight="1" x14ac:dyDescent="0.3"/>
    <row r="97" spans="2:14" ht="18" customHeight="1" x14ac:dyDescent="0.3">
      <c r="B97" s="277"/>
    </row>
    <row r="98" spans="2:14" ht="18" customHeight="1" x14ac:dyDescent="0.3"/>
    <row r="99" spans="2:14" ht="18" customHeight="1" x14ac:dyDescent="0.3"/>
    <row r="100" spans="2:14" ht="18" customHeight="1" x14ac:dyDescent="0.3"/>
    <row r="101" spans="2:14" ht="18" customHeight="1" x14ac:dyDescent="0.3"/>
    <row r="104" spans="2:14" x14ac:dyDescent="0.3">
      <c r="B104" s="290"/>
    </row>
    <row r="109" spans="2:14" x14ac:dyDescent="0.3">
      <c r="H109" s="289" t="s">
        <v>164</v>
      </c>
    </row>
    <row r="110" spans="2:14" x14ac:dyDescent="0.3">
      <c r="H110" s="289"/>
    </row>
    <row r="111" spans="2:14" ht="24.75" customHeight="1" x14ac:dyDescent="0.3">
      <c r="B111" s="402" t="s">
        <v>131</v>
      </c>
      <c r="C111" s="402"/>
      <c r="D111" s="402"/>
      <c r="E111" s="321"/>
      <c r="F111" s="321"/>
      <c r="G111" s="322"/>
      <c r="H111" s="321"/>
      <c r="I111" s="322"/>
      <c r="J111" s="321"/>
      <c r="K111" s="321"/>
      <c r="L111" s="321"/>
      <c r="M111" s="321"/>
      <c r="N111" s="321"/>
    </row>
    <row r="112" spans="2:14" ht="21" x14ac:dyDescent="0.3">
      <c r="B112" s="296"/>
      <c r="C112" s="296"/>
      <c r="D112" s="296"/>
      <c r="H112" s="289"/>
    </row>
    <row r="113" spans="2:14" ht="16.5" x14ac:dyDescent="0.3">
      <c r="B113" s="277"/>
    </row>
    <row r="118" spans="2:14" x14ac:dyDescent="0.3">
      <c r="H118" s="291"/>
    </row>
    <row r="120" spans="2:14" x14ac:dyDescent="0.3">
      <c r="B120" s="290"/>
    </row>
    <row r="126" spans="2:14" x14ac:dyDescent="0.3">
      <c r="H126" s="289" t="s">
        <v>164</v>
      </c>
    </row>
    <row r="127" spans="2:14" ht="26.25" x14ac:dyDescent="0.3">
      <c r="B127" s="402" t="s">
        <v>3</v>
      </c>
      <c r="C127" s="402"/>
      <c r="D127" s="402"/>
      <c r="E127" s="321"/>
      <c r="F127" s="321"/>
      <c r="G127" s="322"/>
      <c r="H127" s="323"/>
      <c r="I127" s="322"/>
      <c r="J127" s="321"/>
      <c r="K127" s="321"/>
      <c r="L127" s="321"/>
      <c r="M127" s="321"/>
      <c r="N127" s="321"/>
    </row>
    <row r="128" spans="2:14" ht="21" x14ac:dyDescent="0.3">
      <c r="B128" s="296"/>
      <c r="C128" s="296"/>
      <c r="D128" s="296"/>
    </row>
    <row r="129" spans="2:2" ht="16.5" x14ac:dyDescent="0.3">
      <c r="B129" s="277"/>
    </row>
    <row r="130" spans="2:2" ht="16.5" x14ac:dyDescent="0.3">
      <c r="B130" s="277"/>
    </row>
    <row r="150" spans="8:9" x14ac:dyDescent="0.3">
      <c r="I150" s="286" t="s">
        <v>132</v>
      </c>
    </row>
    <row r="155" spans="8:9" x14ac:dyDescent="0.3">
      <c r="H155" s="289" t="s">
        <v>164</v>
      </c>
    </row>
    <row r="169" spans="8:8" x14ac:dyDescent="0.3">
      <c r="H169" s="289" t="s">
        <v>164</v>
      </c>
    </row>
    <row r="185" spans="2:14" ht="26.25" x14ac:dyDescent="0.3">
      <c r="B185" s="392" t="s">
        <v>133</v>
      </c>
      <c r="C185" s="392"/>
      <c r="D185" s="392"/>
      <c r="E185" s="318"/>
      <c r="F185" s="318"/>
      <c r="G185" s="319"/>
      <c r="H185" s="320"/>
      <c r="I185" s="319"/>
      <c r="J185" s="318"/>
      <c r="K185" s="318"/>
      <c r="L185" s="318"/>
      <c r="M185" s="318"/>
      <c r="N185" s="318"/>
    </row>
    <row r="186" spans="2:14" ht="21" x14ac:dyDescent="0.3">
      <c r="B186" s="297"/>
      <c r="C186" s="297"/>
      <c r="D186" s="297"/>
    </row>
    <row r="200" spans="2:2" ht="16.5" x14ac:dyDescent="0.3">
      <c r="B200" s="277"/>
    </row>
    <row r="227" spans="8:8" x14ac:dyDescent="0.3">
      <c r="H227" s="289" t="s">
        <v>164</v>
      </c>
    </row>
  </sheetData>
  <mergeCells count="12">
    <mergeCell ref="B185:D185"/>
    <mergeCell ref="B5:O5"/>
    <mergeCell ref="B6:O6"/>
    <mergeCell ref="D15:E15"/>
    <mergeCell ref="F15:G15"/>
    <mergeCell ref="H15:I15"/>
    <mergeCell ref="J15:L15"/>
    <mergeCell ref="B15:C15"/>
    <mergeCell ref="B20:D20"/>
    <mergeCell ref="B94:D94"/>
    <mergeCell ref="B111:D111"/>
    <mergeCell ref="B127:D127"/>
  </mergeCells>
  <hyperlinks>
    <hyperlink ref="D15" location="'2012 Charts'!B83" display="Collection " xr:uid="{00000000-0004-0000-0200-000000000000}"/>
    <hyperlink ref="F15" location="'2012 Charts'!B97" display="Revenue " xr:uid="{00000000-0004-0000-0200-000001000000}"/>
    <hyperlink ref="H15" location="'2012 Charts'!B114" display="Expenditure " xr:uid="{00000000-0004-0000-0200-000002000000}"/>
    <hyperlink ref="D15:E15" location="'2021 Individual Charts'!A64" display="Collection Charts" xr:uid="{00000000-0004-0000-0200-000003000000}"/>
    <hyperlink ref="F15:G15" location="'2021 Individual Charts'!A111" display="Revenue Charts" xr:uid="{00000000-0004-0000-0200-000004000000}"/>
    <hyperlink ref="H15:I15" location="'2021 Individual Charts'!A127" display="Expenditure Charts" xr:uid="{00000000-0004-0000-0200-000005000000}"/>
    <hyperlink ref="H109" location="'2021 Individual Charts'!A1" display="return to top" xr:uid="{00000000-0004-0000-0200-000006000000}"/>
    <hyperlink ref="H169" location="'2021 Individual Charts'!A1" display="return to top" xr:uid="{00000000-0004-0000-0200-000007000000}"/>
    <hyperlink ref="H227" location="'2021 Individual Charts'!A1" display="return to top" xr:uid="{00000000-0004-0000-0200-000008000000}"/>
    <hyperlink ref="J15:L15" location="'2021 Individual Charts'!A185" display="Other Measures Charts" xr:uid="{00000000-0004-0000-0200-00000A000000}"/>
    <hyperlink ref="H155" location="'2021 Individual Charts'!A1" display="return to top" xr:uid="{00000000-0004-0000-0200-00000B000000}"/>
    <hyperlink ref="H126" location="'2021 Individual Charts'!A1" display="return to top" xr:uid="{00000000-0004-0000-0200-00000C000000}"/>
    <hyperlink ref="H91" location="'2021 Individual Charts'!A1" display="return to top" xr:uid="{00000000-0004-0000-0200-00000D000000}"/>
    <hyperlink ref="H61" location="'2021 Individual Charts'!A1" display="return to top" xr:uid="{00000000-0004-0000-0200-00000E000000}"/>
  </hyperlinks>
  <printOptions horizontalCentered="1"/>
  <pageMargins left="0.2" right="0.2" top="0.38" bottom="0.37" header="0.24" footer="0.24"/>
  <pageSetup fitToWidth="0" fitToHeight="0" orientation="landscape" r:id="rId1"/>
  <headerFooter differentFirst="1">
    <oddFooter>&amp;R&amp;9&amp;F, Page 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5:N331"/>
  <sheetViews>
    <sheetView showGridLines="0" showRuler="0" zoomScale="120" zoomScaleNormal="120" zoomScaleSheetLayoutView="100" workbookViewId="0">
      <selection activeCell="G15" sqref="G15:H15"/>
    </sheetView>
  </sheetViews>
  <sheetFormatPr defaultColWidth="9" defaultRowHeight="21" x14ac:dyDescent="0.35"/>
  <cols>
    <col min="1" max="1" width="4.875" style="299" customWidth="1"/>
    <col min="2" max="2" width="11.625" style="312" customWidth="1"/>
    <col min="3" max="9" width="9" style="299"/>
    <col min="10" max="10" width="9" style="306"/>
    <col min="11" max="11" width="12.125" style="314" customWidth="1"/>
    <col min="12" max="16384" width="9" style="299"/>
  </cols>
  <sheetData>
    <row r="5" spans="1:14" ht="21" customHeight="1" x14ac:dyDescent="0.35">
      <c r="A5" s="393" t="s">
        <v>1251</v>
      </c>
      <c r="B5" s="404"/>
      <c r="C5" s="404"/>
      <c r="D5" s="404"/>
      <c r="E5" s="404"/>
      <c r="F5" s="404"/>
      <c r="G5" s="404"/>
      <c r="H5" s="404"/>
      <c r="I5" s="404"/>
      <c r="J5" s="404"/>
      <c r="K5" s="404"/>
      <c r="L5" s="298"/>
    </row>
    <row r="6" spans="1:14" ht="33.75" customHeight="1" x14ac:dyDescent="0.3">
      <c r="A6" s="403" t="str">
        <f>VLOOKUP(Input!C11,'2021Data'!$A$2:$DX$89,122,0)</f>
        <v>ALAMANCE</v>
      </c>
      <c r="B6" s="403"/>
      <c r="C6" s="403"/>
      <c r="D6" s="403"/>
      <c r="E6" s="403"/>
      <c r="F6" s="403"/>
      <c r="G6" s="403"/>
      <c r="H6" s="403"/>
      <c r="I6" s="403"/>
      <c r="J6" s="403"/>
      <c r="K6" s="403"/>
      <c r="L6" s="298"/>
    </row>
    <row r="7" spans="1:14" ht="23.25" x14ac:dyDescent="0.35">
      <c r="A7" s="300"/>
      <c r="B7" s="301"/>
      <c r="C7" s="302"/>
      <c r="D7" s="302"/>
      <c r="E7" s="302"/>
      <c r="F7" s="302"/>
      <c r="G7" s="302"/>
      <c r="H7" s="302"/>
      <c r="I7" s="302"/>
      <c r="J7" s="303"/>
      <c r="K7" s="304"/>
    </row>
    <row r="8" spans="1:14" ht="23.25" x14ac:dyDescent="0.35">
      <c r="A8" s="300"/>
      <c r="B8" s="301"/>
      <c r="C8" s="302"/>
      <c r="D8" s="302"/>
      <c r="E8" s="302"/>
      <c r="F8" s="302"/>
      <c r="G8" s="302"/>
      <c r="H8" s="302"/>
      <c r="I8" s="302"/>
      <c r="J8" s="303"/>
      <c r="K8" s="304"/>
    </row>
    <row r="9" spans="1:14" ht="23.25" x14ac:dyDescent="0.35">
      <c r="A9" s="300"/>
      <c r="B9" s="301"/>
      <c r="C9" s="302"/>
      <c r="D9" s="302"/>
      <c r="E9" s="302"/>
      <c r="F9" s="302"/>
      <c r="G9" s="302"/>
      <c r="H9" s="302"/>
      <c r="I9" s="302"/>
      <c r="J9" s="303"/>
      <c r="K9" s="304"/>
    </row>
    <row r="10" spans="1:14" ht="23.25" x14ac:dyDescent="0.35">
      <c r="A10" s="300"/>
      <c r="B10" s="301"/>
      <c r="C10" s="302"/>
      <c r="D10" s="302"/>
      <c r="E10" s="302"/>
      <c r="F10" s="302"/>
      <c r="G10" s="302"/>
      <c r="H10" s="302"/>
      <c r="I10" s="302"/>
      <c r="J10" s="303"/>
      <c r="K10" s="304"/>
    </row>
    <row r="11" spans="1:14" ht="23.25" x14ac:dyDescent="0.35">
      <c r="A11" s="300"/>
      <c r="B11" s="301"/>
      <c r="C11" s="302"/>
      <c r="D11" s="302"/>
      <c r="E11" s="302"/>
      <c r="F11" s="302"/>
      <c r="G11" s="302"/>
      <c r="H11" s="302"/>
      <c r="I11" s="302"/>
      <c r="J11" s="303"/>
      <c r="K11" s="304"/>
    </row>
    <row r="12" spans="1:14" s="300" customFormat="1" ht="23.25" x14ac:dyDescent="0.35">
      <c r="B12" s="301"/>
      <c r="C12" s="302"/>
      <c r="D12" s="302"/>
      <c r="E12" s="302"/>
      <c r="F12" s="302"/>
      <c r="G12" s="302"/>
      <c r="H12" s="302"/>
      <c r="I12" s="302"/>
      <c r="J12" s="303"/>
      <c r="K12" s="304"/>
    </row>
    <row r="13" spans="1:14" s="305" customFormat="1" ht="16.5" x14ac:dyDescent="0.3">
      <c r="D13" s="299"/>
      <c r="F13" s="299"/>
      <c r="H13" s="299"/>
      <c r="J13" s="306"/>
      <c r="K13" s="307"/>
      <c r="L13" s="299"/>
      <c r="M13" s="299"/>
      <c r="N13" s="308"/>
    </row>
    <row r="14" spans="1:14" s="305" customFormat="1" ht="16.5" x14ac:dyDescent="0.3">
      <c r="D14" s="299"/>
      <c r="F14" s="299"/>
      <c r="H14" s="299"/>
      <c r="J14" s="306"/>
      <c r="K14" s="307"/>
      <c r="L14" s="299"/>
      <c r="M14" s="299"/>
      <c r="N14" s="308"/>
    </row>
    <row r="15" spans="1:14" s="284" customFormat="1" ht="48.6" customHeight="1" x14ac:dyDescent="0.3">
      <c r="A15" s="400" t="s">
        <v>199</v>
      </c>
      <c r="B15" s="400"/>
      <c r="C15" s="407" t="s">
        <v>2</v>
      </c>
      <c r="D15" s="407"/>
      <c r="E15" s="407" t="s">
        <v>131</v>
      </c>
      <c r="F15" s="407"/>
      <c r="G15" s="407" t="s">
        <v>3</v>
      </c>
      <c r="H15" s="407"/>
      <c r="I15" s="407" t="s">
        <v>933</v>
      </c>
      <c r="J15" s="407"/>
      <c r="K15" s="407"/>
      <c r="L15" s="285"/>
    </row>
    <row r="16" spans="1:14" s="288" customFormat="1" x14ac:dyDescent="0.35">
      <c r="B16" s="300"/>
      <c r="C16" s="300"/>
      <c r="D16" s="309"/>
      <c r="E16" s="309"/>
      <c r="F16" s="300"/>
      <c r="G16" s="300"/>
      <c r="H16" s="409"/>
      <c r="I16" s="409"/>
      <c r="J16" s="409"/>
      <c r="K16" s="307"/>
    </row>
    <row r="17" spans="1:11" s="305" customFormat="1" ht="26.25" x14ac:dyDescent="0.4">
      <c r="A17" s="288"/>
      <c r="B17" s="401" t="s">
        <v>1</v>
      </c>
      <c r="C17" s="401"/>
      <c r="D17" s="401"/>
      <c r="E17" s="324"/>
      <c r="F17" s="325"/>
      <c r="G17" s="325"/>
      <c r="H17" s="325"/>
      <c r="I17" s="325"/>
      <c r="J17" s="326"/>
      <c r="K17" s="327"/>
    </row>
    <row r="18" spans="1:11" s="305" customFormat="1" ht="17.25" customHeight="1" x14ac:dyDescent="0.35">
      <c r="B18" s="300"/>
      <c r="J18" s="310"/>
      <c r="K18" s="307"/>
    </row>
    <row r="19" spans="1:11" s="311" customFormat="1" ht="18" customHeight="1" x14ac:dyDescent="0.45">
      <c r="A19" s="305"/>
      <c r="B19" s="300"/>
      <c r="C19" s="305"/>
      <c r="D19" s="305"/>
      <c r="E19" s="305"/>
      <c r="F19" s="305"/>
      <c r="G19" s="305"/>
      <c r="H19" s="305"/>
      <c r="I19" s="305"/>
      <c r="J19" s="310"/>
      <c r="K19" s="307"/>
    </row>
    <row r="20" spans="1:11" ht="28.5" x14ac:dyDescent="0.45">
      <c r="A20" s="311"/>
      <c r="B20" s="408"/>
      <c r="C20" s="408"/>
      <c r="D20" s="408"/>
      <c r="E20" s="408"/>
      <c r="F20" s="408"/>
      <c r="G20" s="408"/>
      <c r="H20" s="408"/>
      <c r="I20" s="408"/>
      <c r="J20" s="408"/>
      <c r="K20" s="408"/>
    </row>
    <row r="63" spans="11:11" x14ac:dyDescent="0.35">
      <c r="K63" s="289" t="s">
        <v>164</v>
      </c>
    </row>
    <row r="67" spans="11:11" x14ac:dyDescent="0.35">
      <c r="K67" s="313"/>
    </row>
    <row r="97" spans="11:11" x14ac:dyDescent="0.35">
      <c r="K97" s="289" t="s">
        <v>164</v>
      </c>
    </row>
    <row r="118" spans="2:11" ht="15" x14ac:dyDescent="0.25">
      <c r="B118" s="299"/>
    </row>
    <row r="120" spans="2:11" x14ac:dyDescent="0.35">
      <c r="K120" s="289" t="s">
        <v>164</v>
      </c>
    </row>
    <row r="121" spans="2:11" ht="26.25" x14ac:dyDescent="0.4">
      <c r="B121" s="401" t="s">
        <v>2</v>
      </c>
      <c r="C121" s="401"/>
      <c r="D121" s="401"/>
      <c r="E121" s="328"/>
      <c r="F121" s="328"/>
      <c r="G121" s="328"/>
      <c r="H121" s="328"/>
      <c r="I121" s="328"/>
      <c r="J121" s="329"/>
      <c r="K121" s="330"/>
    </row>
    <row r="123" spans="2:11" ht="15" x14ac:dyDescent="0.25">
      <c r="B123" s="299"/>
    </row>
    <row r="142" spans="2:12" ht="15" x14ac:dyDescent="0.25">
      <c r="B142" s="299"/>
      <c r="L142" s="315"/>
    </row>
    <row r="143" spans="2:12" x14ac:dyDescent="0.35">
      <c r="K143" s="289" t="s">
        <v>164</v>
      </c>
    </row>
    <row r="144" spans="2:12" ht="26.25" x14ac:dyDescent="0.4">
      <c r="B144" s="401" t="s">
        <v>131</v>
      </c>
      <c r="C144" s="401"/>
      <c r="D144" s="401"/>
      <c r="E144" s="328"/>
      <c r="F144" s="328"/>
      <c r="G144" s="328"/>
      <c r="H144" s="328"/>
      <c r="I144" s="328"/>
      <c r="J144" s="329"/>
      <c r="K144" s="330"/>
    </row>
    <row r="145" spans="2:2" ht="15" x14ac:dyDescent="0.25">
      <c r="B145" s="299"/>
    </row>
    <row r="155" spans="2:2" ht="15" x14ac:dyDescent="0.25">
      <c r="B155" s="299"/>
    </row>
    <row r="169" spans="2:11" x14ac:dyDescent="0.35">
      <c r="K169" s="289" t="s">
        <v>164</v>
      </c>
    </row>
    <row r="171" spans="2:11" ht="26.25" x14ac:dyDescent="0.4">
      <c r="B171" s="332" t="s">
        <v>3</v>
      </c>
      <c r="C171" s="331"/>
      <c r="D171" s="331"/>
      <c r="E171" s="328"/>
      <c r="F171" s="328"/>
      <c r="G171" s="328"/>
      <c r="H171" s="328"/>
      <c r="I171" s="328"/>
      <c r="J171" s="329"/>
      <c r="K171" s="328"/>
    </row>
    <row r="173" spans="2:11" ht="15" x14ac:dyDescent="0.25">
      <c r="B173" s="299"/>
    </row>
    <row r="181" spans="2:2" ht="15" x14ac:dyDescent="0.25">
      <c r="B181" s="299"/>
    </row>
    <row r="188" spans="2:2" ht="15" x14ac:dyDescent="0.25">
      <c r="B188" s="299"/>
    </row>
    <row r="189" spans="2:2" ht="15" x14ac:dyDescent="0.25">
      <c r="B189" s="299"/>
    </row>
    <row r="208" spans="11:11" x14ac:dyDescent="0.35">
      <c r="K208" s="289" t="s">
        <v>164</v>
      </c>
    </row>
    <row r="241" spans="11:11" x14ac:dyDescent="0.35">
      <c r="K241" s="289" t="s">
        <v>164</v>
      </c>
    </row>
    <row r="242" spans="11:11" x14ac:dyDescent="0.35">
      <c r="K242" s="316"/>
    </row>
    <row r="243" spans="11:11" x14ac:dyDescent="0.35">
      <c r="K243" s="316"/>
    </row>
    <row r="244" spans="11:11" x14ac:dyDescent="0.35">
      <c r="K244" s="316"/>
    </row>
    <row r="245" spans="11:11" x14ac:dyDescent="0.35">
      <c r="K245" s="316"/>
    </row>
    <row r="246" spans="11:11" x14ac:dyDescent="0.35">
      <c r="K246" s="316"/>
    </row>
    <row r="247" spans="11:11" x14ac:dyDescent="0.35">
      <c r="K247" s="316"/>
    </row>
    <row r="248" spans="11:11" x14ac:dyDescent="0.35">
      <c r="K248" s="316"/>
    </row>
    <row r="249" spans="11:11" x14ac:dyDescent="0.35">
      <c r="K249" s="316"/>
    </row>
    <row r="250" spans="11:11" x14ac:dyDescent="0.35">
      <c r="K250" s="316"/>
    </row>
    <row r="251" spans="11:11" x14ac:dyDescent="0.35">
      <c r="K251" s="316"/>
    </row>
    <row r="252" spans="11:11" x14ac:dyDescent="0.35">
      <c r="K252" s="316"/>
    </row>
    <row r="253" spans="11:11" x14ac:dyDescent="0.35">
      <c r="K253" s="316"/>
    </row>
    <row r="254" spans="11:11" x14ac:dyDescent="0.35">
      <c r="K254" s="316"/>
    </row>
    <row r="255" spans="11:11" x14ac:dyDescent="0.35">
      <c r="K255" s="316"/>
    </row>
    <row r="256" spans="11:11" x14ac:dyDescent="0.35">
      <c r="K256" s="316"/>
    </row>
    <row r="257" spans="2:11" x14ac:dyDescent="0.35">
      <c r="K257" s="316"/>
    </row>
    <row r="258" spans="2:11" x14ac:dyDescent="0.35">
      <c r="K258" s="316"/>
    </row>
    <row r="259" spans="2:11" x14ac:dyDescent="0.35">
      <c r="K259" s="316"/>
    </row>
    <row r="260" spans="2:11" x14ac:dyDescent="0.35">
      <c r="K260" s="316"/>
    </row>
    <row r="261" spans="2:11" x14ac:dyDescent="0.35">
      <c r="K261" s="316"/>
    </row>
    <row r="262" spans="2:11" x14ac:dyDescent="0.35">
      <c r="K262" s="316"/>
    </row>
    <row r="263" spans="2:11" x14ac:dyDescent="0.35">
      <c r="K263" s="316"/>
    </row>
    <row r="264" spans="2:11" x14ac:dyDescent="0.35">
      <c r="K264" s="289" t="s">
        <v>164</v>
      </c>
    </row>
    <row r="265" spans="2:11" x14ac:dyDescent="0.35">
      <c r="K265" s="316"/>
    </row>
    <row r="266" spans="2:11" ht="26.25" x14ac:dyDescent="0.4">
      <c r="B266" s="405" t="s">
        <v>133</v>
      </c>
      <c r="C266" s="406"/>
      <c r="D266" s="406"/>
      <c r="E266" s="333"/>
      <c r="F266" s="333"/>
      <c r="G266" s="333"/>
      <c r="H266" s="333"/>
      <c r="I266" s="333"/>
      <c r="J266" s="334"/>
      <c r="K266" s="333"/>
    </row>
    <row r="271" spans="2:11" ht="15" x14ac:dyDescent="0.25">
      <c r="B271" s="299"/>
      <c r="K271" s="313"/>
    </row>
    <row r="283" spans="2:2" ht="15" x14ac:dyDescent="0.25">
      <c r="B283" s="299"/>
    </row>
    <row r="314" spans="1:11" s="317" customFormat="1" ht="28.5" x14ac:dyDescent="0.45">
      <c r="A314" s="299"/>
      <c r="B314" s="312"/>
      <c r="C314" s="299"/>
      <c r="D314" s="299"/>
      <c r="E314" s="299"/>
      <c r="F314" s="299"/>
      <c r="G314" s="299"/>
      <c r="H314" s="299"/>
      <c r="I314" s="299"/>
      <c r="J314" s="306"/>
      <c r="K314" s="314"/>
    </row>
    <row r="315" spans="1:11" s="317" customFormat="1" ht="28.5" x14ac:dyDescent="0.45">
      <c r="A315" s="299"/>
      <c r="B315" s="312"/>
      <c r="C315" s="299"/>
      <c r="D315" s="299"/>
      <c r="E315" s="299"/>
      <c r="F315" s="299"/>
      <c r="G315" s="299"/>
      <c r="H315" s="299"/>
      <c r="I315" s="299"/>
      <c r="J315" s="306"/>
      <c r="K315" s="314"/>
    </row>
    <row r="316" spans="1:11" ht="28.5" x14ac:dyDescent="0.45">
      <c r="A316" s="317"/>
      <c r="C316" s="311"/>
      <c r="D316" s="311"/>
      <c r="E316" s="311"/>
      <c r="F316" s="311"/>
      <c r="G316" s="311"/>
      <c r="H316" s="311"/>
      <c r="I316" s="311"/>
      <c r="J316" s="310"/>
      <c r="K316" s="307"/>
    </row>
    <row r="319" spans="1:11" x14ac:dyDescent="0.35">
      <c r="G319" s="299" t="s">
        <v>132</v>
      </c>
      <c r="K319" s="316"/>
    </row>
    <row r="331" spans="11:11" x14ac:dyDescent="0.35">
      <c r="K331" s="289" t="s">
        <v>164</v>
      </c>
    </row>
  </sheetData>
  <mergeCells count="13">
    <mergeCell ref="A6:K6"/>
    <mergeCell ref="A5:K5"/>
    <mergeCell ref="B121:D121"/>
    <mergeCell ref="B144:D144"/>
    <mergeCell ref="B266:D266"/>
    <mergeCell ref="A15:B15"/>
    <mergeCell ref="I15:K15"/>
    <mergeCell ref="B20:K20"/>
    <mergeCell ref="H16:J16"/>
    <mergeCell ref="C15:D15"/>
    <mergeCell ref="E15:F15"/>
    <mergeCell ref="G15:H15"/>
    <mergeCell ref="B17:D17"/>
  </mergeCells>
  <hyperlinks>
    <hyperlink ref="C15" location="'2012 Comparison Charts'!B140" display="Collection " xr:uid="{00000000-0004-0000-0300-000000000000}"/>
    <hyperlink ref="E15" location="'2012 Comparison Charts'!B164" display="Revenue " xr:uid="{00000000-0004-0000-0300-000001000000}"/>
    <hyperlink ref="G15" location="'2012 Comparison Charts'!B200" display="Expenditure " xr:uid="{00000000-0004-0000-0300-000002000000}"/>
    <hyperlink ref="I15" location="'2012 Comparison Charts'!B282" display="Other Measures" xr:uid="{00000000-0004-0000-0300-000003000000}"/>
    <hyperlink ref="K120" location="'2021 Comparison Charts'!A1" tooltip="Top" display="return to top" xr:uid="{00000000-0004-0000-0300-000006000000}"/>
    <hyperlink ref="C15:D15" location="'2021 Comparison Charts'!A121" display="Collection Charts" xr:uid="{00000000-0004-0000-0300-00000B000000}"/>
    <hyperlink ref="E15:F15" location="'2021 Comparison Charts'!A144" display="Revenue Charts" xr:uid="{00000000-0004-0000-0300-00000C000000}"/>
    <hyperlink ref="G15:H15" location="'2021 Comparison Charts'!A171" display="Expenditure Charts" xr:uid="{00000000-0004-0000-0300-00000D000000}"/>
    <hyperlink ref="K169" location="'2021 Comparison Charts'!A1" tooltip="Top" display="return to top" xr:uid="{00000000-0004-0000-0300-00000E000000}"/>
    <hyperlink ref="I15:K15" location="'2021 Comparison Charts'!A266" display="Other Measures Charts" xr:uid="{00000000-0004-0000-0300-00000F000000}"/>
    <hyperlink ref="K208" location="'2021 Comparison Charts'!A1" tooltip="Top" display="return to top" xr:uid="{5CA31CBA-EC94-4C5B-A8B1-83313B5A3D7B}"/>
    <hyperlink ref="K241" location="'2021 Comparison Charts'!A1" tooltip="Top" display="return to top" xr:uid="{4E23C0CF-06AC-4AB6-A506-98DC0006EB70}"/>
    <hyperlink ref="K264" location="'2021 Comparison Charts'!A1" tooltip="Top" display="return to top" xr:uid="{D0BE4974-11CC-4948-8FFA-F18FA0482751}"/>
    <hyperlink ref="K331" location="'2021 Comparison Charts'!A1" tooltip="Top" display="return to top" xr:uid="{E295E1A7-4E9A-4A9C-A0D2-F5AE3CE9CA87}"/>
    <hyperlink ref="K63" location="'2021 Comparison Charts'!A1" tooltip="Top" display="return to top" xr:uid="{0F7CA973-6BDE-45E8-BC7A-51CE14B4214C}"/>
    <hyperlink ref="K97" location="'2021 Comparison Charts'!A1" tooltip="Top" display="return to top" xr:uid="{4DFE3B14-8344-4D98-8AB6-A89DFBBCDE0A}"/>
    <hyperlink ref="K143" location="'2021 Comparison Charts'!A1" tooltip="Top" display="return to top" xr:uid="{E5FFDD49-30A4-4826-9386-825C836A49EB}"/>
  </hyperlinks>
  <printOptions horizontalCentered="1"/>
  <pageMargins left="0.25" right="0.25" top="0.33" bottom="0.5" header="0.05" footer="0.3"/>
  <pageSetup orientation="portrait" r:id="rId1"/>
  <headerFooter differentFirst="1">
    <oddFooter>&amp;R&amp;9Texas State Library and Archives Commission, Page &amp;P</oddFooter>
  </headerFooter>
  <rowBreaks count="4" manualBreakCount="4">
    <brk id="96" max="10" man="1"/>
    <brk id="119" max="10" man="1"/>
    <brk id="143" max="10" man="1"/>
    <brk id="170" max="10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EB121"/>
  <sheetViews>
    <sheetView zoomScaleNormal="100" workbookViewId="0">
      <pane xSplit="2" ySplit="1" topLeftCell="CE37" activePane="bottomRight" state="frozen"/>
      <selection pane="topRight" activeCell="C1" sqref="C1"/>
      <selection pane="bottomLeft" activeCell="A3" sqref="A3"/>
      <selection pane="bottomRight" activeCell="CI42" sqref="CI42"/>
    </sheetView>
  </sheetViews>
  <sheetFormatPr defaultColWidth="8.875" defaultRowHeight="12.75" x14ac:dyDescent="0.2"/>
  <cols>
    <col min="1" max="1" width="20.5" style="114" customWidth="1"/>
    <col min="2" max="2" width="21.875" style="114" customWidth="1"/>
    <col min="3" max="3" width="16" style="108" customWidth="1"/>
    <col min="4" max="4" width="20.125" style="108" customWidth="1"/>
    <col min="5" max="5" width="15.5" style="121" customWidth="1"/>
    <col min="6" max="6" width="18.375" style="108" bestFit="1" customWidth="1"/>
    <col min="7" max="7" width="14.5" style="32" bestFit="1" customWidth="1"/>
    <col min="8" max="8" width="16.875" style="108" bestFit="1" customWidth="1"/>
    <col min="9" max="9" width="19.5" style="122" bestFit="1" customWidth="1"/>
    <col min="10" max="10" width="19.875" style="125" bestFit="1" customWidth="1"/>
    <col min="11" max="11" width="20.625" style="125" bestFit="1" customWidth="1"/>
    <col min="12" max="12" width="14.875" style="125" customWidth="1"/>
    <col min="13" max="13" width="17.125" style="110" customWidth="1"/>
    <col min="14" max="14" width="14.625" style="125" customWidth="1"/>
    <col min="15" max="16" width="13.125" style="125" customWidth="1"/>
    <col min="17" max="17" width="16.125" style="125" customWidth="1"/>
    <col min="18" max="18" width="17.5" style="110" customWidth="1"/>
    <col min="19" max="19" width="14.125" style="125" customWidth="1"/>
    <col min="20" max="20" width="22.125" style="125" customWidth="1"/>
    <col min="21" max="21" width="13.625" style="125" customWidth="1"/>
    <col min="22" max="22" width="15" style="125" bestFit="1" customWidth="1"/>
    <col min="23" max="23" width="13.125" style="110" customWidth="1"/>
    <col min="24" max="24" width="18.5" style="111" customWidth="1"/>
    <col min="25" max="26" width="18.625" style="111" customWidth="1"/>
    <col min="27" max="27" width="17.625" style="111" customWidth="1"/>
    <col min="28" max="28" width="18.5" style="125" customWidth="1"/>
    <col min="29" max="29" width="19" style="125" customWidth="1"/>
    <col min="30" max="30" width="15.5" style="125" customWidth="1"/>
    <col min="31" max="31" width="17.125" style="125" customWidth="1"/>
    <col min="32" max="32" width="16.5" style="125" customWidth="1"/>
    <col min="33" max="33" width="14.5" style="125" customWidth="1"/>
    <col min="34" max="34" width="15.125" style="125" customWidth="1"/>
    <col min="35" max="35" width="18.625" style="125" customWidth="1"/>
    <col min="36" max="36" width="18.625" style="110" customWidth="1"/>
    <col min="37" max="37" width="15.625" style="125" customWidth="1"/>
    <col min="38" max="38" width="16.5" style="125" customWidth="1"/>
    <col min="39" max="39" width="20.625" style="125" customWidth="1"/>
    <col min="40" max="40" width="14.125" style="125" customWidth="1"/>
    <col min="41" max="41" width="16.125" style="125" customWidth="1"/>
    <col min="42" max="42" width="21.125" style="125" customWidth="1"/>
    <col min="43" max="43" width="11.125" style="110" customWidth="1"/>
    <col min="44" max="45" width="14.625" style="125" customWidth="1"/>
    <col min="46" max="46" width="17" style="125" customWidth="1"/>
    <col min="47" max="47" width="17.5" style="125" customWidth="1"/>
    <col min="48" max="48" width="18" style="125" customWidth="1"/>
    <col min="49" max="49" width="20.125" style="125" customWidth="1"/>
    <col min="50" max="50" width="15.125" style="125" customWidth="1"/>
    <col min="51" max="51" width="17" style="125" customWidth="1"/>
    <col min="52" max="52" width="14.625" style="108" customWidth="1"/>
    <col min="53" max="53" width="14.625" style="109" customWidth="1"/>
    <col min="54" max="54" width="14.625" style="108" customWidth="1"/>
    <col min="55" max="55" width="12.125" style="108" customWidth="1"/>
    <col min="56" max="56" width="16" style="108" customWidth="1"/>
    <col min="57" max="57" width="14" style="108" customWidth="1"/>
    <col min="58" max="58" width="12.125" style="108" customWidth="1"/>
    <col min="59" max="59" width="14.625" style="108" customWidth="1"/>
    <col min="60" max="60" width="13" style="108" customWidth="1"/>
    <col min="61" max="61" width="11.125" style="108" customWidth="1"/>
    <col min="62" max="62" width="12.125" style="108" customWidth="1"/>
    <col min="63" max="63" width="19.5" style="108" customWidth="1"/>
    <col min="64" max="64" width="19.5" style="109" customWidth="1"/>
    <col min="65" max="65" width="16" style="108" customWidth="1"/>
    <col min="66" max="66" width="18.625" style="108" customWidth="1"/>
    <col min="67" max="67" width="15.125" style="109" customWidth="1"/>
    <col min="68" max="68" width="20.5" style="108" customWidth="1"/>
    <col min="69" max="69" width="16.125" style="108" customWidth="1"/>
    <col min="70" max="70" width="14.375" style="360" customWidth="1"/>
    <col min="71" max="71" width="14.5" style="108" customWidth="1"/>
    <col min="72" max="72" width="15.125" style="108" customWidth="1"/>
    <col min="73" max="73" width="18.125" style="145" customWidth="1"/>
    <col min="74" max="74" width="18.125" style="108" customWidth="1"/>
    <col min="75" max="77" width="18.125" style="122" customWidth="1"/>
    <col min="78" max="78" width="18.125" style="108" customWidth="1"/>
    <col min="79" max="79" width="17.625" style="108" customWidth="1"/>
    <col min="80" max="80" width="21.125" style="108" customWidth="1"/>
    <col min="81" max="81" width="21.5" style="108" customWidth="1"/>
    <col min="82" max="82" width="18" style="108" customWidth="1"/>
    <col min="83" max="84" width="21.5" style="108" customWidth="1"/>
    <col min="85" max="85" width="17.625" style="108" customWidth="1"/>
    <col min="86" max="86" width="16.5" style="109" customWidth="1"/>
    <col min="87" max="87" width="11.5" style="108" customWidth="1"/>
    <col min="88" max="88" width="11.5" style="109" customWidth="1"/>
    <col min="89" max="89" width="16.625" style="108" customWidth="1"/>
    <col min="90" max="90" width="12.5" style="114" customWidth="1"/>
    <col min="91" max="91" width="15.625" style="107" customWidth="1"/>
    <col min="92" max="92" width="16.5" style="107" customWidth="1"/>
    <col min="93" max="93" width="16.625" style="177" bestFit="1" customWidth="1"/>
    <col min="94" max="94" width="13.5" style="108" customWidth="1"/>
    <col min="95" max="95" width="13.5" style="169" customWidth="1"/>
    <col min="96" max="96" width="15" style="169" customWidth="1"/>
    <col min="97" max="97" width="16.625" style="169" customWidth="1"/>
    <col min="98" max="99" width="14.125" style="108" customWidth="1"/>
    <col min="100" max="100" width="15.125" style="125" customWidth="1"/>
    <col min="101" max="101" width="15.125" style="109" customWidth="1"/>
    <col min="102" max="102" width="26" style="114" customWidth="1"/>
    <col min="103" max="103" width="16.125" style="107" customWidth="1"/>
    <col min="104" max="104" width="17.5" style="143" customWidth="1"/>
    <col min="105" max="105" width="18.625" style="108" customWidth="1"/>
    <col min="106" max="106" width="14" style="108" customWidth="1"/>
    <col min="107" max="107" width="16.375" style="143" customWidth="1"/>
    <col min="108" max="108" width="18.5" style="108" customWidth="1"/>
    <col min="109" max="109" width="23.5" style="108" customWidth="1"/>
    <col min="110" max="111" width="17.625" style="108" customWidth="1"/>
    <col min="112" max="112" width="17.125" style="108" customWidth="1"/>
    <col min="113" max="113" width="21" style="108" customWidth="1"/>
    <col min="114" max="114" width="22" style="108" customWidth="1"/>
    <col min="115" max="116" width="19" style="108" customWidth="1"/>
    <col min="117" max="117" width="16" style="144" bestFit="1" customWidth="1"/>
    <col min="118" max="118" width="10" style="114" bestFit="1" customWidth="1"/>
    <col min="119" max="119" width="14" style="140" bestFit="1" customWidth="1"/>
    <col min="120" max="120" width="13" style="107" bestFit="1" customWidth="1"/>
    <col min="121" max="121" width="9.375" style="114" customWidth="1"/>
    <col min="122" max="122" width="45.125" style="114" bestFit="1" customWidth="1"/>
    <col min="123" max="123" width="14.875" style="114" bestFit="1" customWidth="1"/>
    <col min="124" max="124" width="14.125" style="109" customWidth="1"/>
    <col min="125" max="125" width="11.125" style="114" customWidth="1"/>
    <col min="126" max="126" width="45.125" style="114" bestFit="1" customWidth="1"/>
    <col min="127" max="128" width="15.625" style="109" customWidth="1"/>
    <col min="129" max="129" width="14.5" style="109" customWidth="1"/>
    <col min="130" max="130" width="14.125" style="109" customWidth="1"/>
    <col min="131" max="131" width="13.625" style="110" customWidth="1"/>
    <col min="132" max="132" width="11.125" style="110" customWidth="1"/>
    <col min="133" max="16384" width="8.875" style="114"/>
  </cols>
  <sheetData>
    <row r="1" spans="1:132" s="107" customFormat="1" ht="66.599999999999994" customHeight="1" thickBot="1" x14ac:dyDescent="0.25">
      <c r="A1" s="62" t="s">
        <v>901</v>
      </c>
      <c r="B1" s="62"/>
      <c r="C1" s="50" t="s">
        <v>12</v>
      </c>
      <c r="D1" s="50" t="s">
        <v>19</v>
      </c>
      <c r="E1" s="50" t="s">
        <v>20</v>
      </c>
      <c r="F1" s="355" t="s">
        <v>1166</v>
      </c>
      <c r="G1" s="217" t="s">
        <v>119</v>
      </c>
      <c r="H1" s="217" t="s">
        <v>120</v>
      </c>
      <c r="I1" s="66" t="s">
        <v>121</v>
      </c>
      <c r="J1" s="218" t="s">
        <v>22</v>
      </c>
      <c r="K1" s="218" t="s">
        <v>23</v>
      </c>
      <c r="L1" s="164" t="s">
        <v>24</v>
      </c>
      <c r="M1" s="161" t="s">
        <v>98</v>
      </c>
      <c r="N1" s="342" t="s">
        <v>25</v>
      </c>
      <c r="O1" s="342" t="s">
        <v>26</v>
      </c>
      <c r="P1" s="342" t="s">
        <v>27</v>
      </c>
      <c r="Q1" s="164" t="s">
        <v>28</v>
      </c>
      <c r="R1" s="161" t="s">
        <v>99</v>
      </c>
      <c r="S1" s="164" t="s">
        <v>29</v>
      </c>
      <c r="T1" s="164" t="s">
        <v>30</v>
      </c>
      <c r="U1" s="164" t="s">
        <v>31</v>
      </c>
      <c r="V1" s="164" t="s">
        <v>32</v>
      </c>
      <c r="W1" s="161" t="s">
        <v>100</v>
      </c>
      <c r="X1" s="65" t="s">
        <v>115</v>
      </c>
      <c r="Y1" s="65" t="s">
        <v>116</v>
      </c>
      <c r="Z1" s="65" t="s">
        <v>117</v>
      </c>
      <c r="AA1" s="65" t="s">
        <v>118</v>
      </c>
      <c r="AB1" s="342" t="s">
        <v>33</v>
      </c>
      <c r="AC1" s="218" t="s">
        <v>34</v>
      </c>
      <c r="AD1" s="218" t="s">
        <v>35</v>
      </c>
      <c r="AE1" s="218" t="s">
        <v>36</v>
      </c>
      <c r="AF1" s="219" t="s">
        <v>1152</v>
      </c>
      <c r="AG1" s="219" t="s">
        <v>1153</v>
      </c>
      <c r="AH1" s="218" t="s">
        <v>39</v>
      </c>
      <c r="AI1" s="164" t="s">
        <v>40</v>
      </c>
      <c r="AJ1" s="161" t="s">
        <v>101</v>
      </c>
      <c r="AK1" s="164" t="s">
        <v>41</v>
      </c>
      <c r="AL1" s="164" t="s">
        <v>937</v>
      </c>
      <c r="AM1" s="164" t="s">
        <v>938</v>
      </c>
      <c r="AN1" s="218" t="s">
        <v>939</v>
      </c>
      <c r="AO1" s="164" t="s">
        <v>940</v>
      </c>
      <c r="AP1" s="164" t="s">
        <v>941</v>
      </c>
      <c r="AQ1" s="161" t="s">
        <v>102</v>
      </c>
      <c r="AR1" s="218" t="s">
        <v>942</v>
      </c>
      <c r="AS1" s="340" t="s">
        <v>1154</v>
      </c>
      <c r="AT1" s="218" t="s">
        <v>943</v>
      </c>
      <c r="AU1" s="340" t="s">
        <v>944</v>
      </c>
      <c r="AV1" s="340" t="s">
        <v>945</v>
      </c>
      <c r="AW1" s="218" t="s">
        <v>946</v>
      </c>
      <c r="AX1" s="164" t="s">
        <v>947</v>
      </c>
      <c r="AY1" s="340" t="s">
        <v>948</v>
      </c>
      <c r="AZ1" s="50" t="s">
        <v>936</v>
      </c>
      <c r="BA1" s="64" t="s">
        <v>103</v>
      </c>
      <c r="BB1" s="50" t="s">
        <v>949</v>
      </c>
      <c r="BC1" s="50" t="s">
        <v>950</v>
      </c>
      <c r="BD1" s="50" t="s">
        <v>951</v>
      </c>
      <c r="BE1" s="50" t="s">
        <v>952</v>
      </c>
      <c r="BF1" s="50" t="s">
        <v>953</v>
      </c>
      <c r="BG1" s="341" t="s">
        <v>934</v>
      </c>
      <c r="BH1" s="341" t="s">
        <v>62</v>
      </c>
      <c r="BI1" s="50" t="s">
        <v>914</v>
      </c>
      <c r="BJ1" s="50" t="s">
        <v>64</v>
      </c>
      <c r="BK1" s="50" t="s">
        <v>65</v>
      </c>
      <c r="BL1" s="64" t="s">
        <v>104</v>
      </c>
      <c r="BM1" s="50" t="s">
        <v>66</v>
      </c>
      <c r="BN1" s="50" t="s">
        <v>67</v>
      </c>
      <c r="BO1" s="64" t="s">
        <v>110</v>
      </c>
      <c r="BP1" s="222" t="s">
        <v>1114</v>
      </c>
      <c r="BQ1" s="50" t="s">
        <v>886</v>
      </c>
      <c r="BR1" s="366" t="s">
        <v>887</v>
      </c>
      <c r="BS1" s="355" t="s">
        <v>888</v>
      </c>
      <c r="BT1" s="50" t="s">
        <v>889</v>
      </c>
      <c r="BU1" s="64" t="s">
        <v>105</v>
      </c>
      <c r="BV1" s="50" t="s">
        <v>106</v>
      </c>
      <c r="BW1" s="66" t="s">
        <v>107</v>
      </c>
      <c r="BX1" s="51" t="s">
        <v>108</v>
      </c>
      <c r="BY1" s="51" t="s">
        <v>109</v>
      </c>
      <c r="BZ1" s="355" t="s">
        <v>902</v>
      </c>
      <c r="CA1" s="355" t="s">
        <v>903</v>
      </c>
      <c r="CB1" s="355" t="s">
        <v>904</v>
      </c>
      <c r="CC1" s="355" t="s">
        <v>905</v>
      </c>
      <c r="CD1" s="355" t="s">
        <v>906</v>
      </c>
      <c r="CE1" s="355" t="s">
        <v>78</v>
      </c>
      <c r="CF1" s="355" t="s">
        <v>907</v>
      </c>
      <c r="CG1" s="355" t="s">
        <v>908</v>
      </c>
      <c r="CH1" s="64" t="s">
        <v>111</v>
      </c>
      <c r="CI1" s="50" t="s">
        <v>890</v>
      </c>
      <c r="CJ1" s="64" t="s">
        <v>112</v>
      </c>
      <c r="CK1" s="50" t="s">
        <v>891</v>
      </c>
      <c r="CL1" s="223" t="s">
        <v>892</v>
      </c>
      <c r="CM1" s="223" t="s">
        <v>208</v>
      </c>
      <c r="CN1" s="223" t="s">
        <v>207</v>
      </c>
      <c r="CO1" s="69" t="s">
        <v>81</v>
      </c>
      <c r="CP1" s="50" t="s">
        <v>113</v>
      </c>
      <c r="CQ1" s="69" t="s">
        <v>82</v>
      </c>
      <c r="CR1" s="69" t="s">
        <v>83</v>
      </c>
      <c r="CS1" s="69" t="s">
        <v>84</v>
      </c>
      <c r="CT1" s="50" t="s">
        <v>114</v>
      </c>
      <c r="CU1" s="50" t="s">
        <v>85</v>
      </c>
      <c r="CV1" s="164" t="s">
        <v>86</v>
      </c>
      <c r="CW1" s="224" t="s">
        <v>87</v>
      </c>
      <c r="CX1" s="223" t="s">
        <v>88</v>
      </c>
      <c r="CY1" s="223" t="s">
        <v>935</v>
      </c>
      <c r="CZ1" s="50" t="s">
        <v>90</v>
      </c>
      <c r="DA1" s="50" t="s">
        <v>91</v>
      </c>
      <c r="DB1" s="50" t="s">
        <v>210</v>
      </c>
      <c r="DC1" s="50" t="s">
        <v>211</v>
      </c>
      <c r="DD1" s="50" t="s">
        <v>893</v>
      </c>
      <c r="DE1" s="50" t="s">
        <v>909</v>
      </c>
      <c r="DF1" s="217" t="s">
        <v>94</v>
      </c>
      <c r="DG1" s="217" t="s">
        <v>95</v>
      </c>
      <c r="DH1" s="217" t="s">
        <v>910</v>
      </c>
      <c r="DI1" s="217" t="s">
        <v>212</v>
      </c>
      <c r="DJ1" s="217" t="s">
        <v>213</v>
      </c>
      <c r="DK1" s="225" t="s">
        <v>122</v>
      </c>
      <c r="DL1" s="225" t="s">
        <v>123</v>
      </c>
      <c r="DM1" s="223" t="s">
        <v>14</v>
      </c>
      <c r="DN1" s="62" t="s">
        <v>10</v>
      </c>
      <c r="DO1" s="62" t="s">
        <v>11</v>
      </c>
      <c r="DP1" s="226" t="s">
        <v>6</v>
      </c>
      <c r="DQ1" s="223" t="s">
        <v>915</v>
      </c>
      <c r="DR1" s="62" t="s">
        <v>15</v>
      </c>
      <c r="DS1" s="62" t="s">
        <v>16</v>
      </c>
      <c r="DT1" s="63" t="s">
        <v>17</v>
      </c>
      <c r="DU1" s="63" t="s">
        <v>18</v>
      </c>
      <c r="DV1" s="68" t="s">
        <v>4</v>
      </c>
      <c r="DW1" s="51" t="s">
        <v>916</v>
      </c>
      <c r="DX1" s="51" t="s">
        <v>917</v>
      </c>
      <c r="DY1" s="51" t="s">
        <v>918</v>
      </c>
      <c r="DZ1" s="51" t="s">
        <v>919</v>
      </c>
      <c r="EA1" s="200" t="s">
        <v>929</v>
      </c>
      <c r="EB1" s="200" t="s">
        <v>930</v>
      </c>
    </row>
    <row r="2" spans="1:132" ht="16.5" x14ac:dyDescent="0.3">
      <c r="A2" s="216" t="s">
        <v>1120</v>
      </c>
      <c r="B2" t="s">
        <v>1170</v>
      </c>
      <c r="C2" s="352">
        <v>164997</v>
      </c>
      <c r="D2">
        <v>3</v>
      </c>
      <c r="E2"/>
      <c r="F2" s="221">
        <v>55734</v>
      </c>
      <c r="H2" s="108">
        <f t="shared" ref="H2:H65" si="0">G2+F2</f>
        <v>55734</v>
      </c>
      <c r="I2" s="109">
        <v>0.34588999999999998</v>
      </c>
      <c r="J2" s="220">
        <v>1597813</v>
      </c>
      <c r="K2" s="220">
        <v>657579</v>
      </c>
      <c r="L2" s="115">
        <f>J2+K2</f>
        <v>2255392</v>
      </c>
      <c r="M2" s="110">
        <f t="shared" ref="M2:M33" si="1">L2/C2</f>
        <v>13.669290956805275</v>
      </c>
      <c r="N2" s="220">
        <v>158000</v>
      </c>
      <c r="O2" s="220">
        <v>90000</v>
      </c>
      <c r="P2" s="220">
        <v>62000</v>
      </c>
      <c r="Q2" s="220">
        <v>310000</v>
      </c>
      <c r="R2" s="110">
        <f t="shared" ref="R2:R33" si="2">Q2/C2</f>
        <v>1.8788220391885913</v>
      </c>
      <c r="S2" s="220">
        <v>461475</v>
      </c>
      <c r="T2" s="220">
        <v>3026867</v>
      </c>
      <c r="U2" s="207">
        <v>0</v>
      </c>
      <c r="V2" s="220">
        <v>3026867</v>
      </c>
      <c r="W2" s="110">
        <f t="shared" ref="W2:W33" si="3">V2/C2</f>
        <v>18.344982029976304</v>
      </c>
      <c r="X2" s="111">
        <f t="shared" ref="X2" si="4">L2/V2</f>
        <v>0.74512424893462448</v>
      </c>
      <c r="Y2" s="111">
        <f t="shared" ref="Y2" si="5">Q2/V2</f>
        <v>0.10241612862408557</v>
      </c>
      <c r="Z2" s="111">
        <f t="shared" ref="Z2" si="6">S2/V2</f>
        <v>0.15245962244128997</v>
      </c>
      <c r="AA2" s="111">
        <f t="shared" ref="AA2" si="7">U2/V2</f>
        <v>0</v>
      </c>
      <c r="AB2" s="220">
        <v>377087</v>
      </c>
      <c r="AE2" s="207"/>
      <c r="AF2" s="353">
        <v>299838</v>
      </c>
      <c r="AG2" s="353">
        <v>2727029</v>
      </c>
      <c r="AH2" s="207"/>
      <c r="AI2" s="115">
        <f t="shared" ref="AI2:AI33" si="8">SUM(AF2:AH2)</f>
        <v>3026867</v>
      </c>
      <c r="AJ2" s="110">
        <f t="shared" ref="AJ2:AJ33" si="9">AI2/C2</f>
        <v>18.344982029976304</v>
      </c>
      <c r="AK2" s="353">
        <v>175947</v>
      </c>
      <c r="AL2" s="207">
        <v>50000</v>
      </c>
      <c r="AM2" s="353"/>
      <c r="AN2" s="353">
        <v>64410</v>
      </c>
      <c r="AO2" s="115">
        <f t="shared" ref="AO2" si="10">AM2+AN2</f>
        <v>64410</v>
      </c>
      <c r="AP2" s="353">
        <v>3331620</v>
      </c>
      <c r="AQ2" s="112">
        <f t="shared" ref="AQ2:AQ33" si="11">AP2/C2</f>
        <v>20.192003490972564</v>
      </c>
      <c r="AR2" s="207"/>
      <c r="AS2" s="220">
        <v>0</v>
      </c>
      <c r="AT2" s="207">
        <v>0</v>
      </c>
      <c r="AU2" s="220">
        <v>0</v>
      </c>
      <c r="AV2" s="220">
        <v>0</v>
      </c>
      <c r="AW2" s="207"/>
      <c r="AX2" s="220">
        <v>0</v>
      </c>
      <c r="AY2" s="115">
        <f t="shared" ref="AY2" si="12">SUM(AR2:AX2)</f>
        <v>0</v>
      </c>
      <c r="AZ2" s="352">
        <v>167660</v>
      </c>
      <c r="BA2" s="109">
        <f t="shared" ref="BA2:BA33" si="13">AZ2/C2</f>
        <v>1.0161396873882556</v>
      </c>
      <c r="BB2" s="352">
        <v>13195</v>
      </c>
      <c r="BC2" s="352">
        <v>25728</v>
      </c>
      <c r="BD2" s="352">
        <v>24579</v>
      </c>
      <c r="BE2" s="352">
        <v>2130</v>
      </c>
      <c r="BF2" s="352">
        <v>133979</v>
      </c>
      <c r="BG2" s="221">
        <v>7</v>
      </c>
      <c r="BH2" s="221">
        <v>89</v>
      </c>
      <c r="BI2" s="205">
        <v>0</v>
      </c>
      <c r="BJ2">
        <v>93</v>
      </c>
      <c r="BK2" s="352">
        <v>379581</v>
      </c>
      <c r="BL2" s="109">
        <f t="shared" ref="BL2:BL33" si="14">BK2/C2</f>
        <v>2.300532736958854</v>
      </c>
      <c r="BM2">
        <v>189</v>
      </c>
      <c r="BN2" s="352">
        <v>20756</v>
      </c>
      <c r="BO2" s="109">
        <f t="shared" ref="BO2:BO33" si="15">BN2/C2</f>
        <v>0.12579622659805936</v>
      </c>
      <c r="BP2" s="352">
        <v>88749</v>
      </c>
      <c r="BQ2" s="205">
        <v>0</v>
      </c>
      <c r="BR2" s="356">
        <f>BT2-BS2</f>
        <v>248640</v>
      </c>
      <c r="BS2" s="352">
        <v>129317</v>
      </c>
      <c r="BT2" s="352">
        <v>377957</v>
      </c>
      <c r="BU2" s="109">
        <f t="shared" ref="BU2:BU33" si="16">BT2/C2</f>
        <v>2.2906901337600076</v>
      </c>
      <c r="BV2" s="108">
        <f t="shared" ref="BV2" si="17">BT2/CS2</f>
        <v>5814.7230769230773</v>
      </c>
      <c r="BW2" s="109">
        <f t="shared" ref="BW2:BW33" si="18">BT2/DL2</f>
        <v>44.009897531439215</v>
      </c>
      <c r="BX2" s="109">
        <f t="shared" ref="BX2:BX33" si="19">BT2/CI2</f>
        <v>4.3085279801192389</v>
      </c>
      <c r="BY2" s="109">
        <f t="shared" ref="BY2" si="20">BT2/BK2</f>
        <v>0.99572159828863926</v>
      </c>
      <c r="BZ2">
        <v>115</v>
      </c>
      <c r="CA2">
        <v>35</v>
      </c>
      <c r="CB2">
        <v>87</v>
      </c>
      <c r="CC2" s="113">
        <f>SUM(BZ2:CB2)</f>
        <v>237</v>
      </c>
      <c r="CD2" s="352">
        <v>2573</v>
      </c>
      <c r="CE2">
        <v>849</v>
      </c>
      <c r="CF2" s="352">
        <v>1225</v>
      </c>
      <c r="CG2" s="116">
        <f t="shared" ref="CG2" si="21">SUM(CD2:CF2)</f>
        <v>4647</v>
      </c>
      <c r="CH2" s="109">
        <f t="shared" ref="CH2:CH33" si="22">CG2/C2</f>
        <v>2.8164148439062529E-2</v>
      </c>
      <c r="CI2" s="352">
        <v>87723</v>
      </c>
      <c r="CJ2" s="109">
        <f t="shared" ref="CJ2:CJ33" si="23">CI2/C2</f>
        <v>0.53166421207658321</v>
      </c>
      <c r="CK2" s="352">
        <v>94158</v>
      </c>
      <c r="CL2" s="208" t="s">
        <v>7</v>
      </c>
      <c r="CM2" s="208" t="s">
        <v>7</v>
      </c>
      <c r="CN2" s="208" t="s">
        <v>7</v>
      </c>
      <c r="CO2">
        <v>11</v>
      </c>
      <c r="CP2" s="108">
        <f>C2/CO2</f>
        <v>14999.727272727272</v>
      </c>
      <c r="CQ2">
        <v>0</v>
      </c>
      <c r="CR2">
        <v>54</v>
      </c>
      <c r="CS2">
        <v>65</v>
      </c>
      <c r="CT2" s="108">
        <f t="shared" ref="CT2:CT36" si="24">C2/CS2</f>
        <v>2538.4153846153845</v>
      </c>
      <c r="CU2">
        <v>375</v>
      </c>
      <c r="CV2" s="353">
        <v>79060</v>
      </c>
      <c r="CW2" s="209">
        <v>40</v>
      </c>
      <c r="CX2" s="208" t="s">
        <v>7</v>
      </c>
      <c r="CY2" s="208" t="s">
        <v>7</v>
      </c>
      <c r="CZ2">
        <v>56</v>
      </c>
      <c r="DA2">
        <v>194</v>
      </c>
      <c r="DB2">
        <v>97</v>
      </c>
      <c r="DC2" s="352">
        <v>9016</v>
      </c>
      <c r="DD2" s="352">
        <v>7282</v>
      </c>
      <c r="DE2" s="352">
        <v>118525</v>
      </c>
      <c r="DF2" s="205">
        <v>11458</v>
      </c>
      <c r="DG2" s="205">
        <v>52</v>
      </c>
      <c r="DH2" s="209">
        <f t="shared" ref="DH2:DH33" si="25">DF2/C2</f>
        <v>6.944368685491252E-2</v>
      </c>
      <c r="DI2" s="205">
        <v>63</v>
      </c>
      <c r="DJ2" s="205">
        <v>63</v>
      </c>
      <c r="DK2" s="108">
        <v>6254</v>
      </c>
      <c r="DL2" s="344">
        <v>8588</v>
      </c>
      <c r="DM2" s="204"/>
      <c r="DN2" t="s">
        <v>1032</v>
      </c>
      <c r="DO2" t="s">
        <v>125</v>
      </c>
      <c r="DP2" s="208"/>
      <c r="DQ2" s="206"/>
      <c r="DR2" s="367" t="s">
        <v>957</v>
      </c>
      <c r="DS2" s="204" t="s">
        <v>957</v>
      </c>
      <c r="DT2" s="227">
        <v>44013</v>
      </c>
      <c r="DU2" s="227">
        <v>44377</v>
      </c>
      <c r="DV2" t="s">
        <v>1170</v>
      </c>
      <c r="DW2" s="109">
        <f t="shared" ref="DW2:DW33" si="26">BP2/C2</f>
        <v>0.53788250695467188</v>
      </c>
      <c r="DX2" s="109">
        <f t="shared" ref="DX2:DX33" si="27">BQ2/C2</f>
        <v>0</v>
      </c>
      <c r="DY2" s="109">
        <f t="shared" ref="DY2:DY33" si="28">BR2/C2</f>
        <v>1.5069364897543591</v>
      </c>
      <c r="DZ2" s="109">
        <f t="shared" ref="DZ2:DZ33" si="29">BS2/C2</f>
        <v>0.78375364400564862</v>
      </c>
      <c r="EA2" s="110">
        <f t="shared" ref="EA2:EA5" si="30">N2/(BP2+BR2)</f>
        <v>0.4683021675276906</v>
      </c>
      <c r="EB2" s="199">
        <f>O2/(BQ2+BS2)</f>
        <v>0.69596418104348234</v>
      </c>
    </row>
    <row r="3" spans="1:132" ht="16.5" x14ac:dyDescent="0.3">
      <c r="A3" s="216" t="s">
        <v>1121</v>
      </c>
      <c r="B3" t="s">
        <v>1171</v>
      </c>
      <c r="C3" s="352">
        <v>75759</v>
      </c>
      <c r="D3">
        <v>6</v>
      </c>
      <c r="E3"/>
      <c r="F3" s="221">
        <v>32510</v>
      </c>
      <c r="H3" s="108">
        <f t="shared" si="0"/>
        <v>32510</v>
      </c>
      <c r="I3" s="109">
        <v>0.42272999999999999</v>
      </c>
      <c r="J3" s="220">
        <v>653198</v>
      </c>
      <c r="K3" s="220">
        <v>222582</v>
      </c>
      <c r="L3" s="115">
        <f t="shared" ref="L3:L66" si="31">J3+K3</f>
        <v>875780</v>
      </c>
      <c r="M3" s="110">
        <f t="shared" si="1"/>
        <v>11.560078670520994</v>
      </c>
      <c r="N3" s="220">
        <v>76603</v>
      </c>
      <c r="O3" s="220">
        <v>10755</v>
      </c>
      <c r="P3" s="220">
        <v>9385</v>
      </c>
      <c r="Q3" s="220">
        <v>96743</v>
      </c>
      <c r="R3" s="110">
        <f t="shared" si="2"/>
        <v>1.2769835927084572</v>
      </c>
      <c r="S3" s="220">
        <v>225140</v>
      </c>
      <c r="T3" s="220">
        <v>1197663</v>
      </c>
      <c r="U3" s="207">
        <v>0</v>
      </c>
      <c r="V3" s="220">
        <v>1197663</v>
      </c>
      <c r="W3" s="110">
        <f t="shared" si="3"/>
        <v>15.808854393537402</v>
      </c>
      <c r="X3" s="111">
        <f t="shared" ref="X3:X66" si="32">L3/V3</f>
        <v>0.7312407580429553</v>
      </c>
      <c r="Y3" s="111">
        <f t="shared" ref="Y3:Y66" si="33">Q3/V3</f>
        <v>8.0776478859245049E-2</v>
      </c>
      <c r="Z3" s="111">
        <f t="shared" ref="Z3:Z66" si="34">S3/V3</f>
        <v>0.18798276309779963</v>
      </c>
      <c r="AA3" s="111">
        <f t="shared" ref="AA3:AA66" si="35">U3/V3</f>
        <v>0</v>
      </c>
      <c r="AB3" s="220">
        <v>400000</v>
      </c>
      <c r="AE3" s="207"/>
      <c r="AF3" s="353">
        <v>245331</v>
      </c>
      <c r="AG3" s="353">
        <v>500521</v>
      </c>
      <c r="AH3" s="207"/>
      <c r="AI3" s="115">
        <f t="shared" si="8"/>
        <v>745852</v>
      </c>
      <c r="AJ3" s="110">
        <f t="shared" si="9"/>
        <v>9.845061312847319</v>
      </c>
      <c r="AK3" s="353">
        <v>388864</v>
      </c>
      <c r="AL3" s="207">
        <v>20024</v>
      </c>
      <c r="AM3" s="353"/>
      <c r="AN3" s="353">
        <v>161610</v>
      </c>
      <c r="AO3" s="115">
        <f t="shared" ref="AO3:AO66" si="36">AM3+AN3</f>
        <v>161610</v>
      </c>
      <c r="AP3" s="353">
        <v>1300326</v>
      </c>
      <c r="AQ3" s="112">
        <f t="shared" si="11"/>
        <v>17.163980517166276</v>
      </c>
      <c r="AR3" s="207"/>
      <c r="AS3" s="220">
        <v>0</v>
      </c>
      <c r="AT3" s="207">
        <v>0</v>
      </c>
      <c r="AU3" s="220">
        <v>0</v>
      </c>
      <c r="AV3" s="220">
        <v>0</v>
      </c>
      <c r="AW3" s="207"/>
      <c r="AX3" s="220">
        <v>0</v>
      </c>
      <c r="AY3" s="115">
        <f t="shared" ref="AY3:AY66" si="37">SUM(AR3:AX3)</f>
        <v>0</v>
      </c>
      <c r="AZ3" s="352">
        <v>165121</v>
      </c>
      <c r="BA3" s="109">
        <f t="shared" si="13"/>
        <v>2.1795562243429822</v>
      </c>
      <c r="BB3" s="352">
        <v>6737</v>
      </c>
      <c r="BC3" s="352">
        <v>52716</v>
      </c>
      <c r="BD3" s="352">
        <v>12272</v>
      </c>
      <c r="BE3" s="352">
        <v>2613</v>
      </c>
      <c r="BF3" s="352">
        <v>206483</v>
      </c>
      <c r="BG3" s="221">
        <v>4</v>
      </c>
      <c r="BH3" s="221">
        <v>89</v>
      </c>
      <c r="BI3" s="205">
        <v>0</v>
      </c>
      <c r="BJ3">
        <v>89</v>
      </c>
      <c r="BK3" s="352">
        <v>453904</v>
      </c>
      <c r="BL3" s="109">
        <f t="shared" si="14"/>
        <v>5.9914201613009679</v>
      </c>
      <c r="BM3">
        <v>499</v>
      </c>
      <c r="BN3" s="352">
        <v>29015</v>
      </c>
      <c r="BO3" s="109">
        <f t="shared" si="15"/>
        <v>0.38299079977296424</v>
      </c>
      <c r="BP3" s="352">
        <v>33209</v>
      </c>
      <c r="BQ3" s="205">
        <v>0</v>
      </c>
      <c r="BR3" s="356">
        <f t="shared" ref="BR3:BR66" si="38">BT3-BS3</f>
        <v>109898</v>
      </c>
      <c r="BS3" s="352">
        <v>15581</v>
      </c>
      <c r="BT3" s="352">
        <v>125479</v>
      </c>
      <c r="BU3" s="109">
        <f t="shared" si="16"/>
        <v>1.6562916617167598</v>
      </c>
      <c r="BV3" s="108">
        <f t="shared" ref="BV3:BV36" si="39">BT3/CS3</f>
        <v>5159.4983552631575</v>
      </c>
      <c r="BW3" s="109">
        <f t="shared" si="18"/>
        <v>9.6492617656105821</v>
      </c>
      <c r="BX3" s="109">
        <f t="shared" si="19"/>
        <v>1.5487792836159866</v>
      </c>
      <c r="BY3" s="109">
        <f t="shared" ref="BY3:BY34" si="40">BT3/BK3</f>
        <v>0.27644391765659698</v>
      </c>
      <c r="BZ3">
        <v>210</v>
      </c>
      <c r="CA3">
        <v>21</v>
      </c>
      <c r="CB3">
        <v>159</v>
      </c>
      <c r="CC3" s="113">
        <f t="shared" ref="CC3:CC66" si="41">SUM(BZ3:CB3)</f>
        <v>390</v>
      </c>
      <c r="CD3" s="352">
        <v>2440</v>
      </c>
      <c r="CE3">
        <v>307</v>
      </c>
      <c r="CF3" s="352">
        <v>1357</v>
      </c>
      <c r="CG3" s="116">
        <f t="shared" ref="CG3:CG66" si="42">SUM(CD3:CF3)</f>
        <v>4104</v>
      </c>
      <c r="CH3" s="109">
        <f t="shared" si="22"/>
        <v>5.4171781570506478E-2</v>
      </c>
      <c r="CI3" s="352">
        <v>81018</v>
      </c>
      <c r="CJ3" s="109">
        <f t="shared" si="23"/>
        <v>1.0694174949510948</v>
      </c>
      <c r="CK3" s="352">
        <v>38066</v>
      </c>
      <c r="CL3" s="208" t="s">
        <v>7</v>
      </c>
      <c r="CM3" s="208" t="s">
        <v>7</v>
      </c>
      <c r="CN3" s="208" t="s">
        <v>7</v>
      </c>
      <c r="CO3">
        <v>2</v>
      </c>
      <c r="CP3" s="209">
        <v>0</v>
      </c>
      <c r="CQ3">
        <v>1</v>
      </c>
      <c r="CR3">
        <v>21.32</v>
      </c>
      <c r="CS3">
        <v>24.32</v>
      </c>
      <c r="CT3" s="108">
        <f t="shared" si="24"/>
        <v>3115.0904605263158</v>
      </c>
      <c r="CU3">
        <v>125</v>
      </c>
      <c r="CV3" s="353">
        <v>62250</v>
      </c>
      <c r="CW3" s="209">
        <v>40</v>
      </c>
      <c r="CX3" s="208" t="s">
        <v>7</v>
      </c>
      <c r="CY3" s="208" t="s">
        <v>7</v>
      </c>
      <c r="CZ3">
        <v>0</v>
      </c>
      <c r="DA3">
        <v>0</v>
      </c>
      <c r="DB3">
        <v>90</v>
      </c>
      <c r="DC3" s="352">
        <v>23625</v>
      </c>
      <c r="DD3" s="352">
        <v>42882</v>
      </c>
      <c r="DE3" s="352">
        <v>353678</v>
      </c>
      <c r="DF3" s="205">
        <v>15288</v>
      </c>
      <c r="DG3" s="205">
        <v>52</v>
      </c>
      <c r="DH3" s="209">
        <f t="shared" si="25"/>
        <v>0.20179780620124341</v>
      </c>
      <c r="DI3" s="205">
        <v>62</v>
      </c>
      <c r="DJ3" s="205">
        <v>62</v>
      </c>
      <c r="DL3" s="343">
        <v>13004</v>
      </c>
      <c r="DM3" s="204"/>
      <c r="DN3" t="s">
        <v>1033</v>
      </c>
      <c r="DO3" t="s">
        <v>1030</v>
      </c>
      <c r="DP3" s="208"/>
      <c r="DQ3" s="206"/>
      <c r="DR3" s="367" t="s">
        <v>1269</v>
      </c>
      <c r="DS3" s="204" t="s">
        <v>958</v>
      </c>
      <c r="DT3" s="227">
        <v>44013</v>
      </c>
      <c r="DU3" s="227">
        <v>44377</v>
      </c>
      <c r="DV3" t="s">
        <v>1171</v>
      </c>
      <c r="DW3" s="109">
        <f t="shared" si="26"/>
        <v>0.4383505590094906</v>
      </c>
      <c r="DX3" s="109">
        <f t="shared" si="27"/>
        <v>0</v>
      </c>
      <c r="DY3" s="109">
        <f t="shared" si="28"/>
        <v>1.4506263282250293</v>
      </c>
      <c r="DZ3" s="109">
        <f t="shared" si="29"/>
        <v>0.20566533349173036</v>
      </c>
      <c r="EA3" s="110">
        <f t="shared" si="30"/>
        <v>0.53528478690769843</v>
      </c>
      <c r="EB3" s="199">
        <f t="shared" ref="EB3:EB65" si="43">O3/(BQ3+BS3)</f>
        <v>0.69026378281239975</v>
      </c>
    </row>
    <row r="4" spans="1:132" ht="16.5" x14ac:dyDescent="0.3">
      <c r="A4" s="216" t="s">
        <v>1122</v>
      </c>
      <c r="B4" t="s">
        <v>1172</v>
      </c>
      <c r="C4" s="352">
        <v>38364</v>
      </c>
      <c r="D4">
        <v>2</v>
      </c>
      <c r="E4"/>
      <c r="F4" s="221">
        <v>13120</v>
      </c>
      <c r="H4" s="108">
        <f t="shared" si="0"/>
        <v>13120</v>
      </c>
      <c r="I4" s="109">
        <v>0.34176000000000001</v>
      </c>
      <c r="J4" s="220">
        <v>296496</v>
      </c>
      <c r="K4" s="220">
        <v>134379</v>
      </c>
      <c r="L4" s="115">
        <f t="shared" si="31"/>
        <v>430875</v>
      </c>
      <c r="M4" s="110">
        <f t="shared" si="1"/>
        <v>11.231232405380045</v>
      </c>
      <c r="N4" s="220">
        <v>32468</v>
      </c>
      <c r="O4" s="220">
        <v>4997</v>
      </c>
      <c r="P4" s="220">
        <v>7107</v>
      </c>
      <c r="Q4" s="220">
        <v>44572</v>
      </c>
      <c r="R4" s="110">
        <f t="shared" si="2"/>
        <v>1.1618183713898447</v>
      </c>
      <c r="S4" s="220">
        <v>72261</v>
      </c>
      <c r="T4" s="220">
        <v>547708</v>
      </c>
      <c r="U4" s="207">
        <v>0</v>
      </c>
      <c r="V4" s="220">
        <v>547708</v>
      </c>
      <c r="W4" s="110">
        <f t="shared" si="3"/>
        <v>14.276613491815244</v>
      </c>
      <c r="X4" s="111">
        <f t="shared" si="32"/>
        <v>0.78668743198930813</v>
      </c>
      <c r="Y4" s="111">
        <f t="shared" si="33"/>
        <v>8.1379129024954908E-2</v>
      </c>
      <c r="Z4" s="111">
        <f t="shared" si="34"/>
        <v>0.13193343898573692</v>
      </c>
      <c r="AA4" s="111">
        <f t="shared" si="35"/>
        <v>0</v>
      </c>
      <c r="AB4" s="220">
        <v>0</v>
      </c>
      <c r="AE4" s="207"/>
      <c r="AF4" s="353">
        <v>0</v>
      </c>
      <c r="AG4" s="353">
        <v>448867</v>
      </c>
      <c r="AH4" s="207"/>
      <c r="AI4" s="115">
        <f t="shared" si="8"/>
        <v>448867</v>
      </c>
      <c r="AJ4" s="110">
        <f t="shared" si="9"/>
        <v>11.700213742049838</v>
      </c>
      <c r="AK4" s="353">
        <v>93997</v>
      </c>
      <c r="AL4" s="207">
        <v>0</v>
      </c>
      <c r="AM4" s="353"/>
      <c r="AN4" s="353">
        <v>4843</v>
      </c>
      <c r="AO4" s="115">
        <f t="shared" si="36"/>
        <v>4843</v>
      </c>
      <c r="AP4" s="353">
        <v>547707</v>
      </c>
      <c r="AQ4" s="112">
        <f t="shared" si="11"/>
        <v>14.276587425711604</v>
      </c>
      <c r="AR4" s="207"/>
      <c r="AS4" s="220">
        <v>6770</v>
      </c>
      <c r="AT4" s="207">
        <v>0</v>
      </c>
      <c r="AU4" s="220">
        <v>0</v>
      </c>
      <c r="AV4" s="220">
        <v>0</v>
      </c>
      <c r="AW4" s="207"/>
      <c r="AX4" s="220">
        <v>0</v>
      </c>
      <c r="AY4" s="115">
        <f t="shared" si="37"/>
        <v>6770</v>
      </c>
      <c r="AZ4" s="352">
        <v>47820</v>
      </c>
      <c r="BA4" s="109">
        <f t="shared" si="13"/>
        <v>1.2464810760087581</v>
      </c>
      <c r="BB4" s="352">
        <v>2747</v>
      </c>
      <c r="BC4" s="352">
        <v>24274</v>
      </c>
      <c r="BD4" s="352">
        <v>3943</v>
      </c>
      <c r="BE4" s="352">
        <v>2130</v>
      </c>
      <c r="BF4" s="352">
        <v>129792</v>
      </c>
      <c r="BG4" s="221">
        <v>1</v>
      </c>
      <c r="BH4" s="221">
        <v>89</v>
      </c>
      <c r="BI4" s="205">
        <v>0</v>
      </c>
      <c r="BJ4">
        <v>87</v>
      </c>
      <c r="BK4" s="352">
        <v>210920</v>
      </c>
      <c r="BL4" s="109">
        <f t="shared" si="14"/>
        <v>5.4978625795016161</v>
      </c>
      <c r="BM4">
        <v>20</v>
      </c>
      <c r="BN4">
        <v>600</v>
      </c>
      <c r="BO4" s="109">
        <f t="shared" si="15"/>
        <v>1.5639662183296842E-2</v>
      </c>
      <c r="BP4" s="352">
        <v>12734</v>
      </c>
      <c r="BQ4" s="205">
        <v>0</v>
      </c>
      <c r="BR4" s="356">
        <f t="shared" si="38"/>
        <v>35406</v>
      </c>
      <c r="BS4" s="352">
        <v>6309</v>
      </c>
      <c r="BT4" s="352">
        <v>41715</v>
      </c>
      <c r="BU4" s="109">
        <f t="shared" si="16"/>
        <v>1.0873475132937129</v>
      </c>
      <c r="BV4" s="108">
        <f t="shared" si="39"/>
        <v>3935.3773584905662</v>
      </c>
      <c r="BW4" s="109">
        <f t="shared" si="18"/>
        <v>14.489406043765197</v>
      </c>
      <c r="BX4" s="109">
        <f t="shared" si="19"/>
        <v>1.0733583779333058</v>
      </c>
      <c r="BY4" s="109">
        <f t="shared" si="40"/>
        <v>0.19777640811682154</v>
      </c>
      <c r="BZ4">
        <v>27</v>
      </c>
      <c r="CA4">
        <v>0</v>
      </c>
      <c r="CB4">
        <v>6</v>
      </c>
      <c r="CC4" s="113">
        <f t="shared" si="41"/>
        <v>33</v>
      </c>
      <c r="CD4">
        <v>419</v>
      </c>
      <c r="CE4">
        <v>0</v>
      </c>
      <c r="CF4">
        <v>104</v>
      </c>
      <c r="CG4" s="116">
        <f t="shared" si="42"/>
        <v>523</v>
      </c>
      <c r="CH4" s="109">
        <f t="shared" si="22"/>
        <v>1.3632572203107079E-2</v>
      </c>
      <c r="CI4" s="352">
        <v>38864</v>
      </c>
      <c r="CJ4" s="109">
        <f t="shared" si="23"/>
        <v>1.0130330518194139</v>
      </c>
      <c r="CK4" s="352">
        <v>7196</v>
      </c>
      <c r="CL4" s="208" t="s">
        <v>7</v>
      </c>
      <c r="CM4" s="208" t="s">
        <v>7</v>
      </c>
      <c r="CN4" s="208" t="s">
        <v>7</v>
      </c>
      <c r="CO4">
        <v>1</v>
      </c>
      <c r="CP4" s="108">
        <f>C4/CO4</f>
        <v>38364</v>
      </c>
      <c r="CQ4">
        <v>0</v>
      </c>
      <c r="CR4">
        <v>9.6</v>
      </c>
      <c r="CS4">
        <v>10.6</v>
      </c>
      <c r="CT4" s="108">
        <f t="shared" si="24"/>
        <v>3619.2452830188681</v>
      </c>
      <c r="CU4">
        <v>0</v>
      </c>
      <c r="CV4" s="353">
        <v>54288</v>
      </c>
      <c r="CW4" s="209">
        <v>20</v>
      </c>
      <c r="CX4" s="208" t="s">
        <v>7</v>
      </c>
      <c r="CY4" s="208" t="s">
        <v>7</v>
      </c>
      <c r="CZ4" s="352">
        <v>4753</v>
      </c>
      <c r="DA4" s="352">
        <v>4012</v>
      </c>
      <c r="DB4">
        <v>16</v>
      </c>
      <c r="DC4" s="352">
        <v>2250</v>
      </c>
      <c r="DD4" s="352">
        <v>2820</v>
      </c>
      <c r="DE4" s="352">
        <v>20674</v>
      </c>
      <c r="DF4" s="205">
        <v>4893</v>
      </c>
      <c r="DG4" s="205">
        <v>51</v>
      </c>
      <c r="DH4" s="209">
        <f t="shared" si="25"/>
        <v>0.12754144510478574</v>
      </c>
      <c r="DI4" s="205">
        <v>29</v>
      </c>
      <c r="DJ4" s="205">
        <v>29</v>
      </c>
      <c r="DL4" s="343">
        <v>2879</v>
      </c>
      <c r="DM4" s="204"/>
      <c r="DN4" t="s">
        <v>1034</v>
      </c>
      <c r="DO4" t="s">
        <v>125</v>
      </c>
      <c r="DP4" s="208"/>
      <c r="DQ4" s="206"/>
      <c r="DR4" s="367" t="s">
        <v>959</v>
      </c>
      <c r="DS4" s="204" t="s">
        <v>959</v>
      </c>
      <c r="DT4" s="227">
        <v>44013</v>
      </c>
      <c r="DU4" s="227">
        <v>44377</v>
      </c>
      <c r="DV4" t="s">
        <v>1172</v>
      </c>
      <c r="DW4" s="109">
        <f t="shared" si="26"/>
        <v>0.33192576373683663</v>
      </c>
      <c r="DX4" s="109">
        <f t="shared" si="27"/>
        <v>0</v>
      </c>
      <c r="DY4" s="109">
        <f t="shared" si="28"/>
        <v>0.92289646543634662</v>
      </c>
      <c r="DZ4" s="109">
        <f t="shared" si="29"/>
        <v>0.16445104785736628</v>
      </c>
      <c r="EA4" s="110">
        <f t="shared" si="30"/>
        <v>0.6744495222268384</v>
      </c>
      <c r="EB4" s="199">
        <f t="shared" si="43"/>
        <v>0.79204311301315578</v>
      </c>
    </row>
    <row r="5" spans="1:132" ht="16.5" x14ac:dyDescent="0.3">
      <c r="A5" s="216" t="s">
        <v>1123</v>
      </c>
      <c r="B5" t="s">
        <v>1173</v>
      </c>
      <c r="C5" s="352">
        <v>154918</v>
      </c>
      <c r="D5">
        <v>5</v>
      </c>
      <c r="E5"/>
      <c r="F5" s="221">
        <v>71101</v>
      </c>
      <c r="H5" s="108">
        <f t="shared" si="0"/>
        <v>71101</v>
      </c>
      <c r="I5" s="109">
        <v>0.45840999999999998</v>
      </c>
      <c r="J5" s="220">
        <v>1509976</v>
      </c>
      <c r="K5" s="220">
        <v>458699</v>
      </c>
      <c r="L5" s="115">
        <f t="shared" si="31"/>
        <v>1968675</v>
      </c>
      <c r="M5" s="110">
        <f t="shared" si="1"/>
        <v>12.707851895841671</v>
      </c>
      <c r="N5" s="220">
        <v>119867</v>
      </c>
      <c r="O5" s="220">
        <v>13846</v>
      </c>
      <c r="P5" s="220">
        <v>16987</v>
      </c>
      <c r="Q5" s="220">
        <v>150700</v>
      </c>
      <c r="R5" s="110">
        <f t="shared" si="2"/>
        <v>0.9727726926503053</v>
      </c>
      <c r="S5" s="220">
        <v>414339</v>
      </c>
      <c r="T5" s="220">
        <v>2533714</v>
      </c>
      <c r="U5" s="207">
        <v>0</v>
      </c>
      <c r="V5" s="220">
        <v>2533714</v>
      </c>
      <c r="W5" s="110">
        <f t="shared" si="3"/>
        <v>16.355194360887694</v>
      </c>
      <c r="X5" s="111">
        <f t="shared" si="32"/>
        <v>0.77699179939014429</v>
      </c>
      <c r="Y5" s="111">
        <f t="shared" si="33"/>
        <v>5.9477904767467837E-2</v>
      </c>
      <c r="Z5" s="111">
        <f t="shared" si="34"/>
        <v>0.1635302958423879</v>
      </c>
      <c r="AA5" s="111">
        <f t="shared" si="35"/>
        <v>0</v>
      </c>
      <c r="AB5" s="220">
        <v>0</v>
      </c>
      <c r="AE5" s="207"/>
      <c r="AF5" s="353">
        <v>5000</v>
      </c>
      <c r="AG5" s="353">
        <v>1765126</v>
      </c>
      <c r="AH5" s="207"/>
      <c r="AI5" s="115">
        <f t="shared" si="8"/>
        <v>1770126</v>
      </c>
      <c r="AJ5" s="110">
        <f t="shared" si="9"/>
        <v>11.426212576976207</v>
      </c>
      <c r="AK5" s="353">
        <v>378293</v>
      </c>
      <c r="AL5" s="207">
        <v>46516</v>
      </c>
      <c r="AM5" s="353"/>
      <c r="AN5" s="353">
        <v>273674</v>
      </c>
      <c r="AO5" s="115">
        <f t="shared" si="36"/>
        <v>273674</v>
      </c>
      <c r="AP5" s="353">
        <v>2489414</v>
      </c>
      <c r="AQ5" s="112">
        <f t="shared" si="11"/>
        <v>16.069236628409868</v>
      </c>
      <c r="AR5" s="207"/>
      <c r="AS5" s="220">
        <v>0</v>
      </c>
      <c r="AT5" s="207">
        <v>0</v>
      </c>
      <c r="AU5" s="220">
        <v>0</v>
      </c>
      <c r="AV5" s="220">
        <v>0</v>
      </c>
      <c r="AW5" s="207"/>
      <c r="AX5" s="220">
        <v>0</v>
      </c>
      <c r="AY5" s="115">
        <f t="shared" si="37"/>
        <v>0</v>
      </c>
      <c r="AZ5" s="352">
        <v>194960</v>
      </c>
      <c r="BA5" s="109">
        <f t="shared" si="13"/>
        <v>1.2584722240152855</v>
      </c>
      <c r="BB5" s="352">
        <v>10619</v>
      </c>
      <c r="BC5" s="352">
        <v>24624</v>
      </c>
      <c r="BD5" s="352">
        <v>11664</v>
      </c>
      <c r="BE5" s="352">
        <v>3355</v>
      </c>
      <c r="BF5" s="352">
        <v>136753</v>
      </c>
      <c r="BG5" s="221">
        <v>1</v>
      </c>
      <c r="BH5" s="221">
        <v>89</v>
      </c>
      <c r="BI5" s="205">
        <v>0</v>
      </c>
      <c r="BJ5">
        <v>87</v>
      </c>
      <c r="BK5" s="352">
        <v>388366</v>
      </c>
      <c r="BL5" s="109">
        <f t="shared" si="14"/>
        <v>2.5069133347964732</v>
      </c>
      <c r="BM5">
        <v>101</v>
      </c>
      <c r="BN5" s="352">
        <v>155064</v>
      </c>
      <c r="BO5" s="109">
        <f t="shared" si="15"/>
        <v>1.0009424340618909</v>
      </c>
      <c r="BP5" s="352">
        <v>173583</v>
      </c>
      <c r="BQ5" s="205">
        <v>0</v>
      </c>
      <c r="BR5" s="356">
        <f t="shared" si="38"/>
        <v>381640</v>
      </c>
      <c r="BS5" s="352">
        <v>88570</v>
      </c>
      <c r="BT5" s="352">
        <v>470210</v>
      </c>
      <c r="BU5" s="109">
        <f t="shared" si="16"/>
        <v>3.0352186317923029</v>
      </c>
      <c r="BV5" s="108">
        <f t="shared" si="39"/>
        <v>9876.2864944339417</v>
      </c>
      <c r="BW5" s="109">
        <f t="shared" si="18"/>
        <v>56.70646406174626</v>
      </c>
      <c r="BX5" s="109">
        <f t="shared" si="19"/>
        <v>2.7289716371740482</v>
      </c>
      <c r="BY5" s="109">
        <f t="shared" si="40"/>
        <v>1.2107393541144178</v>
      </c>
      <c r="BZ5">
        <v>82</v>
      </c>
      <c r="CA5">
        <v>1</v>
      </c>
      <c r="CB5">
        <v>37</v>
      </c>
      <c r="CC5" s="113">
        <f t="shared" si="41"/>
        <v>120</v>
      </c>
      <c r="CD5" s="352">
        <v>5057</v>
      </c>
      <c r="CE5">
        <v>6</v>
      </c>
      <c r="CF5">
        <v>561</v>
      </c>
      <c r="CG5" s="116">
        <f t="shared" si="42"/>
        <v>5624</v>
      </c>
      <c r="CH5" s="109">
        <f t="shared" si="22"/>
        <v>3.6303076466259569E-2</v>
      </c>
      <c r="CI5" s="352">
        <v>172303</v>
      </c>
      <c r="CJ5" s="109">
        <f t="shared" si="23"/>
        <v>1.1122206586710388</v>
      </c>
      <c r="CK5" s="352">
        <v>87438</v>
      </c>
      <c r="CL5" s="208" t="s">
        <v>7</v>
      </c>
      <c r="CM5" s="208" t="s">
        <v>7</v>
      </c>
      <c r="CN5" s="208" t="s">
        <v>7</v>
      </c>
      <c r="CO5">
        <v>12.63</v>
      </c>
      <c r="CP5" s="108">
        <f>C5/CO5</f>
        <v>12265.874901029294</v>
      </c>
      <c r="CQ5">
        <v>2</v>
      </c>
      <c r="CR5">
        <v>32.979999999999997</v>
      </c>
      <c r="CS5">
        <v>47.61</v>
      </c>
      <c r="CT5" s="108">
        <f t="shared" si="24"/>
        <v>3253.8962402856541</v>
      </c>
      <c r="CU5">
        <v>665</v>
      </c>
      <c r="CV5" s="353">
        <v>73194</v>
      </c>
      <c r="CW5" s="209">
        <v>32</v>
      </c>
      <c r="CX5" s="208" t="s">
        <v>7</v>
      </c>
      <c r="CY5" s="208" t="s">
        <v>7</v>
      </c>
      <c r="CZ5" s="352">
        <v>18937</v>
      </c>
      <c r="DA5" s="352">
        <v>30437</v>
      </c>
      <c r="DB5">
        <v>131</v>
      </c>
      <c r="DC5" s="352">
        <v>9751</v>
      </c>
      <c r="DD5" s="352">
        <v>139800</v>
      </c>
      <c r="DE5" s="352">
        <v>154496</v>
      </c>
      <c r="DF5" s="205">
        <v>11300</v>
      </c>
      <c r="DG5" s="205">
        <v>50</v>
      </c>
      <c r="DH5" s="209">
        <f t="shared" si="25"/>
        <v>7.2941814379219969E-2</v>
      </c>
      <c r="DI5" s="205">
        <v>35</v>
      </c>
      <c r="DJ5" s="205">
        <v>35</v>
      </c>
      <c r="DL5" s="343">
        <v>8292</v>
      </c>
      <c r="DM5" s="204"/>
      <c r="DN5" t="s">
        <v>1035</v>
      </c>
      <c r="DO5" t="s">
        <v>1030</v>
      </c>
      <c r="DP5" s="208"/>
      <c r="DQ5" s="206"/>
      <c r="DR5" s="367" t="s">
        <v>1270</v>
      </c>
      <c r="DS5" s="204" t="s">
        <v>960</v>
      </c>
      <c r="DT5" s="227">
        <v>44013</v>
      </c>
      <c r="DU5" s="227">
        <v>44377</v>
      </c>
      <c r="DV5" t="s">
        <v>1173</v>
      </c>
      <c r="DW5" s="109">
        <f t="shared" si="26"/>
        <v>1.1204830942821364</v>
      </c>
      <c r="DX5" s="109">
        <f t="shared" si="27"/>
        <v>0</v>
      </c>
      <c r="DY5" s="109">
        <f t="shared" si="28"/>
        <v>2.4634968176712841</v>
      </c>
      <c r="DZ5" s="109">
        <f t="shared" si="29"/>
        <v>0.57172181412101886</v>
      </c>
      <c r="EA5" s="110">
        <f t="shared" si="30"/>
        <v>0.21588983165322762</v>
      </c>
      <c r="EB5" s="199">
        <f t="shared" si="43"/>
        <v>0.15632832787625606</v>
      </c>
    </row>
    <row r="6" spans="1:132" ht="16.5" x14ac:dyDescent="0.3">
      <c r="A6" s="216" t="s">
        <v>1124</v>
      </c>
      <c r="B6" t="s">
        <v>1174</v>
      </c>
      <c r="C6" s="352">
        <v>51960</v>
      </c>
      <c r="D6"/>
      <c r="E6"/>
      <c r="F6" s="221">
        <v>28572</v>
      </c>
      <c r="H6" s="108">
        <f t="shared" si="0"/>
        <v>28572</v>
      </c>
      <c r="I6" s="109">
        <v>0.55469000000000002</v>
      </c>
      <c r="J6" s="220">
        <v>394666</v>
      </c>
      <c r="K6" s="220">
        <v>160148</v>
      </c>
      <c r="L6" s="115">
        <f t="shared" si="31"/>
        <v>554814</v>
      </c>
      <c r="M6" s="110">
        <f t="shared" si="1"/>
        <v>10.677713625866051</v>
      </c>
      <c r="N6" s="220">
        <v>66043</v>
      </c>
      <c r="O6" s="220">
        <v>0</v>
      </c>
      <c r="P6" s="220">
        <v>0</v>
      </c>
      <c r="Q6" s="220">
        <v>66043</v>
      </c>
      <c r="R6" s="110">
        <f t="shared" si="2"/>
        <v>1.2710354118552734</v>
      </c>
      <c r="S6" s="220">
        <v>234284</v>
      </c>
      <c r="T6" s="220">
        <v>855141</v>
      </c>
      <c r="U6" s="207">
        <v>0</v>
      </c>
      <c r="V6" s="220">
        <v>855141</v>
      </c>
      <c r="W6" s="110">
        <f t="shared" si="3"/>
        <v>16.45767898383372</v>
      </c>
      <c r="X6" s="111">
        <f t="shared" si="32"/>
        <v>0.64879826835574483</v>
      </c>
      <c r="Y6" s="111">
        <f t="shared" si="33"/>
        <v>7.7230538589542541E-2</v>
      </c>
      <c r="Z6" s="111">
        <f t="shared" si="34"/>
        <v>0.27397119305471263</v>
      </c>
      <c r="AA6" s="111">
        <f t="shared" si="35"/>
        <v>0</v>
      </c>
      <c r="AB6" s="220">
        <v>0</v>
      </c>
      <c r="AE6" s="207"/>
      <c r="AF6" s="353">
        <v>96556</v>
      </c>
      <c r="AG6" s="353">
        <v>378781</v>
      </c>
      <c r="AH6" s="207"/>
      <c r="AI6" s="115">
        <f t="shared" si="8"/>
        <v>475337</v>
      </c>
      <c r="AJ6" s="110">
        <f t="shared" si="9"/>
        <v>9.1481331793687453</v>
      </c>
      <c r="AK6" s="353">
        <v>299481</v>
      </c>
      <c r="AL6" s="207">
        <v>4200</v>
      </c>
      <c r="AM6" s="353"/>
      <c r="AN6" s="353">
        <v>74980</v>
      </c>
      <c r="AO6" s="115">
        <f t="shared" si="36"/>
        <v>74980</v>
      </c>
      <c r="AP6" s="353">
        <v>863950</v>
      </c>
      <c r="AQ6" s="112">
        <f t="shared" si="11"/>
        <v>16.627213240954582</v>
      </c>
      <c r="AR6" s="207"/>
      <c r="AS6" s="220">
        <v>0</v>
      </c>
      <c r="AT6" s="207">
        <v>0</v>
      </c>
      <c r="AU6" s="220">
        <v>0</v>
      </c>
      <c r="AV6" s="220">
        <v>0</v>
      </c>
      <c r="AW6" s="207"/>
      <c r="AX6" s="220">
        <v>0</v>
      </c>
      <c r="AY6" s="115">
        <f t="shared" si="37"/>
        <v>0</v>
      </c>
      <c r="AZ6" s="352">
        <v>147331</v>
      </c>
      <c r="BA6" s="109">
        <f t="shared" si="13"/>
        <v>2.8354695919938413</v>
      </c>
      <c r="BB6" s="352">
        <v>2301</v>
      </c>
      <c r="BC6" s="352">
        <v>30113</v>
      </c>
      <c r="BD6" s="352">
        <v>4148</v>
      </c>
      <c r="BE6" s="352">
        <v>2443</v>
      </c>
      <c r="BF6" s="352">
        <v>166696</v>
      </c>
      <c r="BG6" s="221">
        <v>1</v>
      </c>
      <c r="BH6" s="221">
        <v>89</v>
      </c>
      <c r="BI6" s="205">
        <v>0</v>
      </c>
      <c r="BJ6">
        <v>87</v>
      </c>
      <c r="BK6" s="352">
        <v>356820</v>
      </c>
      <c r="BL6" s="109">
        <f t="shared" si="14"/>
        <v>6.8672055427251735</v>
      </c>
      <c r="BM6">
        <v>30</v>
      </c>
      <c r="BN6" s="352">
        <v>17925</v>
      </c>
      <c r="BO6" s="109">
        <f t="shared" si="15"/>
        <v>0.34497690531177827</v>
      </c>
      <c r="BP6" s="352">
        <v>90733</v>
      </c>
      <c r="BQ6" s="205">
        <v>0</v>
      </c>
      <c r="BR6" s="356">
        <f t="shared" si="38"/>
        <v>168206</v>
      </c>
      <c r="BS6" s="352">
        <v>24173</v>
      </c>
      <c r="BT6" s="352">
        <v>192379</v>
      </c>
      <c r="BU6" s="109">
        <f t="shared" si="16"/>
        <v>3.7024441878367975</v>
      </c>
      <c r="BV6" s="108">
        <f t="shared" si="39"/>
        <v>12023.6875</v>
      </c>
      <c r="BW6" s="109">
        <f t="shared" si="18"/>
        <v>21.078010299112524</v>
      </c>
      <c r="BX6" s="109">
        <f t="shared" si="19"/>
        <v>4.7500987654320985</v>
      </c>
      <c r="BY6" s="109">
        <f t="shared" si="40"/>
        <v>0.53914859032565443</v>
      </c>
      <c r="BZ6">
        <v>67</v>
      </c>
      <c r="CA6">
        <v>19</v>
      </c>
      <c r="CB6">
        <v>6</v>
      </c>
      <c r="CC6" s="113">
        <f t="shared" si="41"/>
        <v>92</v>
      </c>
      <c r="CD6">
        <v>652</v>
      </c>
      <c r="CE6">
        <v>78</v>
      </c>
      <c r="CF6">
        <v>24</v>
      </c>
      <c r="CG6" s="116">
        <f t="shared" si="42"/>
        <v>754</v>
      </c>
      <c r="CH6" s="109">
        <f t="shared" si="22"/>
        <v>1.4511162432640492E-2</v>
      </c>
      <c r="CI6" s="352">
        <v>40500</v>
      </c>
      <c r="CJ6" s="109">
        <f t="shared" si="23"/>
        <v>0.77944572748267893</v>
      </c>
      <c r="CK6" s="352">
        <v>41734</v>
      </c>
      <c r="CL6" s="208" t="s">
        <v>7</v>
      </c>
      <c r="CM6" s="208" t="s">
        <v>7</v>
      </c>
      <c r="CN6" s="208" t="s">
        <v>7</v>
      </c>
      <c r="CO6">
        <v>2</v>
      </c>
      <c r="CP6" s="108">
        <f>C6/CO6</f>
        <v>25980</v>
      </c>
      <c r="CQ6">
        <v>1</v>
      </c>
      <c r="CR6">
        <v>13</v>
      </c>
      <c r="CS6">
        <v>16</v>
      </c>
      <c r="CT6" s="108">
        <f t="shared" si="24"/>
        <v>3247.5</v>
      </c>
      <c r="CU6">
        <v>16</v>
      </c>
      <c r="CV6" s="353">
        <v>53040</v>
      </c>
      <c r="CW6" s="209">
        <v>40</v>
      </c>
      <c r="CX6" s="208" t="s">
        <v>7</v>
      </c>
      <c r="CY6" s="208" t="s">
        <v>7</v>
      </c>
      <c r="CZ6" s="352">
        <v>2779</v>
      </c>
      <c r="DA6" s="352">
        <v>1287</v>
      </c>
      <c r="DB6">
        <v>86</v>
      </c>
      <c r="DC6" s="352">
        <v>8000</v>
      </c>
      <c r="DD6">
        <v>-1</v>
      </c>
      <c r="DE6" s="352">
        <v>24240</v>
      </c>
      <c r="DF6" s="205">
        <v>11832</v>
      </c>
      <c r="DG6" s="205">
        <v>52</v>
      </c>
      <c r="DH6" s="209">
        <f t="shared" si="25"/>
        <v>0.22771362586605082</v>
      </c>
      <c r="DI6" s="205">
        <v>47</v>
      </c>
      <c r="DJ6" s="205">
        <v>47</v>
      </c>
      <c r="DK6" s="108">
        <v>2691</v>
      </c>
      <c r="DL6" s="343">
        <v>9127</v>
      </c>
      <c r="DM6" s="204"/>
      <c r="DN6" t="s">
        <v>1036</v>
      </c>
      <c r="DO6" t="s">
        <v>1030</v>
      </c>
      <c r="DP6" s="208"/>
      <c r="DQ6" s="206"/>
      <c r="DR6" s="367" t="s">
        <v>1124</v>
      </c>
      <c r="DS6" s="204" t="s">
        <v>961</v>
      </c>
      <c r="DT6" s="227">
        <v>44013</v>
      </c>
      <c r="DU6" s="227">
        <v>44377</v>
      </c>
      <c r="DV6" t="s">
        <v>1174</v>
      </c>
      <c r="DW6" s="109">
        <f t="shared" si="26"/>
        <v>1.7462086220169362</v>
      </c>
      <c r="DX6" s="109">
        <f t="shared" si="27"/>
        <v>0</v>
      </c>
      <c r="DY6" s="109">
        <f t="shared" si="28"/>
        <v>3.2372209391839877</v>
      </c>
      <c r="DZ6" s="109">
        <f t="shared" si="29"/>
        <v>0.46522324865280984</v>
      </c>
      <c r="EA6" s="110">
        <f t="shared" ref="EA6:EA37" si="44">N6/(BP6+BR6)</f>
        <v>0.25505234823645723</v>
      </c>
      <c r="EB6" s="199">
        <v>0</v>
      </c>
    </row>
    <row r="7" spans="1:132" ht="16.5" x14ac:dyDescent="0.3">
      <c r="A7" s="216" t="s">
        <v>1125</v>
      </c>
      <c r="B7" t="s">
        <v>1175</v>
      </c>
      <c r="C7" s="352">
        <v>66294</v>
      </c>
      <c r="D7">
        <v>7</v>
      </c>
      <c r="E7"/>
      <c r="F7" s="221">
        <v>31962</v>
      </c>
      <c r="H7" s="108">
        <f t="shared" si="0"/>
        <v>31962</v>
      </c>
      <c r="I7" s="109">
        <v>0.47832000000000002</v>
      </c>
      <c r="J7" s="220">
        <v>474246</v>
      </c>
      <c r="K7" s="220">
        <v>98979</v>
      </c>
      <c r="L7" s="115">
        <f t="shared" si="31"/>
        <v>573225</v>
      </c>
      <c r="M7" s="110">
        <f t="shared" si="1"/>
        <v>8.6467101095121723</v>
      </c>
      <c r="N7" s="220">
        <v>59120</v>
      </c>
      <c r="O7" s="220">
        <v>9969</v>
      </c>
      <c r="P7" s="220">
        <v>5374</v>
      </c>
      <c r="Q7" s="220">
        <v>74463</v>
      </c>
      <c r="R7" s="110">
        <f t="shared" si="2"/>
        <v>1.1232238211602861</v>
      </c>
      <c r="S7" s="220">
        <v>180958</v>
      </c>
      <c r="T7" s="220">
        <v>828646</v>
      </c>
      <c r="U7" s="207">
        <v>0</v>
      </c>
      <c r="V7" s="220">
        <v>828646</v>
      </c>
      <c r="W7" s="110">
        <f t="shared" si="3"/>
        <v>12.499562554680665</v>
      </c>
      <c r="X7" s="111">
        <f t="shared" si="32"/>
        <v>0.69176101737050566</v>
      </c>
      <c r="Y7" s="111">
        <f t="shared" si="33"/>
        <v>8.9861050436495199E-2</v>
      </c>
      <c r="Z7" s="111">
        <f t="shared" si="34"/>
        <v>0.21837793219299917</v>
      </c>
      <c r="AA7" s="111">
        <f t="shared" si="35"/>
        <v>0</v>
      </c>
      <c r="AB7" s="220">
        <v>0</v>
      </c>
      <c r="AE7" s="207"/>
      <c r="AF7" s="353">
        <v>129750</v>
      </c>
      <c r="AG7" s="353">
        <v>376825</v>
      </c>
      <c r="AH7" s="207"/>
      <c r="AI7" s="115">
        <f t="shared" si="8"/>
        <v>506575</v>
      </c>
      <c r="AJ7" s="110">
        <f t="shared" si="9"/>
        <v>7.641340091109301</v>
      </c>
      <c r="AK7" s="353">
        <v>299950</v>
      </c>
      <c r="AL7" s="207">
        <v>7529</v>
      </c>
      <c r="AM7" s="353"/>
      <c r="AN7" s="353">
        <v>73292</v>
      </c>
      <c r="AO7" s="115">
        <f t="shared" si="36"/>
        <v>73292</v>
      </c>
      <c r="AP7" s="353">
        <v>883695</v>
      </c>
      <c r="AQ7" s="112">
        <f t="shared" si="11"/>
        <v>13.329939361028147</v>
      </c>
      <c r="AR7" s="207"/>
      <c r="AS7" s="220">
        <v>0</v>
      </c>
      <c r="AT7" s="207">
        <v>0</v>
      </c>
      <c r="AU7" s="220">
        <v>0</v>
      </c>
      <c r="AV7" s="220">
        <v>0</v>
      </c>
      <c r="AW7" s="207"/>
      <c r="AX7" s="220">
        <v>0</v>
      </c>
      <c r="AY7" s="115">
        <f t="shared" si="37"/>
        <v>0</v>
      </c>
      <c r="AZ7" s="352">
        <v>94641</v>
      </c>
      <c r="BA7" s="109">
        <f t="shared" si="13"/>
        <v>1.4275952574893656</v>
      </c>
      <c r="BB7" s="352">
        <v>1684</v>
      </c>
      <c r="BC7" s="352">
        <v>30111</v>
      </c>
      <c r="BD7" s="352">
        <v>6644</v>
      </c>
      <c r="BE7" s="352">
        <v>2443</v>
      </c>
      <c r="BF7" s="352">
        <v>166680</v>
      </c>
      <c r="BG7" s="221">
        <v>1</v>
      </c>
      <c r="BH7" s="221">
        <v>89</v>
      </c>
      <c r="BI7" s="205">
        <v>0</v>
      </c>
      <c r="BJ7">
        <v>87</v>
      </c>
      <c r="BK7" s="352">
        <v>302539</v>
      </c>
      <c r="BL7" s="109">
        <f t="shared" si="14"/>
        <v>4.5635954988385077</v>
      </c>
      <c r="BM7">
        <v>26</v>
      </c>
      <c r="BN7" s="352">
        <v>7073</v>
      </c>
      <c r="BO7" s="109">
        <f t="shared" si="15"/>
        <v>0.10669140495369113</v>
      </c>
      <c r="BP7" s="352">
        <v>21652</v>
      </c>
      <c r="BQ7" s="205">
        <v>0</v>
      </c>
      <c r="BR7" s="356">
        <f t="shared" si="38"/>
        <v>37533</v>
      </c>
      <c r="BS7" s="352">
        <v>17543</v>
      </c>
      <c r="BT7" s="352">
        <v>55076</v>
      </c>
      <c r="BU7" s="109">
        <f t="shared" si="16"/>
        <v>0.83078408302410478</v>
      </c>
      <c r="BV7" s="108">
        <f t="shared" si="39"/>
        <v>3120.4532577903683</v>
      </c>
      <c r="BW7" s="109">
        <f t="shared" si="18"/>
        <v>4.1286356821589205</v>
      </c>
      <c r="BX7" s="109">
        <f t="shared" si="19"/>
        <v>1.4986258877309462</v>
      </c>
      <c r="BY7" s="109">
        <f t="shared" si="40"/>
        <v>0.18204595110051927</v>
      </c>
      <c r="BZ7">
        <v>228</v>
      </c>
      <c r="CA7">
        <v>1</v>
      </c>
      <c r="CB7">
        <v>113</v>
      </c>
      <c r="CC7" s="113">
        <f t="shared" si="41"/>
        <v>342</v>
      </c>
      <c r="CD7" s="352">
        <v>1734</v>
      </c>
      <c r="CE7">
        <v>6</v>
      </c>
      <c r="CF7">
        <v>583</v>
      </c>
      <c r="CG7" s="116">
        <f t="shared" si="42"/>
        <v>2323</v>
      </c>
      <c r="CH7" s="109">
        <f t="shared" si="22"/>
        <v>3.5040878510875798E-2</v>
      </c>
      <c r="CI7" s="352">
        <v>36751</v>
      </c>
      <c r="CJ7" s="109">
        <f t="shared" si="23"/>
        <v>0.55436389416840137</v>
      </c>
      <c r="CK7" s="352">
        <v>16715</v>
      </c>
      <c r="CL7" s="208" t="s">
        <v>7</v>
      </c>
      <c r="CM7" s="208" t="s">
        <v>7</v>
      </c>
      <c r="CN7" s="208" t="s">
        <v>7</v>
      </c>
      <c r="CO7">
        <v>1</v>
      </c>
      <c r="CP7" s="108">
        <f>C7/CO7</f>
        <v>66294</v>
      </c>
      <c r="CQ7">
        <v>1</v>
      </c>
      <c r="CR7">
        <v>15.65</v>
      </c>
      <c r="CS7">
        <v>17.649999999999999</v>
      </c>
      <c r="CT7" s="108">
        <f t="shared" si="24"/>
        <v>3756.0339943342778</v>
      </c>
      <c r="CU7">
        <v>258</v>
      </c>
      <c r="CV7" s="353">
        <v>54000</v>
      </c>
      <c r="CW7" s="209">
        <v>40</v>
      </c>
      <c r="CX7" s="208" t="s">
        <v>7</v>
      </c>
      <c r="CY7" s="208" t="s">
        <v>7</v>
      </c>
      <c r="CZ7" s="352">
        <v>4363</v>
      </c>
      <c r="DA7" s="352">
        <v>3030</v>
      </c>
      <c r="DB7">
        <v>81</v>
      </c>
      <c r="DC7" s="352">
        <v>4751</v>
      </c>
      <c r="DD7" s="352">
        <v>17113</v>
      </c>
      <c r="DE7" s="352">
        <v>100984</v>
      </c>
      <c r="DF7" s="205">
        <v>16640</v>
      </c>
      <c r="DG7" s="205">
        <v>52</v>
      </c>
      <c r="DH7" s="209">
        <f t="shared" si="25"/>
        <v>0.25100310737019943</v>
      </c>
      <c r="DI7" s="205">
        <v>64</v>
      </c>
      <c r="DJ7" s="205">
        <v>64</v>
      </c>
      <c r="DL7" s="343">
        <v>13340</v>
      </c>
      <c r="DM7" s="204"/>
      <c r="DN7" t="s">
        <v>1037</v>
      </c>
      <c r="DO7" t="s">
        <v>1030</v>
      </c>
      <c r="DP7" s="208"/>
      <c r="DQ7" s="206"/>
      <c r="DR7" s="367" t="s">
        <v>1125</v>
      </c>
      <c r="DS7" s="204" t="s">
        <v>962</v>
      </c>
      <c r="DT7" s="227">
        <v>44013</v>
      </c>
      <c r="DU7" s="227">
        <v>44377</v>
      </c>
      <c r="DV7" t="s">
        <v>1175</v>
      </c>
      <c r="DW7" s="109">
        <f t="shared" si="26"/>
        <v>0.32660572600838689</v>
      </c>
      <c r="DX7" s="109">
        <f t="shared" si="27"/>
        <v>0</v>
      </c>
      <c r="DY7" s="109">
        <f t="shared" si="28"/>
        <v>0.56615983346909227</v>
      </c>
      <c r="DZ7" s="109">
        <f t="shared" si="29"/>
        <v>0.26462424955501251</v>
      </c>
      <c r="EA7" s="110">
        <f t="shared" si="44"/>
        <v>0.99890174875390725</v>
      </c>
      <c r="EB7" s="199">
        <f t="shared" si="43"/>
        <v>0.56826084478139427</v>
      </c>
    </row>
    <row r="8" spans="1:132" ht="16.5" x14ac:dyDescent="0.3">
      <c r="A8" s="216" t="s">
        <v>1126</v>
      </c>
      <c r="B8" t="s">
        <v>1176</v>
      </c>
      <c r="C8" s="352">
        <v>34475</v>
      </c>
      <c r="D8"/>
      <c r="E8"/>
      <c r="F8" s="221">
        <v>15214</v>
      </c>
      <c r="H8" s="108">
        <f t="shared" si="0"/>
        <v>15214</v>
      </c>
      <c r="I8" s="109">
        <v>0.44119000000000003</v>
      </c>
      <c r="J8" s="220">
        <v>395954</v>
      </c>
      <c r="K8" s="220">
        <v>157073</v>
      </c>
      <c r="L8" s="115">
        <f t="shared" si="31"/>
        <v>553027</v>
      </c>
      <c r="M8" s="110">
        <f t="shared" si="1"/>
        <v>16.041392313270485</v>
      </c>
      <c r="N8" s="220">
        <v>12906</v>
      </c>
      <c r="O8" s="220">
        <v>4973</v>
      </c>
      <c r="P8" s="220">
        <v>2382</v>
      </c>
      <c r="Q8" s="220">
        <v>20261</v>
      </c>
      <c r="R8" s="110">
        <f t="shared" si="2"/>
        <v>0.58770123277737496</v>
      </c>
      <c r="S8" s="220">
        <v>22010</v>
      </c>
      <c r="T8" s="220">
        <v>595298</v>
      </c>
      <c r="U8" s="207">
        <v>0</v>
      </c>
      <c r="V8" s="220">
        <v>595298</v>
      </c>
      <c r="W8" s="110">
        <f t="shared" si="3"/>
        <v>17.267527193618566</v>
      </c>
      <c r="X8" s="111">
        <f t="shared" si="32"/>
        <v>0.92899186625857977</v>
      </c>
      <c r="Y8" s="111">
        <f t="shared" si="33"/>
        <v>3.4035054712093775E-2</v>
      </c>
      <c r="Z8" s="111">
        <f t="shared" si="34"/>
        <v>3.6973079029326492E-2</v>
      </c>
      <c r="AA8" s="111">
        <f t="shared" si="35"/>
        <v>0</v>
      </c>
      <c r="AB8" s="220">
        <v>0</v>
      </c>
      <c r="AE8" s="207"/>
      <c r="AF8" s="353">
        <v>15000</v>
      </c>
      <c r="AG8" s="353">
        <v>499415</v>
      </c>
      <c r="AH8" s="207"/>
      <c r="AI8" s="115">
        <f t="shared" si="8"/>
        <v>514415</v>
      </c>
      <c r="AJ8" s="110">
        <f t="shared" si="9"/>
        <v>14.921392313270486</v>
      </c>
      <c r="AK8" s="353">
        <v>95705</v>
      </c>
      <c r="AL8" s="207">
        <v>588</v>
      </c>
      <c r="AM8" s="353"/>
      <c r="AN8" s="353">
        <v>6328</v>
      </c>
      <c r="AO8" s="115">
        <f t="shared" si="36"/>
        <v>6328</v>
      </c>
      <c r="AP8" s="353">
        <v>618658</v>
      </c>
      <c r="AQ8" s="112">
        <f t="shared" si="11"/>
        <v>17.945119651921683</v>
      </c>
      <c r="AR8" s="207"/>
      <c r="AS8" s="220">
        <v>0</v>
      </c>
      <c r="AT8" s="207">
        <v>0</v>
      </c>
      <c r="AU8" s="220">
        <v>0</v>
      </c>
      <c r="AV8" s="220">
        <v>0</v>
      </c>
      <c r="AW8" s="207"/>
      <c r="AX8" s="220">
        <v>0</v>
      </c>
      <c r="AY8" s="115">
        <f t="shared" si="37"/>
        <v>0</v>
      </c>
      <c r="AZ8" s="352">
        <v>52208</v>
      </c>
      <c r="BA8" s="109">
        <f t="shared" si="13"/>
        <v>1.5143727338651196</v>
      </c>
      <c r="BB8" s="352">
        <v>2350</v>
      </c>
      <c r="BC8" s="352">
        <v>24274</v>
      </c>
      <c r="BD8" s="352">
        <v>2825</v>
      </c>
      <c r="BE8" s="352">
        <v>2130</v>
      </c>
      <c r="BF8" s="352">
        <v>129792</v>
      </c>
      <c r="BG8" s="221">
        <v>2</v>
      </c>
      <c r="BH8" s="221">
        <v>89</v>
      </c>
      <c r="BI8" s="205">
        <v>0</v>
      </c>
      <c r="BJ8">
        <v>87</v>
      </c>
      <c r="BK8" s="352">
        <v>213816</v>
      </c>
      <c r="BL8" s="109">
        <f t="shared" si="14"/>
        <v>6.2020594633792605</v>
      </c>
      <c r="BM8">
        <v>5</v>
      </c>
      <c r="BN8" s="352">
        <v>2770</v>
      </c>
      <c r="BO8" s="109">
        <f t="shared" si="15"/>
        <v>8.034807831762146E-2</v>
      </c>
      <c r="BP8" s="352">
        <v>6703</v>
      </c>
      <c r="BQ8" s="205">
        <v>0</v>
      </c>
      <c r="BR8" s="356">
        <f t="shared" si="38"/>
        <v>19160</v>
      </c>
      <c r="BS8" s="352">
        <v>1755</v>
      </c>
      <c r="BT8" s="352">
        <v>20915</v>
      </c>
      <c r="BU8" s="109">
        <f t="shared" si="16"/>
        <v>0.6066715010877447</v>
      </c>
      <c r="BV8" s="108">
        <f t="shared" si="39"/>
        <v>2038.4990253411306</v>
      </c>
      <c r="BW8" s="109">
        <f t="shared" si="18"/>
        <v>4.2286696320258796</v>
      </c>
      <c r="BX8" s="109">
        <f t="shared" si="19"/>
        <v>1.3198081655833911</v>
      </c>
      <c r="BY8" s="109">
        <f t="shared" si="40"/>
        <v>9.7817749840984777E-2</v>
      </c>
      <c r="BZ8">
        <v>131</v>
      </c>
      <c r="CA8">
        <v>2</v>
      </c>
      <c r="CB8">
        <v>1</v>
      </c>
      <c r="CC8" s="113">
        <f t="shared" si="41"/>
        <v>134</v>
      </c>
      <c r="CD8">
        <v>355</v>
      </c>
      <c r="CE8">
        <v>20</v>
      </c>
      <c r="CF8">
        <v>185</v>
      </c>
      <c r="CG8" s="116">
        <f t="shared" si="42"/>
        <v>560</v>
      </c>
      <c r="CH8" s="109">
        <f t="shared" si="22"/>
        <v>1.6243654822335026E-2</v>
      </c>
      <c r="CI8" s="352">
        <v>15847</v>
      </c>
      <c r="CJ8" s="109">
        <f t="shared" si="23"/>
        <v>0.45966642494561277</v>
      </c>
      <c r="CK8" s="352">
        <v>9446</v>
      </c>
      <c r="CL8" s="208" t="s">
        <v>7</v>
      </c>
      <c r="CM8" s="208" t="s">
        <v>7</v>
      </c>
      <c r="CN8" s="208" t="s">
        <v>7</v>
      </c>
      <c r="CO8">
        <v>1</v>
      </c>
      <c r="CP8" s="209">
        <v>0</v>
      </c>
      <c r="CQ8">
        <v>0</v>
      </c>
      <c r="CR8">
        <v>9.26</v>
      </c>
      <c r="CS8">
        <v>10.26</v>
      </c>
      <c r="CT8" s="108">
        <f t="shared" si="24"/>
        <v>3360.1364522417157</v>
      </c>
      <c r="CU8">
        <v>50</v>
      </c>
      <c r="CV8" s="353">
        <v>63982</v>
      </c>
      <c r="CW8" s="209">
        <v>40</v>
      </c>
      <c r="CX8" s="208" t="s">
        <v>7</v>
      </c>
      <c r="CY8" s="208" t="s">
        <v>7</v>
      </c>
      <c r="CZ8" s="352">
        <v>3154</v>
      </c>
      <c r="DA8" s="352">
        <v>2090</v>
      </c>
      <c r="DB8">
        <v>13</v>
      </c>
      <c r="DC8" s="352">
        <v>2777</v>
      </c>
      <c r="DD8">
        <v>-1</v>
      </c>
      <c r="DE8" s="352">
        <v>8772</v>
      </c>
      <c r="DF8" s="205">
        <v>6460</v>
      </c>
      <c r="DG8" s="205">
        <v>52</v>
      </c>
      <c r="DH8" s="209">
        <f t="shared" si="25"/>
        <v>0.1873821609862219</v>
      </c>
      <c r="DI8" s="205">
        <v>44</v>
      </c>
      <c r="DJ8" s="205">
        <v>44</v>
      </c>
      <c r="DL8" s="343">
        <v>4946</v>
      </c>
      <c r="DM8" s="204"/>
      <c r="DN8" t="s">
        <v>1038</v>
      </c>
      <c r="DO8" t="s">
        <v>125</v>
      </c>
      <c r="DP8" s="208"/>
      <c r="DQ8" s="206"/>
      <c r="DR8" s="367" t="s">
        <v>963</v>
      </c>
      <c r="DS8" s="204" t="s">
        <v>963</v>
      </c>
      <c r="DT8" s="227">
        <v>44013</v>
      </c>
      <c r="DU8" s="227">
        <v>44377</v>
      </c>
      <c r="DV8" t="s">
        <v>1176</v>
      </c>
      <c r="DW8" s="109">
        <f t="shared" si="26"/>
        <v>0.19443074691805656</v>
      </c>
      <c r="DX8" s="109">
        <f t="shared" si="27"/>
        <v>0</v>
      </c>
      <c r="DY8" s="109">
        <f t="shared" si="28"/>
        <v>0.55576504713560548</v>
      </c>
      <c r="DZ8" s="109">
        <f t="shared" si="29"/>
        <v>5.0906453952139233E-2</v>
      </c>
      <c r="EA8" s="110">
        <f t="shared" si="44"/>
        <v>0.49901403549472217</v>
      </c>
      <c r="EB8" s="199">
        <v>0</v>
      </c>
    </row>
    <row r="9" spans="1:132" ht="16.5" x14ac:dyDescent="0.3">
      <c r="A9" s="216" t="s">
        <v>1127</v>
      </c>
      <c r="B9" t="s">
        <v>1252</v>
      </c>
      <c r="C9" s="352">
        <v>90850</v>
      </c>
      <c r="D9">
        <v>4</v>
      </c>
      <c r="E9">
        <v>1</v>
      </c>
      <c r="F9" s="221">
        <v>64619</v>
      </c>
      <c r="H9" s="108">
        <f t="shared" si="0"/>
        <v>64619</v>
      </c>
      <c r="I9" s="109">
        <v>0.71918000000000004</v>
      </c>
      <c r="J9" s="220">
        <v>1080305</v>
      </c>
      <c r="K9" s="220">
        <v>408148</v>
      </c>
      <c r="L9" s="115">
        <f t="shared" si="31"/>
        <v>1488453</v>
      </c>
      <c r="M9" s="110">
        <f t="shared" si="1"/>
        <v>16.383632361034671</v>
      </c>
      <c r="N9" s="220">
        <v>77910</v>
      </c>
      <c r="O9" s="220">
        <v>35600</v>
      </c>
      <c r="P9" s="220">
        <v>16260</v>
      </c>
      <c r="Q9" s="220">
        <v>129770</v>
      </c>
      <c r="R9" s="110">
        <f t="shared" si="2"/>
        <v>1.4283984589983489</v>
      </c>
      <c r="S9" s="220">
        <v>627802</v>
      </c>
      <c r="T9" s="220">
        <v>2246025</v>
      </c>
      <c r="U9" s="207">
        <v>0</v>
      </c>
      <c r="V9" s="220">
        <v>2246025</v>
      </c>
      <c r="W9" s="110">
        <f t="shared" si="3"/>
        <v>24.72234452394056</v>
      </c>
      <c r="X9" s="111">
        <f t="shared" si="32"/>
        <v>0.66270544628844297</v>
      </c>
      <c r="Y9" s="111">
        <f t="shared" si="33"/>
        <v>5.7777629367438028E-2</v>
      </c>
      <c r="Z9" s="111">
        <f t="shared" si="34"/>
        <v>0.27951692434411907</v>
      </c>
      <c r="AA9" s="111">
        <f t="shared" si="35"/>
        <v>0</v>
      </c>
      <c r="AB9" s="220">
        <v>0</v>
      </c>
      <c r="AE9" s="207"/>
      <c r="AF9" s="353">
        <v>668630</v>
      </c>
      <c r="AG9" s="353">
        <v>1142317</v>
      </c>
      <c r="AH9" s="207"/>
      <c r="AI9" s="115">
        <f t="shared" si="8"/>
        <v>1810947</v>
      </c>
      <c r="AJ9" s="110">
        <f t="shared" si="9"/>
        <v>19.933373692900386</v>
      </c>
      <c r="AK9" s="353">
        <v>128776</v>
      </c>
      <c r="AL9" s="207">
        <v>26240</v>
      </c>
      <c r="AM9" s="353"/>
      <c r="AN9" s="353">
        <v>329093</v>
      </c>
      <c r="AO9" s="115">
        <f t="shared" si="36"/>
        <v>329093</v>
      </c>
      <c r="AP9" s="353">
        <v>2357401</v>
      </c>
      <c r="AQ9" s="112">
        <f t="shared" si="11"/>
        <v>25.948277380297192</v>
      </c>
      <c r="AR9" s="207"/>
      <c r="AS9" s="220">
        <v>0</v>
      </c>
      <c r="AT9" s="207">
        <v>0</v>
      </c>
      <c r="AU9" s="220">
        <v>0</v>
      </c>
      <c r="AV9" s="220">
        <v>0</v>
      </c>
      <c r="AW9" s="207"/>
      <c r="AX9" s="220">
        <v>0</v>
      </c>
      <c r="AY9" s="115">
        <f t="shared" si="37"/>
        <v>0</v>
      </c>
      <c r="AZ9" s="352">
        <v>103665</v>
      </c>
      <c r="BA9" s="109">
        <f t="shared" si="13"/>
        <v>1.1410566868464502</v>
      </c>
      <c r="BB9" s="352">
        <v>3747</v>
      </c>
      <c r="BC9" s="352">
        <v>30111</v>
      </c>
      <c r="BD9" s="352">
        <v>4608</v>
      </c>
      <c r="BE9" s="352">
        <v>2444</v>
      </c>
      <c r="BF9" s="352">
        <v>166680</v>
      </c>
      <c r="BG9" s="221">
        <v>4</v>
      </c>
      <c r="BH9" s="221">
        <v>89</v>
      </c>
      <c r="BI9" s="205">
        <v>0</v>
      </c>
      <c r="BJ9">
        <v>89</v>
      </c>
      <c r="BK9" s="352">
        <v>316356</v>
      </c>
      <c r="BL9" s="109">
        <f t="shared" si="14"/>
        <v>3.4821794166208035</v>
      </c>
      <c r="BM9">
        <v>43</v>
      </c>
      <c r="BN9" s="352">
        <v>22034</v>
      </c>
      <c r="BO9" s="109">
        <f t="shared" si="15"/>
        <v>0.24253164556962026</v>
      </c>
      <c r="BP9" s="352">
        <v>53001</v>
      </c>
      <c r="BQ9" s="205">
        <v>0</v>
      </c>
      <c r="BR9" s="356">
        <f t="shared" si="38"/>
        <v>115081</v>
      </c>
      <c r="BS9" s="352">
        <v>155005</v>
      </c>
      <c r="BT9" s="352">
        <v>270086</v>
      </c>
      <c r="BU9" s="109">
        <f t="shared" si="16"/>
        <v>2.9728783709411117</v>
      </c>
      <c r="BV9" s="108">
        <f t="shared" si="39"/>
        <v>9081.5736381977149</v>
      </c>
      <c r="BW9" s="109">
        <f t="shared" si="18"/>
        <v>44.917013138200566</v>
      </c>
      <c r="BX9" s="109">
        <f t="shared" si="19"/>
        <v>3.5538566804389591</v>
      </c>
      <c r="BY9" s="109">
        <f t="shared" si="40"/>
        <v>0.85374072247720922</v>
      </c>
      <c r="BZ9">
        <v>835</v>
      </c>
      <c r="CA9">
        <v>8</v>
      </c>
      <c r="CB9">
        <v>44</v>
      </c>
      <c r="CC9" s="113">
        <f t="shared" si="41"/>
        <v>887</v>
      </c>
      <c r="CD9" s="352">
        <v>9352</v>
      </c>
      <c r="CE9">
        <v>162</v>
      </c>
      <c r="CF9">
        <v>603</v>
      </c>
      <c r="CG9" s="116">
        <f t="shared" si="42"/>
        <v>10117</v>
      </c>
      <c r="CH9" s="109">
        <f t="shared" si="22"/>
        <v>0.11135938359933957</v>
      </c>
      <c r="CI9" s="352">
        <v>75998</v>
      </c>
      <c r="CJ9" s="109">
        <f t="shared" si="23"/>
        <v>0.83652173913043482</v>
      </c>
      <c r="CK9" s="352">
        <v>60619</v>
      </c>
      <c r="CL9" s="208" t="s">
        <v>7</v>
      </c>
      <c r="CM9" s="208" t="s">
        <v>7</v>
      </c>
      <c r="CN9" s="208" t="s">
        <v>7</v>
      </c>
      <c r="CO9">
        <v>6.9</v>
      </c>
      <c r="CP9" s="209">
        <v>0</v>
      </c>
      <c r="CQ9">
        <v>0</v>
      </c>
      <c r="CR9">
        <v>22.84</v>
      </c>
      <c r="CS9">
        <v>29.74</v>
      </c>
      <c r="CT9" s="108">
        <f t="shared" si="24"/>
        <v>3054.8083389374583</v>
      </c>
      <c r="CU9">
        <v>143</v>
      </c>
      <c r="CV9" s="353">
        <v>84600</v>
      </c>
      <c r="CW9" s="209">
        <v>40</v>
      </c>
      <c r="CX9" s="208" t="s">
        <v>7</v>
      </c>
      <c r="CY9" s="208" t="s">
        <v>7</v>
      </c>
      <c r="CZ9" s="352">
        <v>10517</v>
      </c>
      <c r="DA9" s="352">
        <v>5842</v>
      </c>
      <c r="DB9">
        <v>86</v>
      </c>
      <c r="DC9" s="352">
        <v>36439</v>
      </c>
      <c r="DD9" s="352">
        <v>39932</v>
      </c>
      <c r="DE9" s="352">
        <v>70680</v>
      </c>
      <c r="DF9" s="205">
        <v>7306</v>
      </c>
      <c r="DG9" s="205">
        <v>52</v>
      </c>
      <c r="DH9" s="209">
        <f t="shared" si="25"/>
        <v>8.0418271876719863E-2</v>
      </c>
      <c r="DI9" s="205">
        <v>48</v>
      </c>
      <c r="DJ9" s="205">
        <v>48</v>
      </c>
      <c r="DL9" s="343">
        <v>6013</v>
      </c>
      <c r="DM9" s="204"/>
      <c r="DN9" t="s">
        <v>1039</v>
      </c>
      <c r="DO9" t="s">
        <v>125</v>
      </c>
      <c r="DP9" s="208"/>
      <c r="DQ9" s="206"/>
      <c r="DR9" s="367" t="s">
        <v>1271</v>
      </c>
      <c r="DS9" s="204" t="s">
        <v>964</v>
      </c>
      <c r="DT9" s="227">
        <v>44013</v>
      </c>
      <c r="DU9" s="227">
        <v>44377</v>
      </c>
      <c r="DV9" t="s">
        <v>1252</v>
      </c>
      <c r="DW9" s="109">
        <f t="shared" si="26"/>
        <v>0.58339020363236105</v>
      </c>
      <c r="DX9" s="109">
        <f t="shared" si="27"/>
        <v>0</v>
      </c>
      <c r="DY9" s="109">
        <f t="shared" si="28"/>
        <v>1.2667143643368188</v>
      </c>
      <c r="DZ9" s="109">
        <f t="shared" si="29"/>
        <v>1.7061640066042927</v>
      </c>
      <c r="EA9" s="110">
        <f t="shared" si="44"/>
        <v>0.46352375626182457</v>
      </c>
      <c r="EB9" s="199">
        <f t="shared" si="43"/>
        <v>0.2296700106448179</v>
      </c>
    </row>
    <row r="10" spans="1:132" ht="16.5" x14ac:dyDescent="0.3">
      <c r="A10" s="216" t="s">
        <v>965</v>
      </c>
      <c r="B10" t="s">
        <v>1177</v>
      </c>
      <c r="C10" s="352">
        <v>143169</v>
      </c>
      <c r="D10"/>
      <c r="E10"/>
      <c r="F10" s="221">
        <v>33856</v>
      </c>
      <c r="H10" s="108">
        <f t="shared" si="0"/>
        <v>33856</v>
      </c>
      <c r="I10" s="109">
        <v>0.24870999999999999</v>
      </c>
      <c r="J10" s="220">
        <v>777643</v>
      </c>
      <c r="K10" s="220">
        <v>322420</v>
      </c>
      <c r="L10" s="115">
        <f t="shared" si="31"/>
        <v>1100063</v>
      </c>
      <c r="M10" s="110">
        <f t="shared" si="1"/>
        <v>7.6836675537302073</v>
      </c>
      <c r="N10" s="220">
        <v>128343</v>
      </c>
      <c r="O10" s="220">
        <v>12911</v>
      </c>
      <c r="P10" s="220">
        <v>4612</v>
      </c>
      <c r="Q10" s="220">
        <v>145866</v>
      </c>
      <c r="R10" s="110">
        <f t="shared" si="2"/>
        <v>1.0188378769146953</v>
      </c>
      <c r="S10" s="220">
        <v>66680</v>
      </c>
      <c r="T10" s="220">
        <v>1312609</v>
      </c>
      <c r="U10" s="207">
        <v>0</v>
      </c>
      <c r="V10" s="220">
        <v>1312609</v>
      </c>
      <c r="W10" s="110">
        <f t="shared" si="3"/>
        <v>9.1682487130593913</v>
      </c>
      <c r="X10" s="111">
        <f t="shared" si="32"/>
        <v>0.83807363807500934</v>
      </c>
      <c r="Y10" s="111">
        <f t="shared" si="33"/>
        <v>0.11112677118624054</v>
      </c>
      <c r="Z10" s="111">
        <f t="shared" si="34"/>
        <v>5.0799590738750081E-2</v>
      </c>
      <c r="AA10" s="111">
        <f t="shared" si="35"/>
        <v>0</v>
      </c>
      <c r="AB10" s="220">
        <v>0</v>
      </c>
      <c r="AE10" s="207"/>
      <c r="AF10" s="353">
        <v>0</v>
      </c>
      <c r="AG10" s="353">
        <v>1312508</v>
      </c>
      <c r="AH10" s="207"/>
      <c r="AI10" s="115">
        <f t="shared" si="8"/>
        <v>1312508</v>
      </c>
      <c r="AJ10" s="110">
        <f t="shared" si="9"/>
        <v>9.167543253078529</v>
      </c>
      <c r="AK10" s="353">
        <v>152386</v>
      </c>
      <c r="AL10" s="207">
        <v>0</v>
      </c>
      <c r="AM10" s="353"/>
      <c r="AN10" s="353">
        <v>0</v>
      </c>
      <c r="AO10" s="115">
        <f t="shared" si="36"/>
        <v>0</v>
      </c>
      <c r="AP10" s="353">
        <v>1467894</v>
      </c>
      <c r="AQ10" s="112">
        <f t="shared" si="11"/>
        <v>10.252875971753662</v>
      </c>
      <c r="AR10" s="207"/>
      <c r="AS10" s="220">
        <v>0</v>
      </c>
      <c r="AT10" s="207">
        <v>0</v>
      </c>
      <c r="AU10" s="220">
        <v>0</v>
      </c>
      <c r="AV10" s="220">
        <v>0</v>
      </c>
      <c r="AW10" s="207"/>
      <c r="AX10" s="220">
        <v>0</v>
      </c>
      <c r="AY10" s="115">
        <f t="shared" si="37"/>
        <v>0</v>
      </c>
      <c r="AZ10" s="352">
        <v>156414</v>
      </c>
      <c r="BA10" s="109">
        <f t="shared" si="13"/>
        <v>1.0925130440248936</v>
      </c>
      <c r="BB10" s="352">
        <v>2122</v>
      </c>
      <c r="BC10" s="352">
        <v>24685</v>
      </c>
      <c r="BD10" s="352">
        <v>7335</v>
      </c>
      <c r="BE10" s="352">
        <v>2130</v>
      </c>
      <c r="BF10" s="352">
        <v>152109</v>
      </c>
      <c r="BG10" s="221">
        <v>2</v>
      </c>
      <c r="BH10" s="221">
        <v>89</v>
      </c>
      <c r="BI10" s="205">
        <v>0</v>
      </c>
      <c r="BJ10">
        <v>88</v>
      </c>
      <c r="BK10" s="352">
        <v>350038</v>
      </c>
      <c r="BL10" s="109">
        <f t="shared" si="14"/>
        <v>2.444928720602924</v>
      </c>
      <c r="BM10">
        <v>155</v>
      </c>
      <c r="BN10" s="352">
        <v>31796</v>
      </c>
      <c r="BO10" s="109">
        <f t="shared" si="15"/>
        <v>0.22208718367803085</v>
      </c>
      <c r="BP10" s="352">
        <v>43035</v>
      </c>
      <c r="BQ10" s="205">
        <v>0</v>
      </c>
      <c r="BR10" s="356">
        <f t="shared" si="38"/>
        <v>322957</v>
      </c>
      <c r="BS10" s="352">
        <v>174221</v>
      </c>
      <c r="BT10" s="352">
        <v>497178</v>
      </c>
      <c r="BU10" s="109">
        <f t="shared" si="16"/>
        <v>3.4726651719296777</v>
      </c>
      <c r="BV10" s="108">
        <f t="shared" si="39"/>
        <v>29245.764705882353</v>
      </c>
      <c r="BW10" s="109">
        <f t="shared" si="18"/>
        <v>58.27215189873418</v>
      </c>
      <c r="BX10" s="109">
        <f t="shared" si="19"/>
        <v>2.0108718073166294</v>
      </c>
      <c r="BY10" s="109">
        <f t="shared" si="40"/>
        <v>1.4203543615264629</v>
      </c>
      <c r="BZ10">
        <v>4</v>
      </c>
      <c r="CA10">
        <v>0</v>
      </c>
      <c r="CB10">
        <v>0</v>
      </c>
      <c r="CC10" s="113">
        <f t="shared" si="41"/>
        <v>4</v>
      </c>
      <c r="CD10">
        <v>8</v>
      </c>
      <c r="CE10">
        <v>0</v>
      </c>
      <c r="CF10">
        <v>0</v>
      </c>
      <c r="CG10" s="116">
        <f t="shared" si="42"/>
        <v>8</v>
      </c>
      <c r="CH10" s="109">
        <f t="shared" si="22"/>
        <v>5.5878018286081487E-5</v>
      </c>
      <c r="CI10" s="352">
        <v>247245</v>
      </c>
      <c r="CJ10" s="109">
        <f t="shared" si="23"/>
        <v>1.7269450788927772</v>
      </c>
      <c r="CK10" s="352">
        <v>55037</v>
      </c>
      <c r="CL10" s="208" t="s">
        <v>7</v>
      </c>
      <c r="CM10" s="208" t="s">
        <v>7</v>
      </c>
      <c r="CN10" s="208" t="s">
        <v>7</v>
      </c>
      <c r="CO10">
        <v>1</v>
      </c>
      <c r="CP10" s="108">
        <f>C10/CO10</f>
        <v>143169</v>
      </c>
      <c r="CQ10">
        <v>0</v>
      </c>
      <c r="CR10">
        <v>16</v>
      </c>
      <c r="CS10">
        <v>17</v>
      </c>
      <c r="CT10" s="108">
        <f t="shared" si="24"/>
        <v>8421.7058823529405</v>
      </c>
      <c r="CU10" s="352">
        <v>7429</v>
      </c>
      <c r="CV10" s="353">
        <v>119003</v>
      </c>
      <c r="CW10" s="209">
        <v>25</v>
      </c>
      <c r="CX10" s="208" t="s">
        <v>7</v>
      </c>
      <c r="CY10" s="208" t="s">
        <v>7</v>
      </c>
      <c r="CZ10">
        <v>207</v>
      </c>
      <c r="DA10">
        <v>14</v>
      </c>
      <c r="DB10">
        <v>73</v>
      </c>
      <c r="DC10" s="352">
        <v>21432</v>
      </c>
      <c r="DD10" s="352">
        <v>35402</v>
      </c>
      <c r="DE10">
        <v>-1</v>
      </c>
      <c r="DF10" s="205">
        <v>11854</v>
      </c>
      <c r="DG10" s="205">
        <v>51</v>
      </c>
      <c r="DH10" s="209">
        <f t="shared" si="25"/>
        <v>8.2797253595401243E-2</v>
      </c>
      <c r="DI10" s="205">
        <v>28</v>
      </c>
      <c r="DJ10" s="205">
        <v>28</v>
      </c>
      <c r="DL10" s="343">
        <v>8532</v>
      </c>
      <c r="DM10" s="204"/>
      <c r="DN10" t="s">
        <v>1040</v>
      </c>
      <c r="DO10" t="s">
        <v>125</v>
      </c>
      <c r="DP10" s="208"/>
      <c r="DQ10" s="206"/>
      <c r="DR10" s="368" t="s">
        <v>965</v>
      </c>
      <c r="DS10" s="204" t="s">
        <v>965</v>
      </c>
      <c r="DT10" s="227">
        <v>44013</v>
      </c>
      <c r="DU10" s="227">
        <v>44377</v>
      </c>
      <c r="DV10" t="s">
        <v>1177</v>
      </c>
      <c r="DW10" s="109">
        <f t="shared" si="26"/>
        <v>0.3005888146176896</v>
      </c>
      <c r="DX10" s="109">
        <f t="shared" si="27"/>
        <v>0</v>
      </c>
      <c r="DY10" s="109">
        <f t="shared" si="28"/>
        <v>2.2557746439522521</v>
      </c>
      <c r="DZ10" s="109">
        <f t="shared" si="29"/>
        <v>1.2168905279774254</v>
      </c>
      <c r="EA10" s="110">
        <f t="shared" si="44"/>
        <v>0.35067159937922138</v>
      </c>
      <c r="EB10" s="199">
        <f t="shared" si="43"/>
        <v>7.410702498550692E-2</v>
      </c>
    </row>
    <row r="11" spans="1:132" ht="16.5" x14ac:dyDescent="0.3">
      <c r="A11" s="216" t="s">
        <v>966</v>
      </c>
      <c r="B11" t="s">
        <v>1178</v>
      </c>
      <c r="C11" s="352">
        <v>262659</v>
      </c>
      <c r="D11">
        <v>11</v>
      </c>
      <c r="E11"/>
      <c r="F11" s="221">
        <v>133866</v>
      </c>
      <c r="H11" s="108">
        <f t="shared" si="0"/>
        <v>133866</v>
      </c>
      <c r="I11" s="109">
        <v>0.46700999999999998</v>
      </c>
      <c r="J11" s="220">
        <v>3061087</v>
      </c>
      <c r="K11" s="220">
        <v>1683181</v>
      </c>
      <c r="L11" s="115">
        <f t="shared" si="31"/>
        <v>4744268</v>
      </c>
      <c r="M11" s="110">
        <f t="shared" si="1"/>
        <v>18.062461213969442</v>
      </c>
      <c r="N11" s="220">
        <v>404873</v>
      </c>
      <c r="O11" s="220">
        <v>297786</v>
      </c>
      <c r="P11" s="220">
        <v>21884</v>
      </c>
      <c r="Q11" s="220">
        <v>724543</v>
      </c>
      <c r="R11" s="110">
        <f t="shared" si="2"/>
        <v>2.7584929509363851</v>
      </c>
      <c r="S11" s="220">
        <v>825597</v>
      </c>
      <c r="T11" s="220">
        <v>6294408</v>
      </c>
      <c r="U11" s="207">
        <v>0</v>
      </c>
      <c r="V11" s="220">
        <v>6294408</v>
      </c>
      <c r="W11" s="110">
        <f t="shared" si="3"/>
        <v>23.964181695658631</v>
      </c>
      <c r="X11" s="111">
        <f t="shared" si="32"/>
        <v>0.75372743552689947</v>
      </c>
      <c r="Y11" s="111">
        <f t="shared" si="33"/>
        <v>0.11510899833630105</v>
      </c>
      <c r="Z11" s="111">
        <f t="shared" si="34"/>
        <v>0.13116356613679953</v>
      </c>
      <c r="AA11" s="111">
        <f t="shared" si="35"/>
        <v>0</v>
      </c>
      <c r="AB11" s="220">
        <v>4273159</v>
      </c>
      <c r="AE11" s="207"/>
      <c r="AF11" s="353">
        <v>0</v>
      </c>
      <c r="AG11" s="353">
        <v>6026753</v>
      </c>
      <c r="AH11" s="207"/>
      <c r="AI11" s="115">
        <f t="shared" si="8"/>
        <v>6026753</v>
      </c>
      <c r="AJ11" s="110">
        <f t="shared" si="9"/>
        <v>22.945160835912723</v>
      </c>
      <c r="AK11" s="353">
        <v>225223</v>
      </c>
      <c r="AL11" s="207">
        <v>0</v>
      </c>
      <c r="AM11" s="353"/>
      <c r="AN11" s="353">
        <v>114443</v>
      </c>
      <c r="AO11" s="115">
        <f t="shared" si="36"/>
        <v>114443</v>
      </c>
      <c r="AP11" s="353">
        <v>6417728</v>
      </c>
      <c r="AQ11" s="112">
        <f t="shared" si="11"/>
        <v>24.433687785303377</v>
      </c>
      <c r="AR11" s="207"/>
      <c r="AS11" s="220">
        <v>2964885</v>
      </c>
      <c r="AT11" s="207">
        <v>0</v>
      </c>
      <c r="AU11" s="220">
        <v>0</v>
      </c>
      <c r="AV11" s="220">
        <v>0</v>
      </c>
      <c r="AW11" s="207"/>
      <c r="AX11" s="220">
        <v>0</v>
      </c>
      <c r="AY11" s="115">
        <f t="shared" si="37"/>
        <v>2964885</v>
      </c>
      <c r="AZ11" s="352">
        <v>443150</v>
      </c>
      <c r="BA11" s="109">
        <f t="shared" si="13"/>
        <v>1.68716853410696</v>
      </c>
      <c r="BB11" s="352">
        <v>36950</v>
      </c>
      <c r="BC11" s="352">
        <v>59641</v>
      </c>
      <c r="BD11" s="352">
        <v>17182</v>
      </c>
      <c r="BE11" s="352">
        <v>2620</v>
      </c>
      <c r="BF11" s="352">
        <v>221484</v>
      </c>
      <c r="BG11" s="221">
        <v>6</v>
      </c>
      <c r="BH11" s="221">
        <v>89</v>
      </c>
      <c r="BI11" s="205">
        <v>0</v>
      </c>
      <c r="BJ11">
        <v>95</v>
      </c>
      <c r="BK11" s="352">
        <v>785406</v>
      </c>
      <c r="BL11" s="109">
        <f t="shared" si="14"/>
        <v>2.9902116432332417</v>
      </c>
      <c r="BM11">
        <v>426</v>
      </c>
      <c r="BN11" s="352">
        <v>66087</v>
      </c>
      <c r="BO11" s="109">
        <f t="shared" si="15"/>
        <v>0.25160759768368873</v>
      </c>
      <c r="BP11" s="352">
        <v>438456</v>
      </c>
      <c r="BQ11" s="205">
        <v>0</v>
      </c>
      <c r="BR11" s="356">
        <f t="shared" si="38"/>
        <v>862411</v>
      </c>
      <c r="BS11" s="352">
        <v>744359</v>
      </c>
      <c r="BT11" s="352">
        <v>1606770</v>
      </c>
      <c r="BU11" s="109">
        <f t="shared" si="16"/>
        <v>6.1173232213630602</v>
      </c>
      <c r="BV11" s="108">
        <f t="shared" si="39"/>
        <v>22535.343618513325</v>
      </c>
      <c r="BW11" s="109">
        <f t="shared" si="18"/>
        <v>57.755930984902946</v>
      </c>
      <c r="BX11" s="109">
        <f t="shared" si="19"/>
        <v>6.4316335965863836</v>
      </c>
      <c r="BY11" s="109">
        <f t="shared" si="40"/>
        <v>2.0457826907357468</v>
      </c>
      <c r="BZ11">
        <v>5</v>
      </c>
      <c r="CA11">
        <v>0</v>
      </c>
      <c r="CB11">
        <v>51</v>
      </c>
      <c r="CC11" s="113">
        <f t="shared" si="41"/>
        <v>56</v>
      </c>
      <c r="CD11">
        <v>262</v>
      </c>
      <c r="CE11">
        <v>0</v>
      </c>
      <c r="CF11" s="352">
        <v>1476</v>
      </c>
      <c r="CG11" s="116">
        <f t="shared" si="42"/>
        <v>1738</v>
      </c>
      <c r="CH11" s="109">
        <f t="shared" si="22"/>
        <v>6.6169444031995862E-3</v>
      </c>
      <c r="CI11" s="352">
        <v>249823</v>
      </c>
      <c r="CJ11" s="109">
        <f t="shared" si="23"/>
        <v>0.95113055330295171</v>
      </c>
      <c r="CK11" s="352">
        <v>126881</v>
      </c>
      <c r="CL11" s="208" t="s">
        <v>7</v>
      </c>
      <c r="CM11" s="208" t="s">
        <v>7</v>
      </c>
      <c r="CN11" s="208" t="s">
        <v>7</v>
      </c>
      <c r="CO11">
        <v>4</v>
      </c>
      <c r="CP11" s="108">
        <f>C11/CO11</f>
        <v>65664.75</v>
      </c>
      <c r="CQ11">
        <v>0</v>
      </c>
      <c r="CR11">
        <v>67.3</v>
      </c>
      <c r="CS11">
        <v>71.3</v>
      </c>
      <c r="CT11" s="108">
        <f t="shared" si="24"/>
        <v>3683.856942496494</v>
      </c>
      <c r="CU11">
        <v>11</v>
      </c>
      <c r="CV11" s="353">
        <v>132460</v>
      </c>
      <c r="CW11" s="209">
        <v>40</v>
      </c>
      <c r="CX11" s="208" t="s">
        <v>7</v>
      </c>
      <c r="CY11" s="208" t="s">
        <v>7</v>
      </c>
      <c r="CZ11" s="352">
        <v>34972</v>
      </c>
      <c r="DA11" s="352">
        <v>68317</v>
      </c>
      <c r="DB11">
        <v>225</v>
      </c>
      <c r="DC11" s="352">
        <v>12316</v>
      </c>
      <c r="DD11" s="352">
        <v>598733</v>
      </c>
      <c r="DE11" s="352">
        <v>310868</v>
      </c>
      <c r="DF11" s="205">
        <v>32188</v>
      </c>
      <c r="DG11" s="205">
        <v>52</v>
      </c>
      <c r="DH11" s="209">
        <f t="shared" si="25"/>
        <v>0.12254672407950994</v>
      </c>
      <c r="DI11" s="205">
        <v>70</v>
      </c>
      <c r="DJ11" s="205">
        <v>70</v>
      </c>
      <c r="DK11" s="108">
        <v>13211</v>
      </c>
      <c r="DL11" s="343">
        <v>27820</v>
      </c>
      <c r="DM11" s="204"/>
      <c r="DN11" t="s">
        <v>1041</v>
      </c>
      <c r="DO11" t="s">
        <v>125</v>
      </c>
      <c r="DP11" s="208"/>
      <c r="DQ11" s="206"/>
      <c r="DR11" s="368" t="s">
        <v>966</v>
      </c>
      <c r="DS11" s="204" t="s">
        <v>966</v>
      </c>
      <c r="DT11" s="227">
        <v>44013</v>
      </c>
      <c r="DU11" s="227">
        <v>44377</v>
      </c>
      <c r="DV11" t="s">
        <v>1178</v>
      </c>
      <c r="DW11" s="109">
        <f t="shared" si="26"/>
        <v>1.6692974541135084</v>
      </c>
      <c r="DX11" s="109">
        <f t="shared" si="27"/>
        <v>0</v>
      </c>
      <c r="DY11" s="109">
        <f t="shared" si="28"/>
        <v>3.2833864440205742</v>
      </c>
      <c r="DZ11" s="109">
        <f t="shared" si="29"/>
        <v>2.8339367773424859</v>
      </c>
      <c r="EA11" s="110">
        <f t="shared" si="44"/>
        <v>0.31123320062696647</v>
      </c>
      <c r="EB11" s="199">
        <f t="shared" si="43"/>
        <v>0.40005696176173056</v>
      </c>
    </row>
    <row r="12" spans="1:132" ht="16.5" x14ac:dyDescent="0.3">
      <c r="A12" s="216" t="s">
        <v>967</v>
      </c>
      <c r="B12" t="s">
        <v>1179</v>
      </c>
      <c r="C12" s="352">
        <v>91583</v>
      </c>
      <c r="D12">
        <v>2</v>
      </c>
      <c r="E12"/>
      <c r="F12" s="221">
        <v>34500</v>
      </c>
      <c r="H12" s="108">
        <f t="shared" si="0"/>
        <v>34500</v>
      </c>
      <c r="I12" s="109">
        <v>0.28639999999999999</v>
      </c>
      <c r="J12" s="220">
        <v>885870</v>
      </c>
      <c r="K12" s="220">
        <v>370775</v>
      </c>
      <c r="L12" s="115">
        <f t="shared" si="31"/>
        <v>1256645</v>
      </c>
      <c r="M12" s="110">
        <f t="shared" si="1"/>
        <v>13.721378421759496</v>
      </c>
      <c r="N12" s="220">
        <v>90247</v>
      </c>
      <c r="O12" s="220">
        <v>37800</v>
      </c>
      <c r="P12" s="220">
        <v>639</v>
      </c>
      <c r="Q12" s="220">
        <v>128686</v>
      </c>
      <c r="R12" s="110">
        <f t="shared" si="2"/>
        <v>1.4051297729928043</v>
      </c>
      <c r="S12" s="220">
        <v>196221</v>
      </c>
      <c r="T12" s="220">
        <v>1581552</v>
      </c>
      <c r="U12" s="207">
        <v>0</v>
      </c>
      <c r="V12" s="220">
        <v>1581552</v>
      </c>
      <c r="W12" s="110">
        <f t="shared" si="3"/>
        <v>17.269056484282018</v>
      </c>
      <c r="X12" s="111">
        <f t="shared" si="32"/>
        <v>0.7945644531447591</v>
      </c>
      <c r="Y12" s="111">
        <f t="shared" si="33"/>
        <v>8.136691047780914E-2</v>
      </c>
      <c r="Z12" s="111">
        <f t="shared" si="34"/>
        <v>0.12406863637743179</v>
      </c>
      <c r="AA12" s="111">
        <f t="shared" si="35"/>
        <v>0</v>
      </c>
      <c r="AB12" s="220">
        <v>60000</v>
      </c>
      <c r="AE12" s="207"/>
      <c r="AF12" s="353">
        <v>274000</v>
      </c>
      <c r="AG12" s="353">
        <v>1150870</v>
      </c>
      <c r="AH12" s="207"/>
      <c r="AI12" s="115">
        <f t="shared" si="8"/>
        <v>1424870</v>
      </c>
      <c r="AJ12" s="110">
        <f t="shared" si="9"/>
        <v>15.558236790670758</v>
      </c>
      <c r="AK12" s="353">
        <v>139132</v>
      </c>
      <c r="AL12" s="207">
        <v>2207</v>
      </c>
      <c r="AM12" s="353"/>
      <c r="AN12" s="353">
        <v>15704</v>
      </c>
      <c r="AO12" s="115">
        <f t="shared" si="36"/>
        <v>15704</v>
      </c>
      <c r="AP12" s="353">
        <v>1588080</v>
      </c>
      <c r="AQ12" s="112">
        <f t="shared" si="11"/>
        <v>17.340336088575391</v>
      </c>
      <c r="AR12" s="207"/>
      <c r="AS12" s="220">
        <v>354556</v>
      </c>
      <c r="AT12" s="207">
        <v>0</v>
      </c>
      <c r="AU12" s="220">
        <v>0</v>
      </c>
      <c r="AV12" s="220">
        <v>0</v>
      </c>
      <c r="AW12" s="207"/>
      <c r="AX12" s="220">
        <v>0</v>
      </c>
      <c r="AY12" s="115">
        <f t="shared" si="37"/>
        <v>354556</v>
      </c>
      <c r="AZ12" s="352">
        <v>105989</v>
      </c>
      <c r="BA12" s="109">
        <f t="shared" si="13"/>
        <v>1.1572999355775635</v>
      </c>
      <c r="BB12" s="352">
        <v>2489</v>
      </c>
      <c r="BC12" s="352">
        <v>30419</v>
      </c>
      <c r="BD12" s="352">
        <v>1142</v>
      </c>
      <c r="BE12" s="352">
        <v>2473</v>
      </c>
      <c r="BF12" s="352">
        <v>168209</v>
      </c>
      <c r="BG12" s="221">
        <v>2</v>
      </c>
      <c r="BH12" s="221">
        <v>89</v>
      </c>
      <c r="BI12" s="205">
        <v>0</v>
      </c>
      <c r="BJ12">
        <v>88</v>
      </c>
      <c r="BK12" s="352">
        <v>315025</v>
      </c>
      <c r="BL12" s="109">
        <f t="shared" si="14"/>
        <v>3.4397759409497395</v>
      </c>
      <c r="BM12">
        <v>101</v>
      </c>
      <c r="BN12" s="352">
        <v>21008</v>
      </c>
      <c r="BO12" s="109">
        <f t="shared" si="15"/>
        <v>0.22938755009117412</v>
      </c>
      <c r="BP12" s="352">
        <v>43338</v>
      </c>
      <c r="BQ12" s="205">
        <v>0</v>
      </c>
      <c r="BR12" s="356">
        <f t="shared" si="38"/>
        <v>89942</v>
      </c>
      <c r="BS12" s="352">
        <v>75104</v>
      </c>
      <c r="BT12" s="352">
        <v>165046</v>
      </c>
      <c r="BU12" s="109">
        <f t="shared" si="16"/>
        <v>1.8021466866121443</v>
      </c>
      <c r="BV12" s="108">
        <f t="shared" si="39"/>
        <v>6891.2734864300628</v>
      </c>
      <c r="BW12" s="109">
        <f t="shared" si="18"/>
        <v>19.8754816955684</v>
      </c>
      <c r="BX12" s="109">
        <f t="shared" si="19"/>
        <v>4.8319817314166933</v>
      </c>
      <c r="BY12" s="109">
        <f t="shared" si="40"/>
        <v>0.52391397508134274</v>
      </c>
      <c r="BZ12">
        <v>192</v>
      </c>
      <c r="CA12">
        <v>125</v>
      </c>
      <c r="CB12">
        <v>93</v>
      </c>
      <c r="CC12" s="113">
        <f t="shared" si="41"/>
        <v>410</v>
      </c>
      <c r="CD12" s="352">
        <v>13855</v>
      </c>
      <c r="CE12" s="352">
        <v>1764</v>
      </c>
      <c r="CF12" s="352">
        <v>1839</v>
      </c>
      <c r="CG12" s="116">
        <f t="shared" si="42"/>
        <v>17458</v>
      </c>
      <c r="CH12" s="109">
        <f t="shared" si="22"/>
        <v>0.19062489763384033</v>
      </c>
      <c r="CI12" s="352">
        <v>34157</v>
      </c>
      <c r="CJ12" s="109">
        <f t="shared" si="23"/>
        <v>0.37296223098173242</v>
      </c>
      <c r="CK12" s="352">
        <v>16553</v>
      </c>
      <c r="CL12" s="208" t="s">
        <v>7</v>
      </c>
      <c r="CM12" s="208" t="s">
        <v>7</v>
      </c>
      <c r="CN12" s="208" t="s">
        <v>7</v>
      </c>
      <c r="CO12">
        <v>4</v>
      </c>
      <c r="CP12" s="108">
        <f>C12/CO12</f>
        <v>22895.75</v>
      </c>
      <c r="CQ12">
        <v>3</v>
      </c>
      <c r="CR12">
        <v>16.95</v>
      </c>
      <c r="CS12">
        <v>23.95</v>
      </c>
      <c r="CT12" s="108">
        <f t="shared" si="24"/>
        <v>3823.9248434237998</v>
      </c>
      <c r="CU12">
        <v>874</v>
      </c>
      <c r="CV12" s="353">
        <v>89295</v>
      </c>
      <c r="CW12" s="209">
        <v>40</v>
      </c>
      <c r="CX12" s="208" t="s">
        <v>7</v>
      </c>
      <c r="CY12" s="208" t="s">
        <v>7</v>
      </c>
      <c r="CZ12">
        <v>80</v>
      </c>
      <c r="DA12">
        <v>71</v>
      </c>
      <c r="DB12">
        <v>37</v>
      </c>
      <c r="DC12" s="352">
        <v>8248</v>
      </c>
      <c r="DD12">
        <v>-1</v>
      </c>
      <c r="DE12" s="352">
        <v>274416</v>
      </c>
      <c r="DF12" s="205">
        <v>8996</v>
      </c>
      <c r="DG12" s="205">
        <v>52</v>
      </c>
      <c r="DH12" s="209">
        <f t="shared" si="25"/>
        <v>9.8227837043992877E-2</v>
      </c>
      <c r="DI12" s="205">
        <v>49</v>
      </c>
      <c r="DJ12" s="205">
        <v>49</v>
      </c>
      <c r="DK12" s="108">
        <v>7306</v>
      </c>
      <c r="DL12" s="343">
        <v>8304</v>
      </c>
      <c r="DM12" s="204"/>
      <c r="DN12" t="s">
        <v>1042</v>
      </c>
      <c r="DO12" t="s">
        <v>125</v>
      </c>
      <c r="DP12" s="208"/>
      <c r="DQ12" s="206"/>
      <c r="DR12" s="368" t="s">
        <v>967</v>
      </c>
      <c r="DS12" s="204" t="s">
        <v>967</v>
      </c>
      <c r="DT12" s="227">
        <v>44013</v>
      </c>
      <c r="DU12" s="227">
        <v>44377</v>
      </c>
      <c r="DV12" t="s">
        <v>1179</v>
      </c>
      <c r="DW12" s="109">
        <f t="shared" si="26"/>
        <v>0.47321009357631877</v>
      </c>
      <c r="DX12" s="109">
        <f t="shared" si="27"/>
        <v>0</v>
      </c>
      <c r="DY12" s="109">
        <f t="shared" si="28"/>
        <v>0.98208182741338457</v>
      </c>
      <c r="DZ12" s="109">
        <f t="shared" si="29"/>
        <v>0.8200648591987596</v>
      </c>
      <c r="EA12" s="110">
        <f t="shared" si="44"/>
        <v>0.67712334933973595</v>
      </c>
      <c r="EB12" s="199">
        <f t="shared" si="43"/>
        <v>0.50330208777162333</v>
      </c>
    </row>
    <row r="13" spans="1:132" ht="16.5" x14ac:dyDescent="0.3">
      <c r="A13" s="216" t="s">
        <v>968</v>
      </c>
      <c r="B13" t="s">
        <v>1180</v>
      </c>
      <c r="C13" s="352">
        <v>213290</v>
      </c>
      <c r="D13">
        <v>4</v>
      </c>
      <c r="E13"/>
      <c r="F13" s="221">
        <v>57742</v>
      </c>
      <c r="H13" s="108">
        <f t="shared" si="0"/>
        <v>57742</v>
      </c>
      <c r="I13" s="109">
        <v>0.27588000000000001</v>
      </c>
      <c r="J13" s="220">
        <v>2272775.79</v>
      </c>
      <c r="K13" s="220">
        <v>909123</v>
      </c>
      <c r="L13" s="115">
        <f t="shared" si="31"/>
        <v>3181898.79</v>
      </c>
      <c r="M13" s="110">
        <f t="shared" si="1"/>
        <v>14.918180833606826</v>
      </c>
      <c r="N13" s="220">
        <v>245750</v>
      </c>
      <c r="O13" s="220">
        <v>179000</v>
      </c>
      <c r="P13" s="220">
        <v>70250</v>
      </c>
      <c r="Q13" s="220">
        <v>495000</v>
      </c>
      <c r="R13" s="110">
        <f t="shared" si="2"/>
        <v>2.3207839092315625</v>
      </c>
      <c r="S13" s="220">
        <v>108437.81</v>
      </c>
      <c r="T13" s="220">
        <v>3785336.6</v>
      </c>
      <c r="U13" s="207">
        <v>0</v>
      </c>
      <c r="V13" s="220">
        <v>3785336.6</v>
      </c>
      <c r="W13" s="110">
        <f t="shared" si="3"/>
        <v>17.747370247081438</v>
      </c>
      <c r="X13" s="111">
        <f t="shared" si="32"/>
        <v>0.84058542904744582</v>
      </c>
      <c r="Y13" s="111">
        <f t="shared" si="33"/>
        <v>0.1307677631627264</v>
      </c>
      <c r="Z13" s="111">
        <f t="shared" si="34"/>
        <v>2.8646807789827724E-2</v>
      </c>
      <c r="AA13" s="111">
        <f t="shared" si="35"/>
        <v>0</v>
      </c>
      <c r="AB13" s="220">
        <v>133000</v>
      </c>
      <c r="AE13" s="207"/>
      <c r="AF13" s="353">
        <v>0</v>
      </c>
      <c r="AG13" s="353">
        <v>3836645</v>
      </c>
      <c r="AH13" s="207"/>
      <c r="AI13" s="115">
        <f t="shared" si="8"/>
        <v>3836645</v>
      </c>
      <c r="AJ13" s="110">
        <f t="shared" si="9"/>
        <v>17.987927235219654</v>
      </c>
      <c r="AK13" s="353">
        <v>196499</v>
      </c>
      <c r="AL13" s="207">
        <v>18544</v>
      </c>
      <c r="AM13" s="353"/>
      <c r="AN13" s="353">
        <v>0</v>
      </c>
      <c r="AO13" s="115">
        <f t="shared" si="36"/>
        <v>0</v>
      </c>
      <c r="AP13" s="353">
        <v>4104544</v>
      </c>
      <c r="AQ13" s="112">
        <f t="shared" si="11"/>
        <v>19.243958929157486</v>
      </c>
      <c r="AR13" s="207"/>
      <c r="AS13" s="220">
        <v>0</v>
      </c>
      <c r="AT13" s="207">
        <v>0</v>
      </c>
      <c r="AU13" s="220">
        <v>0</v>
      </c>
      <c r="AV13" s="220">
        <v>0</v>
      </c>
      <c r="AW13" s="207"/>
      <c r="AX13" s="220">
        <v>0</v>
      </c>
      <c r="AY13" s="115">
        <f t="shared" si="37"/>
        <v>0</v>
      </c>
      <c r="AZ13" s="352">
        <v>209024</v>
      </c>
      <c r="BA13" s="109">
        <f t="shared" si="13"/>
        <v>0.9799990623095316</v>
      </c>
      <c r="BB13" s="352">
        <v>6589</v>
      </c>
      <c r="BC13" s="352">
        <v>51653</v>
      </c>
      <c r="BD13" s="352">
        <v>10710</v>
      </c>
      <c r="BE13" s="352">
        <v>5900</v>
      </c>
      <c r="BF13" s="352">
        <v>155774</v>
      </c>
      <c r="BG13" s="221">
        <v>7</v>
      </c>
      <c r="BH13" s="221">
        <v>89</v>
      </c>
      <c r="BI13" s="205">
        <v>0</v>
      </c>
      <c r="BJ13">
        <v>91</v>
      </c>
      <c r="BK13" s="352">
        <v>443665</v>
      </c>
      <c r="BL13" s="109">
        <f t="shared" si="14"/>
        <v>2.080102208261053</v>
      </c>
      <c r="BM13">
        <v>54</v>
      </c>
      <c r="BN13" s="352">
        <v>33876</v>
      </c>
      <c r="BO13" s="109">
        <f t="shared" si="15"/>
        <v>0.15882601153359277</v>
      </c>
      <c r="BP13" s="352">
        <v>255936</v>
      </c>
      <c r="BQ13" s="205">
        <v>0</v>
      </c>
      <c r="BR13" s="356">
        <f t="shared" si="38"/>
        <v>463153</v>
      </c>
      <c r="BS13" s="352">
        <v>253844</v>
      </c>
      <c r="BT13" s="352">
        <v>716997</v>
      </c>
      <c r="BU13" s="109">
        <f t="shared" si="16"/>
        <v>3.361606263772329</v>
      </c>
      <c r="BV13" s="108">
        <f t="shared" si="39"/>
        <v>12895.629496402877</v>
      </c>
      <c r="BW13" s="109">
        <f t="shared" si="18"/>
        <v>93.44415482861983</v>
      </c>
      <c r="BX13" s="109">
        <f t="shared" si="19"/>
        <v>6.457221851978602</v>
      </c>
      <c r="BY13" s="109">
        <f t="shared" si="40"/>
        <v>1.616077445820608</v>
      </c>
      <c r="BZ13">
        <v>43</v>
      </c>
      <c r="CA13">
        <v>9</v>
      </c>
      <c r="CB13">
        <v>5</v>
      </c>
      <c r="CC13" s="113">
        <f t="shared" si="41"/>
        <v>57</v>
      </c>
      <c r="CD13">
        <v>830</v>
      </c>
      <c r="CE13">
        <v>50</v>
      </c>
      <c r="CF13">
        <v>30</v>
      </c>
      <c r="CG13" s="116">
        <f t="shared" si="42"/>
        <v>910</v>
      </c>
      <c r="CH13" s="109">
        <f t="shared" si="22"/>
        <v>4.2664916311125701E-3</v>
      </c>
      <c r="CI13" s="352">
        <v>111038</v>
      </c>
      <c r="CJ13" s="109">
        <f t="shared" si="23"/>
        <v>0.52059637113788737</v>
      </c>
      <c r="CK13" s="352">
        <v>72189</v>
      </c>
      <c r="CL13" s="208" t="s">
        <v>7</v>
      </c>
      <c r="CM13" s="208" t="s">
        <v>7</v>
      </c>
      <c r="CN13" s="208" t="s">
        <v>7</v>
      </c>
      <c r="CO13">
        <v>11</v>
      </c>
      <c r="CP13" s="108">
        <f>C13/CO13</f>
        <v>19390</v>
      </c>
      <c r="CQ13">
        <v>0</v>
      </c>
      <c r="CR13">
        <v>44.6</v>
      </c>
      <c r="CS13">
        <v>55.6</v>
      </c>
      <c r="CT13" s="108">
        <f t="shared" si="24"/>
        <v>3836.1510791366904</v>
      </c>
      <c r="CU13">
        <v>0</v>
      </c>
      <c r="CV13" s="353">
        <v>95472</v>
      </c>
      <c r="CW13" s="209">
        <v>40</v>
      </c>
      <c r="CX13" s="208" t="s">
        <v>7</v>
      </c>
      <c r="CY13" s="208" t="s">
        <v>7</v>
      </c>
      <c r="CZ13">
        <v>147</v>
      </c>
      <c r="DA13">
        <v>187</v>
      </c>
      <c r="DB13">
        <v>64</v>
      </c>
      <c r="DC13" s="352">
        <v>9466</v>
      </c>
      <c r="DD13">
        <v>-1</v>
      </c>
      <c r="DE13">
        <v>-1</v>
      </c>
      <c r="DF13" s="205">
        <v>12716</v>
      </c>
      <c r="DG13" s="205">
        <v>52</v>
      </c>
      <c r="DH13" s="209">
        <f t="shared" si="25"/>
        <v>5.9618359979370809E-2</v>
      </c>
      <c r="DI13" s="205">
        <v>54</v>
      </c>
      <c r="DJ13" s="205">
        <v>45</v>
      </c>
      <c r="DL13" s="343">
        <v>7673</v>
      </c>
      <c r="DM13" s="204"/>
      <c r="DN13" t="s">
        <v>1043</v>
      </c>
      <c r="DO13" t="s">
        <v>125</v>
      </c>
      <c r="DP13" s="208"/>
      <c r="DQ13" s="206"/>
      <c r="DR13" s="368" t="s">
        <v>968</v>
      </c>
      <c r="DS13" s="204" t="s">
        <v>968</v>
      </c>
      <c r="DT13" s="227">
        <v>44013</v>
      </c>
      <c r="DU13" s="227">
        <v>44377</v>
      </c>
      <c r="DV13" t="s">
        <v>1180</v>
      </c>
      <c r="DW13" s="109">
        <f t="shared" si="26"/>
        <v>1.1999437385718974</v>
      </c>
      <c r="DX13" s="109">
        <f t="shared" si="27"/>
        <v>0</v>
      </c>
      <c r="DY13" s="109">
        <f t="shared" si="28"/>
        <v>2.1714707674996485</v>
      </c>
      <c r="DZ13" s="109">
        <f t="shared" si="29"/>
        <v>1.1901354962726804</v>
      </c>
      <c r="EA13" s="110">
        <f t="shared" si="44"/>
        <v>0.34175185547268838</v>
      </c>
      <c r="EB13" s="199">
        <f t="shared" si="43"/>
        <v>0.70515749830604624</v>
      </c>
    </row>
    <row r="14" spans="1:132" ht="16.5" x14ac:dyDescent="0.3">
      <c r="A14" s="216" t="s">
        <v>969</v>
      </c>
      <c r="B14" t="s">
        <v>1181</v>
      </c>
      <c r="C14" s="352">
        <v>83789</v>
      </c>
      <c r="D14">
        <v>2</v>
      </c>
      <c r="E14"/>
      <c r="F14" s="221">
        <v>36297</v>
      </c>
      <c r="H14" s="108">
        <f t="shared" si="0"/>
        <v>36297</v>
      </c>
      <c r="I14" s="109">
        <v>0.41471999999999998</v>
      </c>
      <c r="J14" s="220">
        <v>873482</v>
      </c>
      <c r="K14" s="220">
        <v>254753</v>
      </c>
      <c r="L14" s="115">
        <f t="shared" si="31"/>
        <v>1128235</v>
      </c>
      <c r="M14" s="110">
        <f t="shared" si="1"/>
        <v>13.465192328348589</v>
      </c>
      <c r="N14" s="220">
        <v>128000</v>
      </c>
      <c r="O14" s="220">
        <v>25000</v>
      </c>
      <c r="P14" s="220">
        <v>12000</v>
      </c>
      <c r="Q14" s="220">
        <v>165000</v>
      </c>
      <c r="R14" s="110">
        <f t="shared" si="2"/>
        <v>1.9692322381219491</v>
      </c>
      <c r="S14" s="220">
        <v>186316</v>
      </c>
      <c r="T14" s="220">
        <v>1479551</v>
      </c>
      <c r="U14" s="207">
        <v>0</v>
      </c>
      <c r="V14" s="220">
        <v>1479551</v>
      </c>
      <c r="W14" s="110">
        <f t="shared" si="3"/>
        <v>17.65805774027617</v>
      </c>
      <c r="X14" s="111">
        <f t="shared" si="32"/>
        <v>0.76255228782245421</v>
      </c>
      <c r="Y14" s="111">
        <f t="shared" si="33"/>
        <v>0.11152031934012413</v>
      </c>
      <c r="Z14" s="111">
        <f t="shared" si="34"/>
        <v>0.12592739283742163</v>
      </c>
      <c r="AA14" s="111">
        <f t="shared" si="35"/>
        <v>0</v>
      </c>
      <c r="AB14" s="220">
        <v>0</v>
      </c>
      <c r="AE14" s="207"/>
      <c r="AF14" s="353">
        <v>0</v>
      </c>
      <c r="AG14" s="353">
        <v>1479551</v>
      </c>
      <c r="AH14" s="207"/>
      <c r="AI14" s="115">
        <f t="shared" si="8"/>
        <v>1479551</v>
      </c>
      <c r="AJ14" s="110">
        <f t="shared" si="9"/>
        <v>17.65805774027617</v>
      </c>
      <c r="AK14" s="353">
        <v>134276</v>
      </c>
      <c r="AL14" s="207">
        <v>4621</v>
      </c>
      <c r="AM14" s="353"/>
      <c r="AN14" s="353">
        <v>0</v>
      </c>
      <c r="AO14" s="115">
        <f t="shared" si="36"/>
        <v>0</v>
      </c>
      <c r="AP14" s="353">
        <v>1613827</v>
      </c>
      <c r="AQ14" s="112">
        <f t="shared" si="11"/>
        <v>19.260607000918974</v>
      </c>
      <c r="AR14" s="207"/>
      <c r="AS14" s="220">
        <v>250000</v>
      </c>
      <c r="AT14" s="207">
        <v>0</v>
      </c>
      <c r="AU14" s="220">
        <v>0</v>
      </c>
      <c r="AV14" s="220">
        <v>0</v>
      </c>
      <c r="AW14" s="207"/>
      <c r="AX14" s="220">
        <v>0</v>
      </c>
      <c r="AY14" s="115">
        <f t="shared" si="37"/>
        <v>250000</v>
      </c>
      <c r="AZ14" s="352">
        <v>92780</v>
      </c>
      <c r="BA14" s="109">
        <f t="shared" si="13"/>
        <v>1.1073052548663906</v>
      </c>
      <c r="BB14" s="352">
        <v>4437</v>
      </c>
      <c r="BC14" s="352">
        <v>52716</v>
      </c>
      <c r="BD14" s="352">
        <v>9691</v>
      </c>
      <c r="BE14" s="352">
        <v>2613</v>
      </c>
      <c r="BF14" s="352">
        <v>206483</v>
      </c>
      <c r="BG14" s="221">
        <v>3</v>
      </c>
      <c r="BH14" s="221">
        <v>89</v>
      </c>
      <c r="BI14" s="205">
        <v>0</v>
      </c>
      <c r="BJ14">
        <v>88</v>
      </c>
      <c r="BK14" s="352">
        <v>372906</v>
      </c>
      <c r="BL14" s="109">
        <f t="shared" si="14"/>
        <v>4.450536466600628</v>
      </c>
      <c r="BM14">
        <v>108</v>
      </c>
      <c r="BN14" s="352">
        <v>4290</v>
      </c>
      <c r="BO14" s="109">
        <f t="shared" si="15"/>
        <v>5.120003819117068E-2</v>
      </c>
      <c r="BP14" s="352">
        <v>25372</v>
      </c>
      <c r="BQ14" s="205">
        <v>0</v>
      </c>
      <c r="BR14" s="356">
        <f t="shared" si="38"/>
        <v>87659</v>
      </c>
      <c r="BS14" s="352">
        <v>39301</v>
      </c>
      <c r="BT14" s="352">
        <v>126960</v>
      </c>
      <c r="BU14" s="109">
        <f t="shared" si="16"/>
        <v>1.5152346966785617</v>
      </c>
      <c r="BV14" s="108">
        <f t="shared" si="39"/>
        <v>6045.7142857142853</v>
      </c>
      <c r="BW14" s="109">
        <f t="shared" si="18"/>
        <v>23.201754385964911</v>
      </c>
      <c r="BX14" s="109">
        <f t="shared" si="19"/>
        <v>2.1522656766515791</v>
      </c>
      <c r="BY14" s="109">
        <f t="shared" si="40"/>
        <v>0.34046113497771557</v>
      </c>
      <c r="BZ14">
        <v>99</v>
      </c>
      <c r="CA14">
        <v>1</v>
      </c>
      <c r="CB14">
        <v>22</v>
      </c>
      <c r="CC14" s="113">
        <f t="shared" si="41"/>
        <v>122</v>
      </c>
      <c r="CD14" s="352">
        <v>12007</v>
      </c>
      <c r="CE14">
        <v>19</v>
      </c>
      <c r="CF14">
        <v>62</v>
      </c>
      <c r="CG14" s="116">
        <f t="shared" si="42"/>
        <v>12088</v>
      </c>
      <c r="CH14" s="109">
        <f t="shared" si="22"/>
        <v>0.14426714723889772</v>
      </c>
      <c r="CI14" s="352">
        <v>58989</v>
      </c>
      <c r="CJ14" s="109">
        <f t="shared" si="23"/>
        <v>0.70401842723985253</v>
      </c>
      <c r="CK14" s="352">
        <v>17242</v>
      </c>
      <c r="CL14" s="208" t="s">
        <v>7</v>
      </c>
      <c r="CM14" s="208" t="s">
        <v>7</v>
      </c>
      <c r="CN14" s="208" t="s">
        <v>7</v>
      </c>
      <c r="CO14">
        <v>1</v>
      </c>
      <c r="CP14" s="108">
        <f>C14/CO14</f>
        <v>83789</v>
      </c>
      <c r="CQ14">
        <v>3</v>
      </c>
      <c r="CR14">
        <v>17</v>
      </c>
      <c r="CS14">
        <v>21</v>
      </c>
      <c r="CT14" s="108">
        <f t="shared" si="24"/>
        <v>3989.9523809523807</v>
      </c>
      <c r="CU14">
        <v>0</v>
      </c>
      <c r="CV14" s="353">
        <v>69699</v>
      </c>
      <c r="CW14" s="209">
        <v>40</v>
      </c>
      <c r="CX14" s="208" t="s">
        <v>7</v>
      </c>
      <c r="CY14" s="208" t="s">
        <v>7</v>
      </c>
      <c r="CZ14" s="352">
        <v>13818</v>
      </c>
      <c r="DA14" s="352">
        <v>9471</v>
      </c>
      <c r="DB14">
        <v>43</v>
      </c>
      <c r="DC14" s="352">
        <v>1190</v>
      </c>
      <c r="DD14">
        <v>-1</v>
      </c>
      <c r="DE14" s="352">
        <v>25523</v>
      </c>
      <c r="DF14" s="205">
        <v>7904</v>
      </c>
      <c r="DG14" s="205">
        <v>0</v>
      </c>
      <c r="DH14" s="209">
        <f t="shared" si="25"/>
        <v>9.4332191576459917E-2</v>
      </c>
      <c r="DI14" s="205">
        <v>0</v>
      </c>
      <c r="DJ14" s="205">
        <v>0</v>
      </c>
      <c r="DK14" s="108">
        <v>28160</v>
      </c>
      <c r="DL14" s="343">
        <v>5472</v>
      </c>
      <c r="DM14" s="204"/>
      <c r="DN14" t="s">
        <v>1044</v>
      </c>
      <c r="DO14" t="s">
        <v>125</v>
      </c>
      <c r="DP14" s="208"/>
      <c r="DQ14" s="206"/>
      <c r="DR14" s="368" t="s">
        <v>969</v>
      </c>
      <c r="DS14" s="204" t="s">
        <v>969</v>
      </c>
      <c r="DT14" s="227">
        <v>44013</v>
      </c>
      <c r="DU14" s="227">
        <v>44377</v>
      </c>
      <c r="DV14" t="s">
        <v>1181</v>
      </c>
      <c r="DW14" s="109">
        <f t="shared" si="26"/>
        <v>0.30280824451897026</v>
      </c>
      <c r="DX14" s="109">
        <f t="shared" si="27"/>
        <v>0</v>
      </c>
      <c r="DY14" s="109">
        <f t="shared" si="28"/>
        <v>1.0461874470395875</v>
      </c>
      <c r="DZ14" s="109">
        <f t="shared" si="29"/>
        <v>0.4690472496389741</v>
      </c>
      <c r="EA14" s="110">
        <f t="shared" si="44"/>
        <v>1.1324326954552291</v>
      </c>
      <c r="EB14" s="199">
        <f t="shared" si="43"/>
        <v>0.63611612936057604</v>
      </c>
    </row>
    <row r="15" spans="1:132" ht="16.5" x14ac:dyDescent="0.3">
      <c r="A15" s="114" t="s">
        <v>1254</v>
      </c>
      <c r="B15" t="s">
        <v>1253</v>
      </c>
      <c r="C15" s="352">
        <v>70986</v>
      </c>
      <c r="D15"/>
      <c r="E15"/>
      <c r="F15" s="221">
        <v>35507</v>
      </c>
      <c r="H15" s="108">
        <f t="shared" si="0"/>
        <v>35507</v>
      </c>
      <c r="I15" s="109">
        <v>0.32536999999999999</v>
      </c>
      <c r="J15" s="220">
        <v>551103</v>
      </c>
      <c r="K15" s="220">
        <v>237354</v>
      </c>
      <c r="L15" s="115">
        <f t="shared" si="31"/>
        <v>788457</v>
      </c>
      <c r="M15" s="110">
        <f t="shared" si="1"/>
        <v>11.10721832474009</v>
      </c>
      <c r="N15" s="220">
        <v>143632</v>
      </c>
      <c r="O15" s="220">
        <v>20000</v>
      </c>
      <c r="P15" s="220">
        <v>12684</v>
      </c>
      <c r="Q15" s="220">
        <v>176316</v>
      </c>
      <c r="R15" s="110">
        <f t="shared" si="2"/>
        <v>2.4838137097455837</v>
      </c>
      <c r="S15" s="220">
        <v>354713</v>
      </c>
      <c r="T15" s="220">
        <v>1319486</v>
      </c>
      <c r="U15" s="207">
        <v>2276</v>
      </c>
      <c r="V15" s="220">
        <v>1319486</v>
      </c>
      <c r="W15" s="110">
        <f t="shared" si="3"/>
        <v>18.587975093680445</v>
      </c>
      <c r="X15" s="111">
        <f t="shared" si="32"/>
        <v>0.59754859089069534</v>
      </c>
      <c r="Y15" s="111">
        <f t="shared" si="33"/>
        <v>0.13362475994440259</v>
      </c>
      <c r="Z15" s="111">
        <f t="shared" si="34"/>
        <v>0.26882664916490207</v>
      </c>
      <c r="AA15" s="111">
        <f t="shared" si="35"/>
        <v>1.7249140953371237E-3</v>
      </c>
      <c r="AB15" s="220">
        <v>0</v>
      </c>
      <c r="AE15" s="207"/>
      <c r="AF15" s="353">
        <v>0</v>
      </c>
      <c r="AG15" s="353">
        <v>1536065</v>
      </c>
      <c r="AH15" s="207"/>
      <c r="AI15" s="115">
        <f t="shared" si="8"/>
        <v>1536065</v>
      </c>
      <c r="AJ15" s="110">
        <f t="shared" si="9"/>
        <v>21.638985152001805</v>
      </c>
      <c r="AK15" s="353">
        <v>106549</v>
      </c>
      <c r="AL15" s="207">
        <v>1764</v>
      </c>
      <c r="AM15" s="353"/>
      <c r="AN15" s="353">
        <v>0</v>
      </c>
      <c r="AO15" s="115">
        <f t="shared" si="36"/>
        <v>0</v>
      </c>
      <c r="AP15" s="353">
        <v>1651113</v>
      </c>
      <c r="AQ15" s="112">
        <f t="shared" si="11"/>
        <v>23.259699095596314</v>
      </c>
      <c r="AR15" s="207"/>
      <c r="AS15" s="220">
        <v>0</v>
      </c>
      <c r="AT15" s="207">
        <v>0</v>
      </c>
      <c r="AU15" s="220">
        <v>0</v>
      </c>
      <c r="AV15" s="220">
        <v>0</v>
      </c>
      <c r="AW15" s="207"/>
      <c r="AX15" s="220">
        <v>0</v>
      </c>
      <c r="AY15" s="115">
        <f t="shared" si="37"/>
        <v>0</v>
      </c>
      <c r="AZ15" s="352">
        <v>91899</v>
      </c>
      <c r="BA15" s="109">
        <f t="shared" si="13"/>
        <v>1.294607387372158</v>
      </c>
      <c r="BB15" s="352">
        <v>4664</v>
      </c>
      <c r="BC15" s="352">
        <v>54662</v>
      </c>
      <c r="BD15" s="352">
        <v>5995</v>
      </c>
      <c r="BE15" s="352">
        <v>3141</v>
      </c>
      <c r="BF15" s="352">
        <v>208096</v>
      </c>
      <c r="BG15" s="221">
        <v>2</v>
      </c>
      <c r="BH15" s="221">
        <v>89</v>
      </c>
      <c r="BI15" s="205">
        <v>0</v>
      </c>
      <c r="BJ15">
        <v>90</v>
      </c>
      <c r="BK15" s="352">
        <v>372597</v>
      </c>
      <c r="BL15" s="109">
        <f t="shared" si="14"/>
        <v>5.2488800608570703</v>
      </c>
      <c r="BM15">
        <v>44</v>
      </c>
      <c r="BN15" s="352">
        <v>23452</v>
      </c>
      <c r="BO15" s="109">
        <f t="shared" si="15"/>
        <v>0.3303750035218212</v>
      </c>
      <c r="BP15" s="352">
        <v>44918</v>
      </c>
      <c r="BQ15" s="205">
        <v>0</v>
      </c>
      <c r="BR15" s="356">
        <f t="shared" si="38"/>
        <v>122324</v>
      </c>
      <c r="BS15" s="352">
        <v>86453</v>
      </c>
      <c r="BT15" s="352">
        <v>208777</v>
      </c>
      <c r="BU15" s="109">
        <f t="shared" si="16"/>
        <v>2.941101062181275</v>
      </c>
      <c r="BV15" s="108">
        <f t="shared" si="39"/>
        <v>8521.5102040816328</v>
      </c>
      <c r="BW15" s="109">
        <f t="shared" si="18"/>
        <v>96.432794457274824</v>
      </c>
      <c r="BX15" s="109">
        <f t="shared" si="19"/>
        <v>3.2338444857496902</v>
      </c>
      <c r="BY15" s="109">
        <f t="shared" si="40"/>
        <v>0.56032925654259158</v>
      </c>
      <c r="BZ15">
        <v>0</v>
      </c>
      <c r="CA15">
        <v>0</v>
      </c>
      <c r="CB15">
        <v>0</v>
      </c>
      <c r="CC15" s="113">
        <f t="shared" si="41"/>
        <v>0</v>
      </c>
      <c r="CD15">
        <v>868</v>
      </c>
      <c r="CE15"/>
      <c r="CF15">
        <v>239</v>
      </c>
      <c r="CG15" s="116">
        <f t="shared" si="42"/>
        <v>1107</v>
      </c>
      <c r="CH15" s="109">
        <f t="shared" si="22"/>
        <v>1.5594624292113939E-2</v>
      </c>
      <c r="CI15" s="352">
        <v>64560</v>
      </c>
      <c r="CJ15" s="109">
        <f t="shared" si="23"/>
        <v>0.90947510776772889</v>
      </c>
      <c r="CK15" s="352">
        <v>34585</v>
      </c>
      <c r="CL15" s="208" t="s">
        <v>7</v>
      </c>
      <c r="CM15" s="208" t="s">
        <v>7</v>
      </c>
      <c r="CN15" s="208" t="s">
        <v>7</v>
      </c>
      <c r="CO15">
        <v>4</v>
      </c>
      <c r="CP15" s="209">
        <v>0</v>
      </c>
      <c r="CQ15">
        <v>1</v>
      </c>
      <c r="CR15">
        <v>19.5</v>
      </c>
      <c r="CS15">
        <v>24.5</v>
      </c>
      <c r="CT15" s="108">
        <f t="shared" si="24"/>
        <v>2897.387755102041</v>
      </c>
      <c r="CU15">
        <v>0</v>
      </c>
      <c r="CV15" s="353">
        <v>71400</v>
      </c>
      <c r="CW15" s="209">
        <v>29</v>
      </c>
      <c r="CX15" s="208" t="s">
        <v>7</v>
      </c>
      <c r="CY15" s="208" t="s">
        <v>7</v>
      </c>
      <c r="CZ15" s="352">
        <v>8260</v>
      </c>
      <c r="DA15" s="352">
        <v>7487</v>
      </c>
      <c r="DB15">
        <v>26</v>
      </c>
      <c r="DC15" s="352">
        <v>6028</v>
      </c>
      <c r="DD15" s="352">
        <v>7860</v>
      </c>
      <c r="DE15" s="352">
        <v>66804</v>
      </c>
      <c r="DF15" s="205">
        <v>2340</v>
      </c>
      <c r="DG15" s="205">
        <v>52</v>
      </c>
      <c r="DH15" s="209">
        <f t="shared" si="25"/>
        <v>3.2964246471135154E-2</v>
      </c>
      <c r="DI15" s="205">
        <v>29</v>
      </c>
      <c r="DJ15" s="205">
        <v>29</v>
      </c>
      <c r="DL15" s="343">
        <v>2165</v>
      </c>
      <c r="DM15" s="204"/>
      <c r="DN15">
        <v>-3</v>
      </c>
      <c r="DO15" t="s">
        <v>125</v>
      </c>
      <c r="DP15" s="208"/>
      <c r="DQ15" s="206"/>
      <c r="DR15" s="369" t="s">
        <v>1254</v>
      </c>
      <c r="DS15" s="114" t="s">
        <v>1254</v>
      </c>
      <c r="DT15" s="227">
        <v>44013</v>
      </c>
      <c r="DU15" s="227">
        <v>44377</v>
      </c>
      <c r="DV15" t="s">
        <v>1253</v>
      </c>
      <c r="DW15" s="109">
        <f t="shared" si="26"/>
        <v>0.63277265939762772</v>
      </c>
      <c r="DX15" s="109">
        <f t="shared" si="27"/>
        <v>0</v>
      </c>
      <c r="DY15" s="109">
        <f t="shared" si="28"/>
        <v>1.7232130279209985</v>
      </c>
      <c r="DZ15" s="109">
        <f t="shared" si="29"/>
        <v>1.2178880342602767</v>
      </c>
      <c r="EA15" s="110">
        <f t="shared" si="44"/>
        <v>0.85882732806352469</v>
      </c>
      <c r="EB15" s="199">
        <v>0</v>
      </c>
    </row>
    <row r="16" spans="1:132" ht="16.5" x14ac:dyDescent="0.3">
      <c r="A16" s="216" t="s">
        <v>970</v>
      </c>
      <c r="B16" t="s">
        <v>1182</v>
      </c>
      <c r="C16" s="352">
        <v>23443</v>
      </c>
      <c r="D16"/>
      <c r="E16"/>
      <c r="F16" s="221">
        <v>15306</v>
      </c>
      <c r="H16" s="108">
        <f t="shared" si="0"/>
        <v>15306</v>
      </c>
      <c r="I16" s="109">
        <v>0.55830000000000002</v>
      </c>
      <c r="J16" s="220">
        <v>198299</v>
      </c>
      <c r="K16" s="220">
        <v>82637</v>
      </c>
      <c r="L16" s="115">
        <f t="shared" si="31"/>
        <v>280936</v>
      </c>
      <c r="M16" s="110">
        <f t="shared" si="1"/>
        <v>11.983790470502923</v>
      </c>
      <c r="N16" s="220">
        <v>13300</v>
      </c>
      <c r="O16" s="220">
        <v>4349</v>
      </c>
      <c r="P16" s="220">
        <v>0</v>
      </c>
      <c r="Q16" s="220">
        <v>17649</v>
      </c>
      <c r="R16" s="110">
        <f t="shared" si="2"/>
        <v>0.75284733182613151</v>
      </c>
      <c r="S16" s="220">
        <v>68700</v>
      </c>
      <c r="T16" s="220">
        <v>367285</v>
      </c>
      <c r="U16" s="207">
        <v>0</v>
      </c>
      <c r="V16" s="220">
        <v>367285</v>
      </c>
      <c r="W16" s="110">
        <f t="shared" si="3"/>
        <v>15.667150108774475</v>
      </c>
      <c r="X16" s="111">
        <f t="shared" si="32"/>
        <v>0.76489919272499562</v>
      </c>
      <c r="Y16" s="111">
        <f t="shared" si="33"/>
        <v>4.8052602202649168E-2</v>
      </c>
      <c r="Z16" s="111">
        <f t="shared" si="34"/>
        <v>0.18704820507235526</v>
      </c>
      <c r="AA16" s="111">
        <f t="shared" si="35"/>
        <v>0</v>
      </c>
      <c r="AB16" s="220">
        <v>0</v>
      </c>
      <c r="AE16" s="207"/>
      <c r="AF16" s="353">
        <v>0</v>
      </c>
      <c r="AG16" s="353">
        <v>274734</v>
      </c>
      <c r="AH16" s="207"/>
      <c r="AI16" s="115">
        <f t="shared" si="8"/>
        <v>274734</v>
      </c>
      <c r="AJ16" s="110">
        <f t="shared" si="9"/>
        <v>11.719233886447981</v>
      </c>
      <c r="AK16" s="353">
        <v>83382</v>
      </c>
      <c r="AL16" s="207">
        <v>38512</v>
      </c>
      <c r="AM16" s="353"/>
      <c r="AN16" s="353">
        <v>8450</v>
      </c>
      <c r="AO16" s="115">
        <f t="shared" si="36"/>
        <v>8450</v>
      </c>
      <c r="AP16" s="353">
        <v>367566</v>
      </c>
      <c r="AQ16" s="112">
        <f t="shared" si="11"/>
        <v>15.679136629270998</v>
      </c>
      <c r="AR16" s="207"/>
      <c r="AS16" s="220">
        <v>49948</v>
      </c>
      <c r="AT16" s="207">
        <v>0</v>
      </c>
      <c r="AU16" s="220">
        <v>0</v>
      </c>
      <c r="AV16" s="220">
        <v>0</v>
      </c>
      <c r="AW16" s="207"/>
      <c r="AX16" s="220">
        <v>0</v>
      </c>
      <c r="AY16" s="115">
        <f t="shared" si="37"/>
        <v>49948</v>
      </c>
      <c r="AZ16" s="352">
        <v>42524</v>
      </c>
      <c r="BA16" s="109">
        <f t="shared" si="13"/>
        <v>1.8139316640361729</v>
      </c>
      <c r="BB16">
        <v>974</v>
      </c>
      <c r="BC16" s="352">
        <v>30110</v>
      </c>
      <c r="BD16" s="352">
        <v>2529</v>
      </c>
      <c r="BE16" s="352">
        <v>2442</v>
      </c>
      <c r="BF16" s="352">
        <v>166679</v>
      </c>
      <c r="BG16" s="221">
        <v>8</v>
      </c>
      <c r="BH16" s="221">
        <v>89</v>
      </c>
      <c r="BI16" s="205">
        <v>0</v>
      </c>
      <c r="BJ16">
        <v>88</v>
      </c>
      <c r="BK16" s="352">
        <v>249004</v>
      </c>
      <c r="BL16" s="109">
        <f t="shared" si="14"/>
        <v>10.621678112869514</v>
      </c>
      <c r="BM16">
        <v>37</v>
      </c>
      <c r="BN16">
        <v>671</v>
      </c>
      <c r="BO16" s="109">
        <f t="shared" si="15"/>
        <v>2.8622616559314081E-2</v>
      </c>
      <c r="BP16" s="352">
        <v>3186</v>
      </c>
      <c r="BQ16" s="205">
        <v>0</v>
      </c>
      <c r="BR16" s="356">
        <f t="shared" si="38"/>
        <v>8115</v>
      </c>
      <c r="BS16" s="352">
        <v>2831</v>
      </c>
      <c r="BT16" s="352">
        <v>10946</v>
      </c>
      <c r="BU16" s="109">
        <f t="shared" si="16"/>
        <v>0.46691976282898945</v>
      </c>
      <c r="BV16" s="108">
        <f t="shared" si="39"/>
        <v>1616.8389955686855</v>
      </c>
      <c r="BW16" s="109">
        <f t="shared" si="18"/>
        <v>0.74604689203925845</v>
      </c>
      <c r="BX16" s="109">
        <f t="shared" si="19"/>
        <v>2.5550887021475255</v>
      </c>
      <c r="BY16" s="109">
        <f t="shared" si="40"/>
        <v>4.3959133186615477E-2</v>
      </c>
      <c r="BZ16">
        <v>23</v>
      </c>
      <c r="CA16">
        <v>41</v>
      </c>
      <c r="CB16">
        <v>50</v>
      </c>
      <c r="CC16" s="113">
        <f t="shared" si="41"/>
        <v>114</v>
      </c>
      <c r="CD16">
        <v>704</v>
      </c>
      <c r="CE16">
        <v>371</v>
      </c>
      <c r="CF16">
        <v>467</v>
      </c>
      <c r="CG16" s="116">
        <f t="shared" si="42"/>
        <v>1542</v>
      </c>
      <c r="CH16" s="109">
        <f t="shared" si="22"/>
        <v>6.5776564432879756E-2</v>
      </c>
      <c r="CI16" s="352">
        <v>4284</v>
      </c>
      <c r="CJ16" s="109">
        <f t="shared" si="23"/>
        <v>0.18274111675126903</v>
      </c>
      <c r="CK16" s="352">
        <v>4055</v>
      </c>
      <c r="CL16" s="208" t="s">
        <v>7</v>
      </c>
      <c r="CM16" s="208" t="s">
        <v>7</v>
      </c>
      <c r="CN16" s="208" t="s">
        <v>7</v>
      </c>
      <c r="CO16">
        <v>1</v>
      </c>
      <c r="CP16" s="209">
        <v>0</v>
      </c>
      <c r="CQ16">
        <v>0</v>
      </c>
      <c r="CR16">
        <v>5.77</v>
      </c>
      <c r="CS16">
        <v>6.77</v>
      </c>
      <c r="CT16" s="108">
        <f t="shared" si="24"/>
        <v>3462.7769571639587</v>
      </c>
      <c r="CU16">
        <v>50</v>
      </c>
      <c r="CV16" s="353">
        <v>60156</v>
      </c>
      <c r="CW16" s="209">
        <v>40</v>
      </c>
      <c r="CX16" s="208" t="s">
        <v>7</v>
      </c>
      <c r="CY16" s="208" t="s">
        <v>7</v>
      </c>
      <c r="CZ16" s="352">
        <v>2535</v>
      </c>
      <c r="DA16">
        <v>765</v>
      </c>
      <c r="DB16">
        <v>21</v>
      </c>
      <c r="DC16">
        <v>566</v>
      </c>
      <c r="DD16">
        <v>-1</v>
      </c>
      <c r="DE16">
        <v>-1</v>
      </c>
      <c r="DF16" s="205">
        <v>16796</v>
      </c>
      <c r="DG16" s="205">
        <v>46</v>
      </c>
      <c r="DH16" s="209">
        <f t="shared" si="25"/>
        <v>0.71646120377084843</v>
      </c>
      <c r="DI16" s="205">
        <v>51</v>
      </c>
      <c r="DJ16" s="205">
        <v>51</v>
      </c>
      <c r="DL16" s="343">
        <v>14672</v>
      </c>
      <c r="DM16" s="204"/>
      <c r="DN16" t="s">
        <v>1045</v>
      </c>
      <c r="DO16" t="s">
        <v>125</v>
      </c>
      <c r="DP16" s="208"/>
      <c r="DQ16" s="206"/>
      <c r="DR16" s="368" t="s">
        <v>970</v>
      </c>
      <c r="DS16" s="204" t="s">
        <v>970</v>
      </c>
      <c r="DT16" s="227">
        <v>44013</v>
      </c>
      <c r="DU16" s="227">
        <v>44377</v>
      </c>
      <c r="DV16" t="s">
        <v>1182</v>
      </c>
      <c r="DW16" s="109">
        <f t="shared" si="26"/>
        <v>0.1359041078360278</v>
      </c>
      <c r="DX16" s="109">
        <f t="shared" si="27"/>
        <v>0</v>
      </c>
      <c r="DY16" s="109">
        <f t="shared" si="28"/>
        <v>0.34615876807575824</v>
      </c>
      <c r="DZ16" s="109">
        <f t="shared" si="29"/>
        <v>0.12076099475323124</v>
      </c>
      <c r="EA16" s="110">
        <f t="shared" si="44"/>
        <v>1.1768870011503407</v>
      </c>
      <c r="EB16" s="199">
        <f t="shared" si="43"/>
        <v>1.5362062875309077</v>
      </c>
    </row>
    <row r="17" spans="1:132" ht="16.5" x14ac:dyDescent="0.3">
      <c r="A17" s="216" t="s">
        <v>971</v>
      </c>
      <c r="B17" t="s">
        <v>1183</v>
      </c>
      <c r="C17" s="352">
        <v>118311</v>
      </c>
      <c r="D17"/>
      <c r="E17"/>
      <c r="F17" s="221">
        <v>65401</v>
      </c>
      <c r="H17" s="108">
        <f t="shared" si="0"/>
        <v>65401</v>
      </c>
      <c r="I17" s="109">
        <v>1.0020100000000001</v>
      </c>
      <c r="J17" s="220">
        <v>1601514.76</v>
      </c>
      <c r="K17" s="220">
        <v>556582.85</v>
      </c>
      <c r="L17" s="115">
        <f t="shared" si="31"/>
        <v>2158097.61</v>
      </c>
      <c r="M17" s="110">
        <f t="shared" si="1"/>
        <v>18.240887237873061</v>
      </c>
      <c r="N17" s="220">
        <v>235482.55</v>
      </c>
      <c r="O17" s="220">
        <v>52178.35</v>
      </c>
      <c r="P17" s="220">
        <v>56166.8</v>
      </c>
      <c r="Q17" s="220">
        <v>343827.7</v>
      </c>
      <c r="R17" s="110">
        <f t="shared" si="2"/>
        <v>2.9061346789394054</v>
      </c>
      <c r="S17" s="220">
        <v>387576.61</v>
      </c>
      <c r="T17" s="220">
        <v>2889501.92</v>
      </c>
      <c r="U17" s="207">
        <v>0</v>
      </c>
      <c r="V17" s="220">
        <v>2889501.92</v>
      </c>
      <c r="W17" s="110">
        <f t="shared" si="3"/>
        <v>24.422935483598312</v>
      </c>
      <c r="X17" s="111">
        <f t="shared" si="32"/>
        <v>0.74687529884043125</v>
      </c>
      <c r="Y17" s="111">
        <f t="shared" si="33"/>
        <v>0.11899203029427301</v>
      </c>
      <c r="Z17" s="111">
        <f t="shared" si="34"/>
        <v>0.13413267086529571</v>
      </c>
      <c r="AA17" s="111">
        <f t="shared" si="35"/>
        <v>0</v>
      </c>
      <c r="AB17" s="220">
        <v>14875</v>
      </c>
      <c r="AE17" s="207"/>
      <c r="AF17" s="353">
        <v>66188</v>
      </c>
      <c r="AG17" s="353">
        <v>2588275</v>
      </c>
      <c r="AH17" s="207"/>
      <c r="AI17" s="115">
        <f t="shared" si="8"/>
        <v>2654463</v>
      </c>
      <c r="AJ17" s="110">
        <f t="shared" si="9"/>
        <v>22.436316149808555</v>
      </c>
      <c r="AK17" s="353">
        <v>148553</v>
      </c>
      <c r="AL17" s="207">
        <v>47082</v>
      </c>
      <c r="AM17" s="353"/>
      <c r="AN17" s="353">
        <v>37624</v>
      </c>
      <c r="AO17" s="115">
        <f t="shared" si="36"/>
        <v>37624</v>
      </c>
      <c r="AP17" s="353">
        <v>2916360</v>
      </c>
      <c r="AQ17" s="112">
        <f t="shared" si="11"/>
        <v>24.649948018358394</v>
      </c>
      <c r="AR17" s="207"/>
      <c r="AS17" s="220">
        <v>0</v>
      </c>
      <c r="AT17" s="207">
        <v>0</v>
      </c>
      <c r="AU17" s="220">
        <v>0</v>
      </c>
      <c r="AV17" s="220">
        <v>0</v>
      </c>
      <c r="AW17" s="207"/>
      <c r="AX17" s="220">
        <v>0</v>
      </c>
      <c r="AY17" s="115">
        <f t="shared" si="37"/>
        <v>0</v>
      </c>
      <c r="AZ17" s="352">
        <v>141118</v>
      </c>
      <c r="BA17" s="109">
        <f t="shared" si="13"/>
        <v>1.1927715935120149</v>
      </c>
      <c r="BB17" s="352">
        <v>7333</v>
      </c>
      <c r="BC17" s="352">
        <v>52773</v>
      </c>
      <c r="BD17" s="352">
        <v>22624</v>
      </c>
      <c r="BE17" s="352">
        <v>2613</v>
      </c>
      <c r="BF17" s="352">
        <v>206546</v>
      </c>
      <c r="BG17" s="221">
        <v>2</v>
      </c>
      <c r="BH17" s="221">
        <v>89</v>
      </c>
      <c r="BI17" s="205">
        <v>0</v>
      </c>
      <c r="BJ17">
        <v>93</v>
      </c>
      <c r="BK17" s="352">
        <v>446114</v>
      </c>
      <c r="BL17" s="109">
        <f t="shared" si="14"/>
        <v>3.7706891159740006</v>
      </c>
      <c r="BM17">
        <v>209</v>
      </c>
      <c r="BN17" s="352">
        <v>31628</v>
      </c>
      <c r="BO17" s="109">
        <f t="shared" si="15"/>
        <v>0.26732932694339495</v>
      </c>
      <c r="BP17" s="352">
        <v>177873</v>
      </c>
      <c r="BQ17" s="205">
        <v>0</v>
      </c>
      <c r="BR17" s="356">
        <f t="shared" si="38"/>
        <v>397664</v>
      </c>
      <c r="BS17" s="352">
        <v>137672</v>
      </c>
      <c r="BT17" s="352">
        <v>535336</v>
      </c>
      <c r="BU17" s="109">
        <f t="shared" si="16"/>
        <v>4.524820177329242</v>
      </c>
      <c r="BV17" s="108">
        <f t="shared" si="39"/>
        <v>14953.519553072627</v>
      </c>
      <c r="BW17" s="109">
        <f t="shared" si="18"/>
        <v>217.26298701298703</v>
      </c>
      <c r="BX17" s="109">
        <f t="shared" si="19"/>
        <v>2.9595378279017055</v>
      </c>
      <c r="BY17" s="109">
        <f t="shared" si="40"/>
        <v>1.1999982067363948</v>
      </c>
      <c r="BZ17">
        <v>34</v>
      </c>
      <c r="CA17">
        <v>3</v>
      </c>
      <c r="CB17">
        <v>38</v>
      </c>
      <c r="CC17" s="113">
        <f t="shared" si="41"/>
        <v>75</v>
      </c>
      <c r="CD17" s="352">
        <v>3459</v>
      </c>
      <c r="CE17">
        <v>154</v>
      </c>
      <c r="CF17" s="352">
        <v>1396</v>
      </c>
      <c r="CG17" s="116">
        <f t="shared" si="42"/>
        <v>5009</v>
      </c>
      <c r="CH17" s="109">
        <f t="shared" si="22"/>
        <v>4.2337567935356812E-2</v>
      </c>
      <c r="CI17" s="352">
        <v>180885</v>
      </c>
      <c r="CJ17" s="109">
        <f t="shared" si="23"/>
        <v>1.5288941856632097</v>
      </c>
      <c r="CK17" s="352">
        <v>98785</v>
      </c>
      <c r="CL17" s="208" t="s">
        <v>7</v>
      </c>
      <c r="CM17" s="208" t="s">
        <v>7</v>
      </c>
      <c r="CN17" s="208" t="s">
        <v>7</v>
      </c>
      <c r="CO17">
        <v>14</v>
      </c>
      <c r="CP17" s="209">
        <v>0</v>
      </c>
      <c r="CQ17">
        <v>0</v>
      </c>
      <c r="CR17">
        <v>21.8</v>
      </c>
      <c r="CS17">
        <v>35.799999999999997</v>
      </c>
      <c r="CT17" s="108">
        <f t="shared" si="24"/>
        <v>3304.7765363128492</v>
      </c>
      <c r="CU17">
        <v>796</v>
      </c>
      <c r="CV17" s="353">
        <v>91800</v>
      </c>
      <c r="CW17" s="209">
        <v>40</v>
      </c>
      <c r="CX17" s="208" t="s">
        <v>7</v>
      </c>
      <c r="CY17" s="208" t="s">
        <v>7</v>
      </c>
      <c r="CZ17">
        <v>184</v>
      </c>
      <c r="DA17">
        <v>0</v>
      </c>
      <c r="DB17">
        <v>191</v>
      </c>
      <c r="DC17" s="352">
        <v>22773</v>
      </c>
      <c r="DD17">
        <v>-1</v>
      </c>
      <c r="DE17" s="352">
        <v>66187</v>
      </c>
      <c r="DF17" s="205">
        <v>3484</v>
      </c>
      <c r="DG17" s="205">
        <v>52</v>
      </c>
      <c r="DH17" s="209">
        <f t="shared" si="25"/>
        <v>2.9447811277057923E-2</v>
      </c>
      <c r="DI17" s="205">
        <v>38</v>
      </c>
      <c r="DJ17" s="205">
        <v>38</v>
      </c>
      <c r="DL17" s="343">
        <v>2464</v>
      </c>
      <c r="DM17" s="204"/>
      <c r="DN17" t="s">
        <v>1046</v>
      </c>
      <c r="DO17" t="s">
        <v>125</v>
      </c>
      <c r="DP17" s="208"/>
      <c r="DQ17" s="206"/>
      <c r="DR17" s="368" t="s">
        <v>971</v>
      </c>
      <c r="DS17" s="204" t="s">
        <v>971</v>
      </c>
      <c r="DT17" s="227">
        <v>44013</v>
      </c>
      <c r="DU17" s="227">
        <v>44377</v>
      </c>
      <c r="DV17" t="s">
        <v>1183</v>
      </c>
      <c r="DW17" s="109">
        <f t="shared" si="26"/>
        <v>1.5034358597256383</v>
      </c>
      <c r="DX17" s="109">
        <f t="shared" si="27"/>
        <v>0</v>
      </c>
      <c r="DY17" s="109">
        <f t="shared" si="28"/>
        <v>3.361175207715259</v>
      </c>
      <c r="DZ17" s="109">
        <f t="shared" si="29"/>
        <v>1.1636449696139834</v>
      </c>
      <c r="EA17" s="110">
        <f t="shared" si="44"/>
        <v>0.4091527564691757</v>
      </c>
      <c r="EB17" s="199">
        <v>0</v>
      </c>
    </row>
    <row r="18" spans="1:132" ht="16.5" x14ac:dyDescent="0.3">
      <c r="A18" s="216" t="s">
        <v>1128</v>
      </c>
      <c r="B18" t="s">
        <v>1184</v>
      </c>
      <c r="C18" s="352">
        <v>63639</v>
      </c>
      <c r="D18"/>
      <c r="E18"/>
      <c r="F18" s="221">
        <v>63305</v>
      </c>
      <c r="H18" s="108">
        <f t="shared" si="0"/>
        <v>63305</v>
      </c>
      <c r="I18" s="109">
        <v>0.49358000000000002</v>
      </c>
      <c r="J18" s="220">
        <v>1763553</v>
      </c>
      <c r="K18" s="220">
        <v>669566</v>
      </c>
      <c r="L18" s="115">
        <f t="shared" si="31"/>
        <v>2433119</v>
      </c>
      <c r="M18" s="110">
        <f t="shared" si="1"/>
        <v>38.233143198353211</v>
      </c>
      <c r="N18" s="220">
        <v>134222</v>
      </c>
      <c r="O18" s="220">
        <v>41394</v>
      </c>
      <c r="P18" s="220">
        <v>26536</v>
      </c>
      <c r="Q18" s="220">
        <v>202152</v>
      </c>
      <c r="R18" s="110">
        <f t="shared" si="2"/>
        <v>3.1765426860887191</v>
      </c>
      <c r="S18" s="220">
        <v>576869</v>
      </c>
      <c r="T18" s="220">
        <v>3212140</v>
      </c>
      <c r="U18" s="207">
        <v>0</v>
      </c>
      <c r="V18" s="220">
        <v>3212140</v>
      </c>
      <c r="W18" s="110">
        <f t="shared" si="3"/>
        <v>50.474394632222378</v>
      </c>
      <c r="X18" s="111">
        <f t="shared" si="32"/>
        <v>0.75747601287615107</v>
      </c>
      <c r="Y18" s="111">
        <f t="shared" si="33"/>
        <v>6.2933745104509761E-2</v>
      </c>
      <c r="Z18" s="111">
        <f t="shared" si="34"/>
        <v>0.17959024201933912</v>
      </c>
      <c r="AA18" s="111">
        <f t="shared" si="35"/>
        <v>0</v>
      </c>
      <c r="AB18" s="220">
        <v>177499</v>
      </c>
      <c r="AE18" s="207"/>
      <c r="AF18" s="353">
        <v>2415870</v>
      </c>
      <c r="AG18" s="353">
        <v>568139</v>
      </c>
      <c r="AH18" s="207"/>
      <c r="AI18" s="115">
        <f t="shared" si="8"/>
        <v>2984009</v>
      </c>
      <c r="AJ18" s="110">
        <f t="shared" si="9"/>
        <v>46.889627429720768</v>
      </c>
      <c r="AK18" s="353">
        <v>48068</v>
      </c>
      <c r="AL18" s="207">
        <v>140654</v>
      </c>
      <c r="AM18" s="353"/>
      <c r="AN18" s="353">
        <v>52599</v>
      </c>
      <c r="AO18" s="115">
        <f t="shared" si="36"/>
        <v>52599</v>
      </c>
      <c r="AP18" s="353">
        <v>3230141</v>
      </c>
      <c r="AQ18" s="112">
        <f t="shared" si="11"/>
        <v>50.757255770832352</v>
      </c>
      <c r="AR18" s="207"/>
      <c r="AS18" s="220">
        <v>11006794</v>
      </c>
      <c r="AT18" s="207">
        <v>0</v>
      </c>
      <c r="AU18" s="220">
        <v>0</v>
      </c>
      <c r="AV18" s="220">
        <v>0</v>
      </c>
      <c r="AW18" s="207"/>
      <c r="AX18" s="220">
        <v>0</v>
      </c>
      <c r="AY18" s="115">
        <f t="shared" si="37"/>
        <v>11006794</v>
      </c>
      <c r="AZ18" s="352">
        <v>191132</v>
      </c>
      <c r="BA18" s="109">
        <f t="shared" si="13"/>
        <v>3.0033784314649821</v>
      </c>
      <c r="BB18" s="352">
        <v>8320</v>
      </c>
      <c r="BC18" s="352">
        <v>53227</v>
      </c>
      <c r="BD18" s="352">
        <v>12795</v>
      </c>
      <c r="BE18" s="352">
        <v>2613</v>
      </c>
      <c r="BF18" s="352">
        <v>207918</v>
      </c>
      <c r="BG18" s="221">
        <v>32</v>
      </c>
      <c r="BH18" s="221">
        <v>89</v>
      </c>
      <c r="BI18" s="205">
        <v>0</v>
      </c>
      <c r="BJ18">
        <v>87</v>
      </c>
      <c r="BK18" s="352">
        <v>479953</v>
      </c>
      <c r="BL18" s="109">
        <f t="shared" si="14"/>
        <v>7.5418061251748139</v>
      </c>
      <c r="BM18">
        <v>149</v>
      </c>
      <c r="BN18">
        <v>-1</v>
      </c>
      <c r="BO18" s="109">
        <f t="shared" si="15"/>
        <v>-1.5713634720847279E-5</v>
      </c>
      <c r="BP18" s="352">
        <v>302223</v>
      </c>
      <c r="BQ18" s="205">
        <v>0</v>
      </c>
      <c r="BR18" s="356">
        <f t="shared" si="38"/>
        <v>560217</v>
      </c>
      <c r="BS18" s="352">
        <v>359484</v>
      </c>
      <c r="BT18" s="352">
        <v>919701</v>
      </c>
      <c r="BU18" s="109">
        <f t="shared" si="16"/>
        <v>14.451845566397964</v>
      </c>
      <c r="BV18" s="108">
        <f t="shared" si="39"/>
        <v>24910.644637053087</v>
      </c>
      <c r="BW18" s="109">
        <f t="shared" si="18"/>
        <v>19.880268903203493</v>
      </c>
      <c r="BX18" s="109">
        <f t="shared" si="19"/>
        <v>54.474974826748799</v>
      </c>
      <c r="BY18" s="109">
        <f t="shared" si="40"/>
        <v>1.9162313809893885</v>
      </c>
      <c r="BZ18">
        <v>64</v>
      </c>
      <c r="CA18">
        <v>2</v>
      </c>
      <c r="CB18">
        <v>10</v>
      </c>
      <c r="CC18" s="113">
        <f t="shared" si="41"/>
        <v>76</v>
      </c>
      <c r="CD18" s="352">
        <v>1307</v>
      </c>
      <c r="CE18">
        <v>371</v>
      </c>
      <c r="CF18">
        <v>200</v>
      </c>
      <c r="CG18" s="116">
        <f t="shared" si="42"/>
        <v>1878</v>
      </c>
      <c r="CH18" s="109">
        <f t="shared" si="22"/>
        <v>2.9510206005751192E-2</v>
      </c>
      <c r="CI18" s="352">
        <v>16883</v>
      </c>
      <c r="CJ18" s="109">
        <f t="shared" si="23"/>
        <v>0.26529329499206461</v>
      </c>
      <c r="CK18" s="352">
        <v>63065</v>
      </c>
      <c r="CL18" s="208" t="s">
        <v>7</v>
      </c>
      <c r="CM18" s="208" t="s">
        <v>7</v>
      </c>
      <c r="CN18" s="208" t="s">
        <v>7</v>
      </c>
      <c r="CO18">
        <v>7</v>
      </c>
      <c r="CP18" s="108">
        <f>C18/CO18</f>
        <v>9091.2857142857138</v>
      </c>
      <c r="CQ18">
        <v>0</v>
      </c>
      <c r="CR18">
        <v>29.92</v>
      </c>
      <c r="CS18">
        <v>36.92</v>
      </c>
      <c r="CT18" s="108">
        <f t="shared" si="24"/>
        <v>1723.6998916576381</v>
      </c>
      <c r="CU18">
        <v>202</v>
      </c>
      <c r="CV18" s="353">
        <v>143787</v>
      </c>
      <c r="CW18" s="209">
        <v>40</v>
      </c>
      <c r="CX18" s="208" t="s">
        <v>7</v>
      </c>
      <c r="CY18" s="208" t="s">
        <v>7</v>
      </c>
      <c r="CZ18">
        <v>0</v>
      </c>
      <c r="DA18">
        <v>0</v>
      </c>
      <c r="DB18">
        <v>60</v>
      </c>
      <c r="DC18" s="352">
        <v>1185</v>
      </c>
      <c r="DD18">
        <v>-1</v>
      </c>
      <c r="DE18" s="352">
        <v>808151</v>
      </c>
      <c r="DF18" s="205">
        <v>57846</v>
      </c>
      <c r="DG18" s="205">
        <v>52</v>
      </c>
      <c r="DH18" s="209">
        <f t="shared" si="25"/>
        <v>0.90897091406213171</v>
      </c>
      <c r="DI18" s="205">
        <v>72</v>
      </c>
      <c r="DJ18" s="205">
        <v>72</v>
      </c>
      <c r="DK18" s="108">
        <v>16370</v>
      </c>
      <c r="DL18" s="343">
        <v>46262</v>
      </c>
      <c r="DM18" s="204"/>
      <c r="DN18" t="s">
        <v>1047</v>
      </c>
      <c r="DO18" t="s">
        <v>1031</v>
      </c>
      <c r="DP18" s="208"/>
      <c r="DQ18" s="206"/>
      <c r="DR18" s="367" t="s">
        <v>1128</v>
      </c>
      <c r="DS18" s="204" t="s">
        <v>972</v>
      </c>
      <c r="DT18" s="227">
        <v>44013</v>
      </c>
      <c r="DU18" s="227">
        <v>44377</v>
      </c>
      <c r="DV18" t="s">
        <v>1184</v>
      </c>
      <c r="DW18" s="109">
        <f t="shared" si="26"/>
        <v>4.7490218262386277</v>
      </c>
      <c r="DX18" s="109">
        <f t="shared" si="27"/>
        <v>0</v>
      </c>
      <c r="DY18" s="109">
        <f t="shared" si="28"/>
        <v>8.8030453024089006</v>
      </c>
      <c r="DZ18" s="109">
        <f t="shared" si="29"/>
        <v>5.6488002639890631</v>
      </c>
      <c r="EA18" s="110">
        <f t="shared" si="44"/>
        <v>0.15563053661704002</v>
      </c>
      <c r="EB18" s="199">
        <f t="shared" si="43"/>
        <v>0.115148379343726</v>
      </c>
    </row>
    <row r="19" spans="1:132" ht="30.75" x14ac:dyDescent="0.3">
      <c r="A19" s="216" t="s">
        <v>1129</v>
      </c>
      <c r="B19" t="s">
        <v>1185</v>
      </c>
      <c r="C19" s="352">
        <v>1099845</v>
      </c>
      <c r="D19">
        <v>19</v>
      </c>
      <c r="E19"/>
      <c r="F19" s="221">
        <v>539827</v>
      </c>
      <c r="H19" s="108">
        <f t="shared" si="0"/>
        <v>539827</v>
      </c>
      <c r="I19" s="109">
        <v>0.46986</v>
      </c>
      <c r="J19" s="220">
        <v>19984020</v>
      </c>
      <c r="K19" s="220">
        <v>8970368</v>
      </c>
      <c r="L19" s="115">
        <f t="shared" si="31"/>
        <v>28954388</v>
      </c>
      <c r="M19" s="110">
        <f t="shared" si="1"/>
        <v>26.32588046497461</v>
      </c>
      <c r="N19" s="220">
        <v>1896588</v>
      </c>
      <c r="O19" s="220">
        <v>3167269</v>
      </c>
      <c r="P19" s="220">
        <v>170615</v>
      </c>
      <c r="Q19" s="220">
        <v>5234472</v>
      </c>
      <c r="R19" s="110">
        <f t="shared" si="2"/>
        <v>4.7592815351254041</v>
      </c>
      <c r="S19" s="220">
        <v>11128000</v>
      </c>
      <c r="T19" s="220">
        <v>45316860</v>
      </c>
      <c r="U19" s="207">
        <v>8781</v>
      </c>
      <c r="V19" s="220">
        <v>45316860</v>
      </c>
      <c r="W19" s="110">
        <f t="shared" si="3"/>
        <v>41.202951324959429</v>
      </c>
      <c r="X19" s="111">
        <f t="shared" si="32"/>
        <v>0.63893191187562426</v>
      </c>
      <c r="Y19" s="111">
        <f t="shared" si="33"/>
        <v>0.11550826778377848</v>
      </c>
      <c r="Z19" s="111">
        <f t="shared" si="34"/>
        <v>0.24555982034059728</v>
      </c>
      <c r="AA19" s="111">
        <f t="shared" si="35"/>
        <v>1.9376894162569956E-4</v>
      </c>
      <c r="AB19" s="220">
        <v>12712420</v>
      </c>
      <c r="AE19" s="207"/>
      <c r="AF19" s="353">
        <v>2500</v>
      </c>
      <c r="AG19" s="353">
        <v>54520167</v>
      </c>
      <c r="AH19" s="207"/>
      <c r="AI19" s="115">
        <f t="shared" si="8"/>
        <v>54522667</v>
      </c>
      <c r="AJ19" s="110">
        <f t="shared" si="9"/>
        <v>49.573046201964821</v>
      </c>
      <c r="AK19" s="353">
        <v>633919</v>
      </c>
      <c r="AL19" s="207">
        <v>2000</v>
      </c>
      <c r="AM19" s="353"/>
      <c r="AN19" s="353">
        <v>10752945</v>
      </c>
      <c r="AO19" s="115">
        <f t="shared" si="36"/>
        <v>10752945</v>
      </c>
      <c r="AP19" s="353">
        <v>66771113</v>
      </c>
      <c r="AQ19" s="112">
        <f t="shared" si="11"/>
        <v>60.709566347985401</v>
      </c>
      <c r="AR19" s="207"/>
      <c r="AS19" s="220">
        <v>0</v>
      </c>
      <c r="AT19" s="207">
        <v>0</v>
      </c>
      <c r="AU19" s="220">
        <v>0</v>
      </c>
      <c r="AV19" s="220">
        <v>0</v>
      </c>
      <c r="AW19" s="207"/>
      <c r="AX19" s="220">
        <v>0</v>
      </c>
      <c r="AY19" s="115">
        <f t="shared" si="37"/>
        <v>0</v>
      </c>
      <c r="AZ19" s="352">
        <v>789890</v>
      </c>
      <c r="BA19" s="109">
        <f t="shared" si="13"/>
        <v>0.71818301669780737</v>
      </c>
      <c r="BB19" s="352">
        <v>49579</v>
      </c>
      <c r="BC19" s="352">
        <v>255660</v>
      </c>
      <c r="BD19" s="352">
        <v>30663</v>
      </c>
      <c r="BE19" s="352">
        <v>105731</v>
      </c>
      <c r="BF19" s="352">
        <v>396311</v>
      </c>
      <c r="BG19" s="221">
        <v>8</v>
      </c>
      <c r="BH19" s="221">
        <v>89</v>
      </c>
      <c r="BI19" s="205">
        <v>0</v>
      </c>
      <c r="BJ19">
        <v>120</v>
      </c>
      <c r="BK19" s="352">
        <v>1670031</v>
      </c>
      <c r="BL19" s="109">
        <f t="shared" si="14"/>
        <v>1.5184239597397815</v>
      </c>
      <c r="BM19" s="352">
        <v>1379</v>
      </c>
      <c r="BN19" s="352">
        <v>584947</v>
      </c>
      <c r="BO19" s="109">
        <f t="shared" si="15"/>
        <v>0.53184494178725183</v>
      </c>
      <c r="BP19" s="352">
        <v>2271444</v>
      </c>
      <c r="BQ19" s="205">
        <v>0</v>
      </c>
      <c r="BR19" s="356">
        <f t="shared" si="38"/>
        <v>2876195</v>
      </c>
      <c r="BS19" s="352">
        <v>5851711</v>
      </c>
      <c r="BT19" s="352">
        <v>8727906</v>
      </c>
      <c r="BU19" s="109">
        <f t="shared" si="16"/>
        <v>7.9355781951093105</v>
      </c>
      <c r="BV19" s="108">
        <f t="shared" si="39"/>
        <v>20536.249411764707</v>
      </c>
      <c r="BW19" s="109">
        <f t="shared" si="18"/>
        <v>1229.2825352112677</v>
      </c>
      <c r="BX19" s="109">
        <f t="shared" si="19"/>
        <v>8.9922975320369503</v>
      </c>
      <c r="BY19" s="109">
        <f t="shared" si="40"/>
        <v>5.2261940047819468</v>
      </c>
      <c r="BZ19">
        <v>58</v>
      </c>
      <c r="CA19">
        <v>11</v>
      </c>
      <c r="CB19">
        <v>20</v>
      </c>
      <c r="CC19" s="113">
        <f t="shared" si="41"/>
        <v>89</v>
      </c>
      <c r="CD19">
        <v>552</v>
      </c>
      <c r="CE19">
        <v>423</v>
      </c>
      <c r="CF19">
        <v>72</v>
      </c>
      <c r="CG19" s="116">
        <f t="shared" si="42"/>
        <v>1047</v>
      </c>
      <c r="CH19" s="109">
        <f t="shared" si="22"/>
        <v>9.5195232055425994E-4</v>
      </c>
      <c r="CI19" s="352">
        <v>970598</v>
      </c>
      <c r="CJ19" s="109">
        <f t="shared" si="23"/>
        <v>0.88248616850556216</v>
      </c>
      <c r="CK19" s="352">
        <v>1168871</v>
      </c>
      <c r="CL19" s="208" t="s">
        <v>7</v>
      </c>
      <c r="CM19" s="208" t="s">
        <v>7</v>
      </c>
      <c r="CN19" s="208" t="s">
        <v>7</v>
      </c>
      <c r="CO19">
        <v>70</v>
      </c>
      <c r="CP19" s="209">
        <v>0</v>
      </c>
      <c r="CQ19">
        <v>0</v>
      </c>
      <c r="CR19">
        <v>355</v>
      </c>
      <c r="CS19">
        <v>425</v>
      </c>
      <c r="CT19" s="108">
        <f t="shared" si="24"/>
        <v>2587.8705882352942</v>
      </c>
      <c r="CU19" s="352">
        <v>2736</v>
      </c>
      <c r="CV19" s="353">
        <v>130295</v>
      </c>
      <c r="CW19" s="209">
        <v>24</v>
      </c>
      <c r="CX19" s="208" t="s">
        <v>7</v>
      </c>
      <c r="CY19" s="208" t="s">
        <v>7</v>
      </c>
      <c r="CZ19">
        <v>164</v>
      </c>
      <c r="DA19">
        <v>195</v>
      </c>
      <c r="DB19">
        <v>750</v>
      </c>
      <c r="DC19" s="352">
        <v>47333</v>
      </c>
      <c r="DD19">
        <v>-1</v>
      </c>
      <c r="DE19" s="352">
        <v>18572195</v>
      </c>
      <c r="DF19" s="205">
        <v>7100</v>
      </c>
      <c r="DG19" s="205">
        <v>52</v>
      </c>
      <c r="DH19" s="209">
        <f t="shared" si="25"/>
        <v>6.4554550868531476E-3</v>
      </c>
      <c r="DI19" s="205">
        <v>24</v>
      </c>
      <c r="DJ19" s="205">
        <v>24</v>
      </c>
      <c r="DL19" s="343">
        <v>7100</v>
      </c>
      <c r="DM19" s="204"/>
      <c r="DN19" t="s">
        <v>1048</v>
      </c>
      <c r="DO19" t="s">
        <v>125</v>
      </c>
      <c r="DP19" s="208"/>
      <c r="DQ19" s="206"/>
      <c r="DR19" s="367" t="s">
        <v>1255</v>
      </c>
      <c r="DS19" s="204" t="s">
        <v>973</v>
      </c>
      <c r="DT19" s="227">
        <v>44013</v>
      </c>
      <c r="DU19" s="227">
        <v>44377</v>
      </c>
      <c r="DV19" t="s">
        <v>1185</v>
      </c>
      <c r="DW19" s="109">
        <f t="shared" si="26"/>
        <v>2.0652401020143749</v>
      </c>
      <c r="DX19" s="109">
        <f t="shared" si="27"/>
        <v>0</v>
      </c>
      <c r="DY19" s="109">
        <f t="shared" si="28"/>
        <v>2.6150912173988154</v>
      </c>
      <c r="DZ19" s="109">
        <f t="shared" si="29"/>
        <v>5.3204869777104955</v>
      </c>
      <c r="EA19" s="110">
        <f t="shared" si="44"/>
        <v>0.36843842390657155</v>
      </c>
      <c r="EB19" s="199">
        <f t="shared" si="43"/>
        <v>0.54125519869316852</v>
      </c>
    </row>
    <row r="20" spans="1:132" ht="14.1" customHeight="1" x14ac:dyDescent="0.3">
      <c r="A20" s="216" t="s">
        <v>974</v>
      </c>
      <c r="B20" t="s">
        <v>1186</v>
      </c>
      <c r="C20" s="352">
        <v>75705</v>
      </c>
      <c r="D20"/>
      <c r="E20"/>
      <c r="F20" s="221">
        <v>35000</v>
      </c>
      <c r="H20" s="108">
        <f t="shared" si="0"/>
        <v>35000</v>
      </c>
      <c r="I20" s="109">
        <v>0.32595000000000002</v>
      </c>
      <c r="J20" s="220">
        <v>696174</v>
      </c>
      <c r="K20" s="220">
        <v>333854</v>
      </c>
      <c r="L20" s="115">
        <f t="shared" si="31"/>
        <v>1030028</v>
      </c>
      <c r="M20" s="110">
        <f t="shared" si="1"/>
        <v>13.605812033551285</v>
      </c>
      <c r="N20" s="220">
        <v>83981</v>
      </c>
      <c r="O20" s="220">
        <v>11008</v>
      </c>
      <c r="P20" s="220">
        <v>1818</v>
      </c>
      <c r="Q20" s="220">
        <v>96807</v>
      </c>
      <c r="R20" s="110">
        <f t="shared" si="2"/>
        <v>1.2787398454527441</v>
      </c>
      <c r="S20" s="220">
        <v>373818</v>
      </c>
      <c r="T20" s="220">
        <v>1500653</v>
      </c>
      <c r="U20" s="207">
        <v>0</v>
      </c>
      <c r="V20" s="220">
        <v>1500653</v>
      </c>
      <c r="W20" s="110">
        <f t="shared" si="3"/>
        <v>19.822376329172446</v>
      </c>
      <c r="X20" s="111">
        <f t="shared" si="32"/>
        <v>0.68638652639884101</v>
      </c>
      <c r="Y20" s="111">
        <f t="shared" si="33"/>
        <v>6.450991668293736E-2</v>
      </c>
      <c r="Z20" s="111">
        <f t="shared" si="34"/>
        <v>0.24910355691822161</v>
      </c>
      <c r="AA20" s="111">
        <f t="shared" si="35"/>
        <v>0</v>
      </c>
      <c r="AB20" s="220">
        <v>20808</v>
      </c>
      <c r="AE20" s="207"/>
      <c r="AF20" s="353">
        <v>0</v>
      </c>
      <c r="AG20" s="353">
        <v>1561031</v>
      </c>
      <c r="AH20" s="207"/>
      <c r="AI20" s="115">
        <f t="shared" si="8"/>
        <v>1561031</v>
      </c>
      <c r="AJ20" s="110">
        <f t="shared" si="9"/>
        <v>20.619919424080312</v>
      </c>
      <c r="AK20" s="353">
        <v>100910</v>
      </c>
      <c r="AL20" s="207">
        <v>1264</v>
      </c>
      <c r="AM20" s="353"/>
      <c r="AN20" s="353">
        <v>133506</v>
      </c>
      <c r="AO20" s="115">
        <f t="shared" si="36"/>
        <v>133506</v>
      </c>
      <c r="AP20" s="353">
        <v>1813527</v>
      </c>
      <c r="AQ20" s="112">
        <f t="shared" si="11"/>
        <v>23.955181295819298</v>
      </c>
      <c r="AR20" s="207"/>
      <c r="AS20" s="220">
        <v>22139</v>
      </c>
      <c r="AT20" s="207">
        <v>0</v>
      </c>
      <c r="AU20" s="220">
        <v>0</v>
      </c>
      <c r="AV20" s="220">
        <v>0</v>
      </c>
      <c r="AW20" s="207"/>
      <c r="AX20" s="220">
        <v>0</v>
      </c>
      <c r="AY20" s="115">
        <f t="shared" si="37"/>
        <v>22139</v>
      </c>
      <c r="AZ20" s="352">
        <v>82579</v>
      </c>
      <c r="BA20" s="109">
        <f t="shared" si="13"/>
        <v>1.0907998150716598</v>
      </c>
      <c r="BB20" s="352">
        <v>4172</v>
      </c>
      <c r="BC20" s="352">
        <v>30111</v>
      </c>
      <c r="BD20" s="352">
        <v>6956</v>
      </c>
      <c r="BE20" s="352">
        <v>2443</v>
      </c>
      <c r="BF20" s="352">
        <v>166680</v>
      </c>
      <c r="BG20" s="221">
        <v>4</v>
      </c>
      <c r="BH20" s="221">
        <v>89</v>
      </c>
      <c r="BI20" s="205">
        <v>0</v>
      </c>
      <c r="BJ20">
        <v>92</v>
      </c>
      <c r="BK20" s="352">
        <v>294946</v>
      </c>
      <c r="BL20" s="109">
        <f t="shared" si="14"/>
        <v>3.8959910177663297</v>
      </c>
      <c r="BM20" s="352">
        <v>1839</v>
      </c>
      <c r="BN20" s="352">
        <v>10830</v>
      </c>
      <c r="BO20" s="109">
        <f t="shared" si="15"/>
        <v>0.14305528036457302</v>
      </c>
      <c r="BP20" s="352">
        <v>35002</v>
      </c>
      <c r="BQ20" s="205">
        <v>0</v>
      </c>
      <c r="BR20" s="356">
        <f t="shared" si="38"/>
        <v>75113</v>
      </c>
      <c r="BS20" s="352">
        <v>84635</v>
      </c>
      <c r="BT20" s="352">
        <v>159748</v>
      </c>
      <c r="BU20" s="109">
        <f t="shared" si="16"/>
        <v>2.1101380357968429</v>
      </c>
      <c r="BV20" s="108">
        <f t="shared" si="39"/>
        <v>9128.4571428571435</v>
      </c>
      <c r="BW20" s="109">
        <f t="shared" si="18"/>
        <v>49.062653562653566</v>
      </c>
      <c r="BX20" s="109">
        <f t="shared" si="19"/>
        <v>27.438680865681896</v>
      </c>
      <c r="BY20" s="109">
        <f t="shared" si="40"/>
        <v>0.54161778766282642</v>
      </c>
      <c r="BZ20">
        <v>552</v>
      </c>
      <c r="CA20">
        <v>0</v>
      </c>
      <c r="CB20">
        <v>72</v>
      </c>
      <c r="CC20" s="113">
        <f t="shared" si="41"/>
        <v>624</v>
      </c>
      <c r="CD20" s="352">
        <v>1024</v>
      </c>
      <c r="CE20">
        <v>0</v>
      </c>
      <c r="CF20">
        <v>286</v>
      </c>
      <c r="CG20" s="116">
        <f t="shared" si="42"/>
        <v>1310</v>
      </c>
      <c r="CH20" s="109">
        <f t="shared" si="22"/>
        <v>1.7304008982233669E-2</v>
      </c>
      <c r="CI20" s="352">
        <v>5822</v>
      </c>
      <c r="CJ20" s="109">
        <f t="shared" si="23"/>
        <v>7.6903771217224748E-2</v>
      </c>
      <c r="CK20" s="352">
        <v>39752</v>
      </c>
      <c r="CL20" s="208" t="s">
        <v>7</v>
      </c>
      <c r="CM20" s="208" t="s">
        <v>7</v>
      </c>
      <c r="CN20" s="208" t="s">
        <v>7</v>
      </c>
      <c r="CO20">
        <v>5</v>
      </c>
      <c r="CP20" s="108">
        <f t="shared" ref="CP20:CP27" si="45">C20/CO20</f>
        <v>15141</v>
      </c>
      <c r="CQ20">
        <v>0</v>
      </c>
      <c r="CR20">
        <v>12.5</v>
      </c>
      <c r="CS20">
        <v>17.5</v>
      </c>
      <c r="CT20" s="108">
        <f t="shared" si="24"/>
        <v>4326</v>
      </c>
      <c r="CU20">
        <v>0</v>
      </c>
      <c r="CV20" s="353">
        <v>84131</v>
      </c>
      <c r="CW20" s="209">
        <v>40</v>
      </c>
      <c r="CX20" s="208" t="s">
        <v>7</v>
      </c>
      <c r="CY20" s="208" t="s">
        <v>7</v>
      </c>
      <c r="CZ20">
        <v>18</v>
      </c>
      <c r="DA20">
        <v>0</v>
      </c>
      <c r="DB20">
        <v>58</v>
      </c>
      <c r="DC20">
        <v>576</v>
      </c>
      <c r="DD20">
        <v>-1</v>
      </c>
      <c r="DE20">
        <v>-1</v>
      </c>
      <c r="DF20" s="205">
        <v>3572</v>
      </c>
      <c r="DG20" s="205">
        <v>52</v>
      </c>
      <c r="DH20" s="209">
        <f t="shared" si="25"/>
        <v>4.7183145102701274E-2</v>
      </c>
      <c r="DI20" s="205">
        <v>48</v>
      </c>
      <c r="DJ20" s="205">
        <v>48</v>
      </c>
      <c r="DL20" s="343">
        <v>3256</v>
      </c>
      <c r="DM20" s="204"/>
      <c r="DN20" t="s">
        <v>1049</v>
      </c>
      <c r="DO20" t="s">
        <v>125</v>
      </c>
      <c r="DP20" s="208"/>
      <c r="DQ20" s="206"/>
      <c r="DR20" s="368" t="s">
        <v>974</v>
      </c>
      <c r="DS20" s="204" t="s">
        <v>974</v>
      </c>
      <c r="DT20" s="227">
        <v>44013</v>
      </c>
      <c r="DU20" s="227">
        <v>44377</v>
      </c>
      <c r="DV20" t="s">
        <v>1186</v>
      </c>
      <c r="DW20" s="109">
        <f t="shared" si="26"/>
        <v>0.46234726900468925</v>
      </c>
      <c r="DX20" s="109">
        <f t="shared" si="27"/>
        <v>0</v>
      </c>
      <c r="DY20" s="109">
        <f t="shared" si="28"/>
        <v>0.99218017304008987</v>
      </c>
      <c r="DZ20" s="109">
        <f t="shared" si="29"/>
        <v>1.1179578627567532</v>
      </c>
      <c r="EA20" s="110">
        <f t="shared" si="44"/>
        <v>0.76266630341007124</v>
      </c>
      <c r="EB20" s="199">
        <f t="shared" si="43"/>
        <v>0.13006439416317125</v>
      </c>
    </row>
    <row r="21" spans="1:132" ht="16.5" x14ac:dyDescent="0.3">
      <c r="A21" s="216" t="s">
        <v>975</v>
      </c>
      <c r="B21" t="s">
        <v>1187</v>
      </c>
      <c r="C21" s="352">
        <v>90200</v>
      </c>
      <c r="D21">
        <v>1</v>
      </c>
      <c r="E21"/>
      <c r="F21" s="221">
        <v>29000</v>
      </c>
      <c r="H21" s="108">
        <f t="shared" si="0"/>
        <v>29000</v>
      </c>
      <c r="I21" s="109">
        <v>0.43547000000000002</v>
      </c>
      <c r="J21" s="220">
        <v>617747</v>
      </c>
      <c r="K21" s="220">
        <v>293087</v>
      </c>
      <c r="L21" s="115">
        <f t="shared" si="31"/>
        <v>910834</v>
      </c>
      <c r="M21" s="110">
        <f t="shared" si="1"/>
        <v>10.097937915742794</v>
      </c>
      <c r="N21" s="220">
        <v>60200</v>
      </c>
      <c r="O21" s="220">
        <v>9710</v>
      </c>
      <c r="P21" s="220">
        <v>6430</v>
      </c>
      <c r="Q21" s="220">
        <v>76340</v>
      </c>
      <c r="R21" s="110">
        <f t="shared" si="2"/>
        <v>0.84634146341463412</v>
      </c>
      <c r="S21" s="220">
        <v>172170</v>
      </c>
      <c r="T21" s="220">
        <v>1159344</v>
      </c>
      <c r="U21" s="207">
        <v>0</v>
      </c>
      <c r="V21" s="220">
        <v>1159344</v>
      </c>
      <c r="W21" s="110">
        <f t="shared" si="3"/>
        <v>12.853037694013304</v>
      </c>
      <c r="X21" s="111">
        <f t="shared" si="32"/>
        <v>0.78564602050814947</v>
      </c>
      <c r="Y21" s="111">
        <f t="shared" si="33"/>
        <v>6.5847582770946322E-2</v>
      </c>
      <c r="Z21" s="111">
        <f t="shared" si="34"/>
        <v>0.14850639672090424</v>
      </c>
      <c r="AA21" s="111">
        <f t="shared" si="35"/>
        <v>0</v>
      </c>
      <c r="AB21" s="220">
        <v>0</v>
      </c>
      <c r="AE21" s="207"/>
      <c r="AF21" s="353">
        <v>0</v>
      </c>
      <c r="AG21" s="353">
        <v>1025441</v>
      </c>
      <c r="AH21" s="207"/>
      <c r="AI21" s="115">
        <f t="shared" si="8"/>
        <v>1025441</v>
      </c>
      <c r="AJ21" s="110">
        <f t="shared" si="9"/>
        <v>11.368525498891353</v>
      </c>
      <c r="AK21" s="353">
        <v>143235</v>
      </c>
      <c r="AL21" s="207">
        <v>0</v>
      </c>
      <c r="AM21" s="353"/>
      <c r="AN21" s="353">
        <v>67230</v>
      </c>
      <c r="AO21" s="115">
        <f t="shared" si="36"/>
        <v>67230</v>
      </c>
      <c r="AP21" s="353">
        <v>1235906</v>
      </c>
      <c r="AQ21" s="112">
        <f t="shared" si="11"/>
        <v>13.701840354767183</v>
      </c>
      <c r="AR21" s="207"/>
      <c r="AS21" s="220">
        <v>0</v>
      </c>
      <c r="AT21" s="207">
        <v>0</v>
      </c>
      <c r="AU21" s="220">
        <v>0</v>
      </c>
      <c r="AV21" s="220">
        <v>0</v>
      </c>
      <c r="AW21" s="207"/>
      <c r="AX21" s="220">
        <v>0</v>
      </c>
      <c r="AY21" s="115">
        <f t="shared" si="37"/>
        <v>0</v>
      </c>
      <c r="AZ21" s="352">
        <v>91224</v>
      </c>
      <c r="BA21" s="109">
        <f t="shared" si="13"/>
        <v>1.0113525498891354</v>
      </c>
      <c r="BB21" s="352">
        <v>2017</v>
      </c>
      <c r="BC21" s="352">
        <v>30111</v>
      </c>
      <c r="BD21" s="352">
        <v>4020</v>
      </c>
      <c r="BE21" s="352">
        <v>2443</v>
      </c>
      <c r="BF21" s="352">
        <v>166680</v>
      </c>
      <c r="BG21" s="221">
        <v>0</v>
      </c>
      <c r="BH21" s="221">
        <v>89</v>
      </c>
      <c r="BI21" s="205">
        <v>0</v>
      </c>
      <c r="BJ21">
        <v>90</v>
      </c>
      <c r="BK21" s="352">
        <v>304629</v>
      </c>
      <c r="BL21" s="109">
        <f t="shared" si="14"/>
        <v>3.3772616407982263</v>
      </c>
      <c r="BM21">
        <v>77</v>
      </c>
      <c r="BN21" s="352">
        <v>30211</v>
      </c>
      <c r="BO21" s="109">
        <f t="shared" si="15"/>
        <v>0.33493348115299337</v>
      </c>
      <c r="BP21" s="352">
        <v>43056</v>
      </c>
      <c r="BQ21" s="205">
        <v>0</v>
      </c>
      <c r="BR21" s="356">
        <f t="shared" si="38"/>
        <v>138455</v>
      </c>
      <c r="BS21" s="352">
        <v>47478</v>
      </c>
      <c r="BT21" s="352">
        <v>185933</v>
      </c>
      <c r="BU21" s="109">
        <f t="shared" si="16"/>
        <v>2.0613414634146343</v>
      </c>
      <c r="BV21" s="108">
        <f t="shared" si="39"/>
        <v>10188.109589041096</v>
      </c>
      <c r="BW21" s="109">
        <f t="shared" si="18"/>
        <v>18.750806776926179</v>
      </c>
      <c r="BX21" s="109">
        <f t="shared" si="19"/>
        <v>3.0319776922575175</v>
      </c>
      <c r="BY21" s="109">
        <f t="shared" si="40"/>
        <v>0.61035882992098589</v>
      </c>
      <c r="BZ21">
        <v>65</v>
      </c>
      <c r="CA21">
        <v>20</v>
      </c>
      <c r="CB21">
        <v>11</v>
      </c>
      <c r="CC21" s="113">
        <f t="shared" si="41"/>
        <v>96</v>
      </c>
      <c r="CD21">
        <v>195</v>
      </c>
      <c r="CE21">
        <v>132</v>
      </c>
      <c r="CF21">
        <v>0</v>
      </c>
      <c r="CG21" s="116">
        <f t="shared" si="42"/>
        <v>327</v>
      </c>
      <c r="CH21" s="109">
        <f t="shared" si="22"/>
        <v>3.6252771618625278E-3</v>
      </c>
      <c r="CI21" s="352">
        <v>61324</v>
      </c>
      <c r="CJ21" s="109">
        <f t="shared" si="23"/>
        <v>0.67986696230598664</v>
      </c>
      <c r="CK21" s="352">
        <v>35573</v>
      </c>
      <c r="CL21" s="208" t="s">
        <v>7</v>
      </c>
      <c r="CM21" s="208" t="s">
        <v>7</v>
      </c>
      <c r="CN21" s="208" t="s">
        <v>7</v>
      </c>
      <c r="CO21">
        <v>3</v>
      </c>
      <c r="CP21" s="108">
        <f t="shared" si="45"/>
        <v>30066.666666666668</v>
      </c>
      <c r="CQ21">
        <v>1</v>
      </c>
      <c r="CR21">
        <v>14.25</v>
      </c>
      <c r="CS21">
        <v>18.25</v>
      </c>
      <c r="CT21" s="108">
        <f t="shared" si="24"/>
        <v>4942.4657534246571</v>
      </c>
      <c r="CU21" s="352">
        <v>1017</v>
      </c>
      <c r="CV21" s="353">
        <v>72040</v>
      </c>
      <c r="CW21" s="209">
        <v>40</v>
      </c>
      <c r="CX21" s="208" t="s">
        <v>7</v>
      </c>
      <c r="CY21" s="208" t="s">
        <v>7</v>
      </c>
      <c r="CZ21" s="352">
        <v>7624</v>
      </c>
      <c r="DA21" s="352">
        <v>5320</v>
      </c>
      <c r="DB21">
        <v>35</v>
      </c>
      <c r="DC21" s="352">
        <v>10329</v>
      </c>
      <c r="DD21" s="352">
        <v>9320</v>
      </c>
      <c r="DE21" s="352">
        <v>50367</v>
      </c>
      <c r="DF21" s="205">
        <v>13244</v>
      </c>
      <c r="DG21" s="205">
        <v>51</v>
      </c>
      <c r="DH21" s="209">
        <f t="shared" si="25"/>
        <v>0.14682926829268292</v>
      </c>
      <c r="DI21" s="205">
        <v>46</v>
      </c>
      <c r="DJ21" s="205">
        <v>46</v>
      </c>
      <c r="DL21" s="343">
        <v>9916</v>
      </c>
      <c r="DM21" s="204"/>
      <c r="DN21" t="s">
        <v>1050</v>
      </c>
      <c r="DO21" t="s">
        <v>125</v>
      </c>
      <c r="DP21" s="208"/>
      <c r="DQ21" s="206"/>
      <c r="DR21" s="368" t="s">
        <v>975</v>
      </c>
      <c r="DS21" s="204" t="s">
        <v>975</v>
      </c>
      <c r="DT21" s="227">
        <v>44013</v>
      </c>
      <c r="DU21" s="227">
        <v>44377</v>
      </c>
      <c r="DV21" t="s">
        <v>1187</v>
      </c>
      <c r="DW21" s="109">
        <f t="shared" si="26"/>
        <v>0.47733924611973394</v>
      </c>
      <c r="DX21" s="109">
        <f t="shared" si="27"/>
        <v>0</v>
      </c>
      <c r="DY21" s="109">
        <f t="shared" si="28"/>
        <v>1.5349778270509977</v>
      </c>
      <c r="DZ21" s="109">
        <f t="shared" si="29"/>
        <v>0.52636363636363637</v>
      </c>
      <c r="EA21" s="110">
        <f t="shared" si="44"/>
        <v>0.33166034014467444</v>
      </c>
      <c r="EB21" s="199">
        <f t="shared" si="43"/>
        <v>0.20451577572770546</v>
      </c>
    </row>
    <row r="22" spans="1:132" ht="16.5" x14ac:dyDescent="0.3">
      <c r="A22" s="216" t="s">
        <v>976</v>
      </c>
      <c r="B22" t="s">
        <v>1188</v>
      </c>
      <c r="C22" s="352">
        <v>56247</v>
      </c>
      <c r="D22"/>
      <c r="E22"/>
      <c r="F22" s="221">
        <v>24606</v>
      </c>
      <c r="H22" s="108">
        <f t="shared" si="0"/>
        <v>24606</v>
      </c>
      <c r="I22" s="109">
        <v>0.42510999999999999</v>
      </c>
      <c r="J22" s="220">
        <v>877497</v>
      </c>
      <c r="K22" s="220">
        <v>367664</v>
      </c>
      <c r="L22" s="115">
        <f t="shared" si="31"/>
        <v>1245161</v>
      </c>
      <c r="M22" s="110">
        <f t="shared" si="1"/>
        <v>22.137376215620389</v>
      </c>
      <c r="N22" s="220">
        <v>89000</v>
      </c>
      <c r="O22" s="220">
        <v>7000</v>
      </c>
      <c r="P22" s="220">
        <v>8500</v>
      </c>
      <c r="Q22" s="220">
        <v>104500</v>
      </c>
      <c r="R22" s="110">
        <f t="shared" si="2"/>
        <v>1.8578768645438868</v>
      </c>
      <c r="S22" s="220">
        <v>163255</v>
      </c>
      <c r="T22" s="220">
        <v>1512916</v>
      </c>
      <c r="U22" s="207">
        <v>0</v>
      </c>
      <c r="V22" s="220">
        <v>1512916</v>
      </c>
      <c r="W22" s="110">
        <f t="shared" si="3"/>
        <v>26.897718989457214</v>
      </c>
      <c r="X22" s="111">
        <f t="shared" si="32"/>
        <v>0.82302057748083834</v>
      </c>
      <c r="Y22" s="111">
        <f t="shared" si="33"/>
        <v>6.907191146104609E-2</v>
      </c>
      <c r="Z22" s="111">
        <f t="shared" si="34"/>
        <v>0.10790751105811558</v>
      </c>
      <c r="AA22" s="111">
        <f t="shared" si="35"/>
        <v>0</v>
      </c>
      <c r="AB22" s="220">
        <v>0</v>
      </c>
      <c r="AE22" s="207"/>
      <c r="AF22" s="353">
        <v>0</v>
      </c>
      <c r="AG22" s="353">
        <v>1396681</v>
      </c>
      <c r="AH22" s="207"/>
      <c r="AI22" s="115">
        <f t="shared" si="8"/>
        <v>1396681</v>
      </c>
      <c r="AJ22" s="110">
        <f t="shared" si="9"/>
        <v>24.831208775579142</v>
      </c>
      <c r="AK22" s="353">
        <v>112917</v>
      </c>
      <c r="AL22" s="207">
        <v>0</v>
      </c>
      <c r="AM22" s="353"/>
      <c r="AN22" s="353">
        <v>0</v>
      </c>
      <c r="AO22" s="115">
        <f t="shared" si="36"/>
        <v>0</v>
      </c>
      <c r="AP22" s="353">
        <v>1512916</v>
      </c>
      <c r="AQ22" s="112">
        <f t="shared" si="11"/>
        <v>26.897718989457214</v>
      </c>
      <c r="AR22" s="207"/>
      <c r="AS22" s="220">
        <v>0</v>
      </c>
      <c r="AT22" s="207">
        <v>0</v>
      </c>
      <c r="AU22" s="220">
        <v>0</v>
      </c>
      <c r="AV22" s="220">
        <v>0</v>
      </c>
      <c r="AW22" s="207"/>
      <c r="AX22" s="220">
        <v>0</v>
      </c>
      <c r="AY22" s="115">
        <f t="shared" si="37"/>
        <v>0</v>
      </c>
      <c r="AZ22" s="352">
        <v>127744</v>
      </c>
      <c r="BA22" s="109">
        <f t="shared" si="13"/>
        <v>2.2711255711415719</v>
      </c>
      <c r="BB22" s="352">
        <v>2515</v>
      </c>
      <c r="BC22" s="352">
        <v>30111</v>
      </c>
      <c r="BD22" s="352">
        <v>8540</v>
      </c>
      <c r="BE22" s="352">
        <v>2443</v>
      </c>
      <c r="BF22" s="352">
        <v>167011</v>
      </c>
      <c r="BG22" s="221">
        <v>6</v>
      </c>
      <c r="BH22" s="221">
        <v>89</v>
      </c>
      <c r="BI22" s="205">
        <v>0</v>
      </c>
      <c r="BJ22">
        <v>86</v>
      </c>
      <c r="BK22" s="352">
        <v>342634</v>
      </c>
      <c r="BL22" s="109">
        <f t="shared" si="14"/>
        <v>6.0915959962309101</v>
      </c>
      <c r="BM22">
        <v>296</v>
      </c>
      <c r="BN22" s="352">
        <v>115167</v>
      </c>
      <c r="BO22" s="109">
        <f t="shared" si="15"/>
        <v>2.0475225345351751</v>
      </c>
      <c r="BP22" s="352">
        <v>23948</v>
      </c>
      <c r="BQ22" s="205">
        <v>0</v>
      </c>
      <c r="BR22" s="356">
        <f t="shared" si="38"/>
        <v>47118</v>
      </c>
      <c r="BS22" s="352">
        <v>118434</v>
      </c>
      <c r="BT22" s="352">
        <v>165552</v>
      </c>
      <c r="BU22" s="109">
        <f t="shared" si="16"/>
        <v>2.9433036428609527</v>
      </c>
      <c r="BV22" s="108">
        <f t="shared" si="39"/>
        <v>6926.8619246861927</v>
      </c>
      <c r="BW22" s="109">
        <f t="shared" si="18"/>
        <v>9.0872763201229549</v>
      </c>
      <c r="BX22" s="109">
        <f t="shared" si="19"/>
        <v>13.390924532880369</v>
      </c>
      <c r="BY22" s="109">
        <f t="shared" si="40"/>
        <v>0.48317446604831976</v>
      </c>
      <c r="BZ22">
        <v>3</v>
      </c>
      <c r="CA22">
        <v>3</v>
      </c>
      <c r="CB22">
        <v>0</v>
      </c>
      <c r="CC22" s="113">
        <f t="shared" si="41"/>
        <v>6</v>
      </c>
      <c r="CD22" s="352">
        <v>3274</v>
      </c>
      <c r="CE22">
        <v>16</v>
      </c>
      <c r="CF22" s="352">
        <v>2774</v>
      </c>
      <c r="CG22" s="116">
        <f t="shared" si="42"/>
        <v>6064</v>
      </c>
      <c r="CH22" s="109">
        <f t="shared" si="22"/>
        <v>0.10781019432147493</v>
      </c>
      <c r="CI22" s="352">
        <v>12363</v>
      </c>
      <c r="CJ22" s="109">
        <f t="shared" si="23"/>
        <v>0.21979838924742653</v>
      </c>
      <c r="CK22" s="352">
        <v>44056</v>
      </c>
      <c r="CL22" s="208" t="s">
        <v>7</v>
      </c>
      <c r="CM22" s="208" t="s">
        <v>7</v>
      </c>
      <c r="CN22" s="208" t="s">
        <v>7</v>
      </c>
      <c r="CO22">
        <v>1.9</v>
      </c>
      <c r="CP22" s="108">
        <f t="shared" si="45"/>
        <v>29603.684210526317</v>
      </c>
      <c r="CQ22">
        <v>0</v>
      </c>
      <c r="CR22">
        <v>22</v>
      </c>
      <c r="CS22">
        <v>23.9</v>
      </c>
      <c r="CT22" s="108">
        <f t="shared" si="24"/>
        <v>2353.4309623430963</v>
      </c>
      <c r="CU22">
        <v>75</v>
      </c>
      <c r="CV22" s="353">
        <v>66272</v>
      </c>
      <c r="CW22" s="209">
        <v>40</v>
      </c>
      <c r="CX22" s="208" t="s">
        <v>7</v>
      </c>
      <c r="CY22" s="208" t="s">
        <v>7</v>
      </c>
      <c r="CZ22">
        <v>0</v>
      </c>
      <c r="DA22">
        <v>0</v>
      </c>
      <c r="DB22">
        <v>92</v>
      </c>
      <c r="DC22" s="352">
        <v>1477</v>
      </c>
      <c r="DD22" s="352">
        <v>5913</v>
      </c>
      <c r="DE22">
        <v>-1</v>
      </c>
      <c r="DF22" s="205">
        <v>26484</v>
      </c>
      <c r="DG22" s="205">
        <v>52</v>
      </c>
      <c r="DH22" s="209">
        <f t="shared" si="25"/>
        <v>0.47085177876153395</v>
      </c>
      <c r="DI22" s="205">
        <v>32</v>
      </c>
      <c r="DJ22" s="205">
        <v>32</v>
      </c>
      <c r="DL22" s="343">
        <v>18218</v>
      </c>
      <c r="DM22" s="204"/>
      <c r="DN22" t="s">
        <v>1051</v>
      </c>
      <c r="DO22" t="s">
        <v>125</v>
      </c>
      <c r="DP22" s="208"/>
      <c r="DQ22" s="206"/>
      <c r="DR22" s="368" t="s">
        <v>976</v>
      </c>
      <c r="DS22" s="204" t="s">
        <v>976</v>
      </c>
      <c r="DT22" s="227">
        <v>44013</v>
      </c>
      <c r="DU22" s="227">
        <v>44377</v>
      </c>
      <c r="DV22" t="s">
        <v>1188</v>
      </c>
      <c r="DW22" s="109">
        <f t="shared" si="26"/>
        <v>0.42576492968513874</v>
      </c>
      <c r="DX22" s="109">
        <f t="shared" si="27"/>
        <v>0</v>
      </c>
      <c r="DY22" s="109">
        <f t="shared" si="28"/>
        <v>0.83769801056056326</v>
      </c>
      <c r="DZ22" s="109">
        <f t="shared" si="29"/>
        <v>2.1056056323003896</v>
      </c>
      <c r="EA22" s="110">
        <f t="shared" si="44"/>
        <v>1.2523569639490051</v>
      </c>
      <c r="EB22" s="199">
        <f t="shared" si="43"/>
        <v>5.9104649002820135E-2</v>
      </c>
    </row>
    <row r="23" spans="1:132" ht="16.5" x14ac:dyDescent="0.3">
      <c r="A23" s="216" t="s">
        <v>1261</v>
      </c>
      <c r="B23" t="s">
        <v>1256</v>
      </c>
      <c r="C23" s="352">
        <v>116275</v>
      </c>
      <c r="D23"/>
      <c r="E23"/>
      <c r="F23" s="221">
        <v>47184</v>
      </c>
      <c r="H23" s="108">
        <f t="shared" si="0"/>
        <v>47184</v>
      </c>
      <c r="I23" s="109">
        <v>0.57809999999999995</v>
      </c>
      <c r="J23" s="220">
        <v>950719</v>
      </c>
      <c r="K23" s="220">
        <v>341469</v>
      </c>
      <c r="L23" s="115">
        <f t="shared" si="31"/>
        <v>1292188</v>
      </c>
      <c r="M23" s="110">
        <f t="shared" si="1"/>
        <v>11.113205762201677</v>
      </c>
      <c r="N23" s="220">
        <v>96092</v>
      </c>
      <c r="O23" s="220">
        <v>57969</v>
      </c>
      <c r="P23" s="220">
        <v>14311</v>
      </c>
      <c r="Q23" s="220">
        <v>168372</v>
      </c>
      <c r="R23" s="110">
        <f t="shared" si="2"/>
        <v>1.4480498817458611</v>
      </c>
      <c r="S23" s="220">
        <v>603704</v>
      </c>
      <c r="T23" s="220">
        <v>2064264</v>
      </c>
      <c r="U23" s="207">
        <v>0</v>
      </c>
      <c r="V23" s="220">
        <v>2064264</v>
      </c>
      <c r="W23" s="110">
        <f t="shared" si="3"/>
        <v>17.753291765211781</v>
      </c>
      <c r="X23" s="111">
        <f t="shared" si="32"/>
        <v>0.62598001030875894</v>
      </c>
      <c r="Y23" s="111">
        <f t="shared" si="33"/>
        <v>8.1565148643778118E-2</v>
      </c>
      <c r="Z23" s="111">
        <f t="shared" si="34"/>
        <v>0.29245484104746294</v>
      </c>
      <c r="AA23" s="111">
        <f t="shared" si="35"/>
        <v>0</v>
      </c>
      <c r="AB23" s="220">
        <v>70962</v>
      </c>
      <c r="AE23" s="207"/>
      <c r="AF23" s="353">
        <v>88777</v>
      </c>
      <c r="AG23" s="353">
        <v>1747627</v>
      </c>
      <c r="AH23" s="207"/>
      <c r="AI23" s="115">
        <f t="shared" si="8"/>
        <v>1836404</v>
      </c>
      <c r="AJ23" s="110">
        <f t="shared" si="9"/>
        <v>15.793627176951194</v>
      </c>
      <c r="AK23" s="353">
        <v>301578</v>
      </c>
      <c r="AL23" s="207">
        <v>61987</v>
      </c>
      <c r="AM23" s="353"/>
      <c r="AN23" s="353">
        <v>135307</v>
      </c>
      <c r="AO23" s="115">
        <f t="shared" si="36"/>
        <v>135307</v>
      </c>
      <c r="AP23" s="353">
        <v>2278789</v>
      </c>
      <c r="AQ23" s="112">
        <f t="shared" si="11"/>
        <v>19.598271339496883</v>
      </c>
      <c r="AR23" s="207"/>
      <c r="AS23" s="220">
        <v>54965</v>
      </c>
      <c r="AT23" s="207">
        <v>0</v>
      </c>
      <c r="AU23" s="220">
        <v>0</v>
      </c>
      <c r="AV23" s="220">
        <v>44136</v>
      </c>
      <c r="AW23" s="207"/>
      <c r="AX23" s="220">
        <v>0</v>
      </c>
      <c r="AY23" s="115">
        <f t="shared" si="37"/>
        <v>99101</v>
      </c>
      <c r="AZ23" s="352">
        <v>208973</v>
      </c>
      <c r="BA23" s="109">
        <f t="shared" si="13"/>
        <v>1.7972307030746075</v>
      </c>
      <c r="BB23" s="352">
        <v>6616</v>
      </c>
      <c r="BC23" s="352">
        <v>27608</v>
      </c>
      <c r="BD23" s="352">
        <v>9493</v>
      </c>
      <c r="BE23" s="352">
        <v>2502</v>
      </c>
      <c r="BF23" s="352">
        <v>141377</v>
      </c>
      <c r="BG23" s="221">
        <v>15</v>
      </c>
      <c r="BH23" s="221">
        <v>89</v>
      </c>
      <c r="BI23" s="205">
        <v>0</v>
      </c>
      <c r="BJ23">
        <v>92</v>
      </c>
      <c r="BK23" s="352">
        <v>405169</v>
      </c>
      <c r="BL23" s="109">
        <f t="shared" si="14"/>
        <v>3.4845753601376046</v>
      </c>
      <c r="BM23">
        <v>39</v>
      </c>
      <c r="BN23" s="352">
        <v>51064</v>
      </c>
      <c r="BO23" s="109">
        <f t="shared" si="15"/>
        <v>0.43916577080197805</v>
      </c>
      <c r="BP23" s="352">
        <v>72351</v>
      </c>
      <c r="BQ23" s="205">
        <v>0</v>
      </c>
      <c r="BR23" s="356">
        <f t="shared" si="38"/>
        <v>157426</v>
      </c>
      <c r="BS23" s="352">
        <v>181957</v>
      </c>
      <c r="BT23" s="352">
        <v>339383</v>
      </c>
      <c r="BU23" s="109">
        <f t="shared" si="16"/>
        <v>2.9187959578585252</v>
      </c>
      <c r="BV23" s="108">
        <f t="shared" si="39"/>
        <v>12000.813295615275</v>
      </c>
      <c r="BW23" s="109">
        <f t="shared" si="18"/>
        <v>19.433291342189648</v>
      </c>
      <c r="BX23" s="109">
        <f t="shared" si="19"/>
        <v>3.9658202554424671</v>
      </c>
      <c r="BY23" s="109">
        <f t="shared" si="40"/>
        <v>0.83763318516470908</v>
      </c>
      <c r="BZ23">
        <v>110</v>
      </c>
      <c r="CA23">
        <v>7</v>
      </c>
      <c r="CB23">
        <v>52</v>
      </c>
      <c r="CC23" s="113">
        <f t="shared" si="41"/>
        <v>169</v>
      </c>
      <c r="CD23">
        <v>0</v>
      </c>
      <c r="CE23">
        <v>58</v>
      </c>
      <c r="CF23">
        <v>0</v>
      </c>
      <c r="CG23" s="116">
        <f t="shared" si="42"/>
        <v>58</v>
      </c>
      <c r="CH23" s="109">
        <f t="shared" si="22"/>
        <v>4.988174586110514E-4</v>
      </c>
      <c r="CI23" s="352">
        <v>85577</v>
      </c>
      <c r="CJ23" s="109">
        <f t="shared" si="23"/>
        <v>0.7359879595785852</v>
      </c>
      <c r="CK23" s="352">
        <v>38943</v>
      </c>
      <c r="CL23" s="208" t="s">
        <v>7</v>
      </c>
      <c r="CM23" s="208" t="s">
        <v>7</v>
      </c>
      <c r="CN23" s="208" t="s">
        <v>7</v>
      </c>
      <c r="CO23">
        <v>3.53</v>
      </c>
      <c r="CP23" s="108">
        <f t="shared" si="45"/>
        <v>32939.093484419267</v>
      </c>
      <c r="CQ23">
        <v>3.84</v>
      </c>
      <c r="CR23">
        <v>20.91</v>
      </c>
      <c r="CS23">
        <v>28.28</v>
      </c>
      <c r="CT23" s="108">
        <f t="shared" si="24"/>
        <v>4111.5629420084861</v>
      </c>
      <c r="CU23">
        <v>656</v>
      </c>
      <c r="CV23" s="353">
        <v>73500</v>
      </c>
      <c r="CW23" s="209">
        <v>40</v>
      </c>
      <c r="CX23" s="208" t="s">
        <v>7</v>
      </c>
      <c r="CY23" s="208" t="s">
        <v>7</v>
      </c>
      <c r="CZ23">
        <v>0</v>
      </c>
      <c r="DA23">
        <v>28</v>
      </c>
      <c r="DB23">
        <v>75</v>
      </c>
      <c r="DC23" s="352">
        <v>16536</v>
      </c>
      <c r="DD23" s="352">
        <v>17727</v>
      </c>
      <c r="DE23" s="352">
        <v>259480</v>
      </c>
      <c r="DF23" s="205">
        <v>24544</v>
      </c>
      <c r="DG23" s="205">
        <v>52</v>
      </c>
      <c r="DH23" s="209">
        <f t="shared" si="25"/>
        <v>0.2110857880025801</v>
      </c>
      <c r="DI23" s="205">
        <v>66</v>
      </c>
      <c r="DJ23" s="205">
        <v>66</v>
      </c>
      <c r="DK23" s="108">
        <v>61412</v>
      </c>
      <c r="DL23" s="343">
        <v>17464</v>
      </c>
      <c r="DM23" s="204"/>
      <c r="DN23" t="s">
        <v>1052</v>
      </c>
      <c r="DO23" t="s">
        <v>1030</v>
      </c>
      <c r="DP23" s="208"/>
      <c r="DQ23" s="206"/>
      <c r="DR23" s="367" t="s">
        <v>1261</v>
      </c>
      <c r="DS23" s="204" t="s">
        <v>977</v>
      </c>
      <c r="DT23" s="227">
        <v>44013</v>
      </c>
      <c r="DU23" s="227">
        <v>44377</v>
      </c>
      <c r="DV23" t="s">
        <v>1256</v>
      </c>
      <c r="DW23" s="109">
        <f t="shared" si="26"/>
        <v>0.62224037841324442</v>
      </c>
      <c r="DX23" s="109">
        <f t="shared" si="27"/>
        <v>0</v>
      </c>
      <c r="DY23" s="109">
        <f t="shared" si="28"/>
        <v>1.3539109868845409</v>
      </c>
      <c r="DZ23" s="109">
        <f t="shared" si="29"/>
        <v>1.564884970973984</v>
      </c>
      <c r="EA23" s="110">
        <f t="shared" si="44"/>
        <v>0.41819677339333355</v>
      </c>
      <c r="EB23" s="199">
        <f t="shared" si="43"/>
        <v>0.31858625939095503</v>
      </c>
    </row>
    <row r="24" spans="1:132" ht="16.5" x14ac:dyDescent="0.3">
      <c r="A24" s="216" t="s">
        <v>978</v>
      </c>
      <c r="B24" t="s">
        <v>1257</v>
      </c>
      <c r="C24" s="352">
        <v>332392</v>
      </c>
      <c r="D24">
        <v>7</v>
      </c>
      <c r="E24"/>
      <c r="F24" s="221">
        <v>190240</v>
      </c>
      <c r="H24" s="108">
        <f t="shared" si="0"/>
        <v>190240</v>
      </c>
      <c r="I24" s="109">
        <v>0.42026999999999998</v>
      </c>
      <c r="J24" s="220">
        <v>5239424</v>
      </c>
      <c r="K24" s="220">
        <v>2341870</v>
      </c>
      <c r="L24" s="115">
        <f t="shared" si="31"/>
        <v>7581294</v>
      </c>
      <c r="M24" s="110">
        <f t="shared" si="1"/>
        <v>22.808292618354233</v>
      </c>
      <c r="N24" s="220">
        <v>685550</v>
      </c>
      <c r="O24" s="220">
        <v>324962</v>
      </c>
      <c r="P24" s="220">
        <v>36624</v>
      </c>
      <c r="Q24" s="220">
        <v>1047136</v>
      </c>
      <c r="R24" s="110">
        <f t="shared" si="2"/>
        <v>3.1503044597944596</v>
      </c>
      <c r="S24" s="220">
        <v>909934</v>
      </c>
      <c r="T24" s="220">
        <v>9538364</v>
      </c>
      <c r="U24" s="207">
        <v>0</v>
      </c>
      <c r="V24" s="220">
        <v>9538364</v>
      </c>
      <c r="W24" s="110">
        <f t="shared" si="3"/>
        <v>28.696129870755012</v>
      </c>
      <c r="X24" s="111">
        <f t="shared" si="32"/>
        <v>0.79482120833300129</v>
      </c>
      <c r="Y24" s="111">
        <f t="shared" si="33"/>
        <v>0.10978150970124437</v>
      </c>
      <c r="Z24" s="111">
        <f t="shared" si="34"/>
        <v>9.5397281965754296E-2</v>
      </c>
      <c r="AA24" s="111">
        <f t="shared" si="35"/>
        <v>0</v>
      </c>
      <c r="AB24" s="220">
        <v>170000</v>
      </c>
      <c r="AE24" s="207"/>
      <c r="AF24" s="353">
        <v>0</v>
      </c>
      <c r="AG24" s="353">
        <v>9864155</v>
      </c>
      <c r="AH24" s="207"/>
      <c r="AI24" s="115">
        <f t="shared" si="8"/>
        <v>9864155</v>
      </c>
      <c r="AJ24" s="110">
        <f t="shared" si="9"/>
        <v>29.67627078870731</v>
      </c>
      <c r="AK24" s="353">
        <v>370512</v>
      </c>
      <c r="AL24" s="207">
        <v>82328</v>
      </c>
      <c r="AM24" s="353"/>
      <c r="AN24" s="353">
        <v>80634</v>
      </c>
      <c r="AO24" s="115">
        <f t="shared" si="36"/>
        <v>80634</v>
      </c>
      <c r="AP24" s="353">
        <v>10322158</v>
      </c>
      <c r="AQ24" s="112">
        <f t="shared" si="11"/>
        <v>31.054170978844255</v>
      </c>
      <c r="AR24" s="207"/>
      <c r="AS24" s="220">
        <v>130968</v>
      </c>
      <c r="AT24" s="207">
        <v>0</v>
      </c>
      <c r="AU24" s="220">
        <v>0</v>
      </c>
      <c r="AV24" s="220">
        <v>0</v>
      </c>
      <c r="AW24" s="207"/>
      <c r="AX24" s="220">
        <v>0</v>
      </c>
      <c r="AY24" s="115">
        <f t="shared" si="37"/>
        <v>130968</v>
      </c>
      <c r="AZ24" s="352">
        <v>448473</v>
      </c>
      <c r="BA24" s="109">
        <f t="shared" si="13"/>
        <v>1.3492292233266745</v>
      </c>
      <c r="BB24" s="352">
        <v>24879</v>
      </c>
      <c r="BC24" s="352">
        <v>52716</v>
      </c>
      <c r="BD24" s="352">
        <v>39290</v>
      </c>
      <c r="BE24" s="352">
        <v>2613</v>
      </c>
      <c r="BF24" s="352">
        <v>206483</v>
      </c>
      <c r="BG24" s="221">
        <v>22</v>
      </c>
      <c r="BH24" s="221">
        <v>89</v>
      </c>
      <c r="BI24" s="205">
        <v>0</v>
      </c>
      <c r="BJ24">
        <v>105</v>
      </c>
      <c r="BK24" s="352">
        <v>785919</v>
      </c>
      <c r="BL24" s="109">
        <f t="shared" si="14"/>
        <v>2.3644341620736959</v>
      </c>
      <c r="BM24">
        <v>500</v>
      </c>
      <c r="BN24" s="352">
        <v>56652</v>
      </c>
      <c r="BO24" s="109">
        <f t="shared" si="15"/>
        <v>0.17043731497749645</v>
      </c>
      <c r="BP24" s="352">
        <v>136708</v>
      </c>
      <c r="BQ24" s="205">
        <v>0</v>
      </c>
      <c r="BR24" s="356">
        <f t="shared" si="38"/>
        <v>348521</v>
      </c>
      <c r="BS24" s="352">
        <v>1086163</v>
      </c>
      <c r="BT24" s="352">
        <v>1434684</v>
      </c>
      <c r="BU24" s="109">
        <f t="shared" si="16"/>
        <v>4.3162410647669018</v>
      </c>
      <c r="BV24" s="108">
        <f t="shared" si="39"/>
        <v>9659.2203595233277</v>
      </c>
      <c r="BW24" s="109">
        <f t="shared" si="18"/>
        <v>110.54738788719371</v>
      </c>
      <c r="BX24" s="109">
        <f t="shared" si="19"/>
        <v>13.019501792277326</v>
      </c>
      <c r="BY24" s="109">
        <f t="shared" si="40"/>
        <v>1.8254858325094572</v>
      </c>
      <c r="BZ24">
        <v>0</v>
      </c>
      <c r="CA24">
        <v>0</v>
      </c>
      <c r="CB24">
        <v>0</v>
      </c>
      <c r="CC24" s="113">
        <f t="shared" si="41"/>
        <v>0</v>
      </c>
      <c r="CD24" s="352">
        <v>20577</v>
      </c>
      <c r="CE24">
        <v>0</v>
      </c>
      <c r="CF24" s="352">
        <v>15934</v>
      </c>
      <c r="CG24" s="116">
        <f t="shared" si="42"/>
        <v>36511</v>
      </c>
      <c r="CH24" s="109">
        <f t="shared" si="22"/>
        <v>0.10984319718886135</v>
      </c>
      <c r="CI24" s="352">
        <v>110195</v>
      </c>
      <c r="CJ24" s="109">
        <f t="shared" si="23"/>
        <v>0.3315212159137404</v>
      </c>
      <c r="CK24" s="352">
        <v>136186</v>
      </c>
      <c r="CL24" s="208" t="s">
        <v>7</v>
      </c>
      <c r="CM24" s="208" t="s">
        <v>7</v>
      </c>
      <c r="CN24" s="208" t="s">
        <v>7</v>
      </c>
      <c r="CO24">
        <v>45</v>
      </c>
      <c r="CP24" s="108">
        <f t="shared" si="45"/>
        <v>7386.4888888888891</v>
      </c>
      <c r="CQ24">
        <v>0</v>
      </c>
      <c r="CR24">
        <v>103.53</v>
      </c>
      <c r="CS24">
        <v>148.53</v>
      </c>
      <c r="CT24" s="108">
        <f t="shared" si="24"/>
        <v>2237.8778697906146</v>
      </c>
      <c r="CU24">
        <v>0</v>
      </c>
      <c r="CV24" s="353">
        <v>110000</v>
      </c>
      <c r="CW24" s="209">
        <v>40</v>
      </c>
      <c r="CX24" s="208" t="s">
        <v>7</v>
      </c>
      <c r="CY24" s="208" t="s">
        <v>7</v>
      </c>
      <c r="CZ24" s="352">
        <v>35619</v>
      </c>
      <c r="DA24" s="352">
        <v>34963</v>
      </c>
      <c r="DB24">
        <v>381</v>
      </c>
      <c r="DC24" s="352">
        <v>5457</v>
      </c>
      <c r="DD24" s="352">
        <v>60708</v>
      </c>
      <c r="DE24" s="352">
        <v>180974</v>
      </c>
      <c r="DF24" s="205">
        <v>16172</v>
      </c>
      <c r="DG24" s="205">
        <v>52</v>
      </c>
      <c r="DH24" s="209">
        <f t="shared" si="25"/>
        <v>4.8653397193674938E-2</v>
      </c>
      <c r="DI24" s="205">
        <v>51</v>
      </c>
      <c r="DJ24" s="205">
        <v>51</v>
      </c>
      <c r="DK24" s="108">
        <v>1080</v>
      </c>
      <c r="DL24" s="343">
        <v>12978</v>
      </c>
      <c r="DM24" s="204"/>
      <c r="DN24" t="s">
        <v>1053</v>
      </c>
      <c r="DO24" t="s">
        <v>125</v>
      </c>
      <c r="DP24" s="208"/>
      <c r="DQ24" s="206"/>
      <c r="DR24" s="368" t="s">
        <v>978</v>
      </c>
      <c r="DS24" s="204" t="s">
        <v>978</v>
      </c>
      <c r="DT24" s="227">
        <v>44013</v>
      </c>
      <c r="DU24" s="227">
        <v>44377</v>
      </c>
      <c r="DV24" t="s">
        <v>1257</v>
      </c>
      <c r="DW24" s="109">
        <f t="shared" si="26"/>
        <v>0.41128547016775374</v>
      </c>
      <c r="DX24" s="109">
        <f t="shared" si="27"/>
        <v>0</v>
      </c>
      <c r="DY24" s="109">
        <f t="shared" si="28"/>
        <v>1.0485240318659896</v>
      </c>
      <c r="DZ24" s="109">
        <f t="shared" si="29"/>
        <v>3.267717032900912</v>
      </c>
      <c r="EA24" s="110">
        <f t="shared" si="44"/>
        <v>1.4128380620284442</v>
      </c>
      <c r="EB24" s="199">
        <f t="shared" si="43"/>
        <v>0.29918345589013806</v>
      </c>
    </row>
    <row r="25" spans="1:132" ht="16.5" x14ac:dyDescent="0.3">
      <c r="A25" s="216" t="s">
        <v>979</v>
      </c>
      <c r="B25" t="s">
        <v>1189</v>
      </c>
      <c r="C25" s="352">
        <v>162674</v>
      </c>
      <c r="D25">
        <v>4</v>
      </c>
      <c r="E25">
        <v>1</v>
      </c>
      <c r="F25" s="221">
        <v>67987</v>
      </c>
      <c r="H25" s="108">
        <f t="shared" si="0"/>
        <v>67987</v>
      </c>
      <c r="I25" s="109">
        <v>0.41950999999999999</v>
      </c>
      <c r="J25" s="220">
        <v>1830481</v>
      </c>
      <c r="K25" s="220">
        <v>804824</v>
      </c>
      <c r="L25" s="115">
        <f t="shared" si="31"/>
        <v>2635305</v>
      </c>
      <c r="M25" s="110">
        <f t="shared" si="1"/>
        <v>16.199915167758832</v>
      </c>
      <c r="N25" s="220">
        <v>224538</v>
      </c>
      <c r="O25" s="220">
        <v>72714</v>
      </c>
      <c r="P25" s="220">
        <v>29997</v>
      </c>
      <c r="Q25" s="220">
        <v>327249</v>
      </c>
      <c r="R25" s="110">
        <f t="shared" si="2"/>
        <v>2.0116859485842853</v>
      </c>
      <c r="S25" s="220">
        <v>1046107</v>
      </c>
      <c r="T25" s="220">
        <v>4008661</v>
      </c>
      <c r="U25" s="207">
        <v>0</v>
      </c>
      <c r="V25" s="220">
        <v>4008661</v>
      </c>
      <c r="W25" s="110">
        <f t="shared" si="3"/>
        <v>24.642296863665983</v>
      </c>
      <c r="X25" s="111">
        <f t="shared" si="32"/>
        <v>0.65740280856874656</v>
      </c>
      <c r="Y25" s="111">
        <f t="shared" si="33"/>
        <v>8.1635488757966806E-2</v>
      </c>
      <c r="Z25" s="111">
        <f t="shared" si="34"/>
        <v>0.26096170267328667</v>
      </c>
      <c r="AA25" s="111">
        <f t="shared" si="35"/>
        <v>0</v>
      </c>
      <c r="AB25" s="220">
        <v>118198</v>
      </c>
      <c r="AE25" s="207"/>
      <c r="AF25" s="353">
        <v>0</v>
      </c>
      <c r="AG25" s="353">
        <v>3706262</v>
      </c>
      <c r="AH25" s="207"/>
      <c r="AI25" s="115">
        <f t="shared" si="8"/>
        <v>3706262</v>
      </c>
      <c r="AJ25" s="110">
        <f t="shared" si="9"/>
        <v>22.783370421825246</v>
      </c>
      <c r="AK25" s="353">
        <v>188947</v>
      </c>
      <c r="AL25" s="207">
        <v>2613</v>
      </c>
      <c r="AM25" s="353"/>
      <c r="AN25" s="353">
        <v>35998</v>
      </c>
      <c r="AO25" s="115">
        <f t="shared" si="36"/>
        <v>35998</v>
      </c>
      <c r="AP25" s="353">
        <v>4008661</v>
      </c>
      <c r="AQ25" s="112">
        <f t="shared" si="11"/>
        <v>24.642296863665983</v>
      </c>
      <c r="AR25" s="207"/>
      <c r="AS25" s="220">
        <v>0</v>
      </c>
      <c r="AT25" s="207">
        <v>0</v>
      </c>
      <c r="AU25" s="220">
        <v>0</v>
      </c>
      <c r="AV25" s="220">
        <v>0</v>
      </c>
      <c r="AW25" s="207"/>
      <c r="AX25" s="220">
        <v>0</v>
      </c>
      <c r="AY25" s="115">
        <f t="shared" si="37"/>
        <v>0</v>
      </c>
      <c r="AZ25" s="352">
        <v>285660</v>
      </c>
      <c r="BA25" s="109">
        <f t="shared" si="13"/>
        <v>1.7560273922077283</v>
      </c>
      <c r="BB25" s="352">
        <v>13104</v>
      </c>
      <c r="BC25" s="352">
        <v>68112</v>
      </c>
      <c r="BD25" s="352">
        <v>17895</v>
      </c>
      <c r="BE25" s="352">
        <v>3084</v>
      </c>
      <c r="BF25" s="352">
        <v>252556</v>
      </c>
      <c r="BG25" s="221">
        <v>5</v>
      </c>
      <c r="BH25" s="221">
        <v>89</v>
      </c>
      <c r="BI25" s="205">
        <v>0</v>
      </c>
      <c r="BJ25">
        <v>104</v>
      </c>
      <c r="BK25" s="352">
        <v>649311</v>
      </c>
      <c r="BL25" s="109">
        <f t="shared" si="14"/>
        <v>3.9914860395637901</v>
      </c>
      <c r="BM25">
        <v>84</v>
      </c>
      <c r="BN25" s="352">
        <v>125611</v>
      </c>
      <c r="BO25" s="109">
        <f t="shared" si="15"/>
        <v>0.77216395982148345</v>
      </c>
      <c r="BP25" s="352">
        <v>82545</v>
      </c>
      <c r="BQ25" s="205">
        <v>0</v>
      </c>
      <c r="BR25" s="356">
        <f t="shared" si="38"/>
        <v>236160</v>
      </c>
      <c r="BS25" s="352">
        <v>245262</v>
      </c>
      <c r="BT25" s="352">
        <v>481422</v>
      </c>
      <c r="BU25" s="109">
        <f t="shared" si="16"/>
        <v>2.9594280585711301</v>
      </c>
      <c r="BV25" s="108">
        <f t="shared" si="39"/>
        <v>7933.7837837837842</v>
      </c>
      <c r="BW25" s="109">
        <f t="shared" si="18"/>
        <v>149.60285891858297</v>
      </c>
      <c r="BX25" s="109">
        <f t="shared" si="19"/>
        <v>2.8290318031168464</v>
      </c>
      <c r="BY25" s="109">
        <f t="shared" si="40"/>
        <v>0.74143515203038302</v>
      </c>
      <c r="BZ25">
        <v>520</v>
      </c>
      <c r="CA25">
        <v>155</v>
      </c>
      <c r="CB25">
        <v>294</v>
      </c>
      <c r="CC25" s="113">
        <f t="shared" si="41"/>
        <v>969</v>
      </c>
      <c r="CD25" s="352">
        <v>3358</v>
      </c>
      <c r="CE25" s="352">
        <v>4978</v>
      </c>
      <c r="CF25">
        <v>143</v>
      </c>
      <c r="CG25" s="116">
        <f t="shared" si="42"/>
        <v>8479</v>
      </c>
      <c r="CH25" s="109">
        <f t="shared" si="22"/>
        <v>5.2122650208392247E-2</v>
      </c>
      <c r="CI25" s="352">
        <v>170172</v>
      </c>
      <c r="CJ25" s="109">
        <f t="shared" si="23"/>
        <v>1.0460921843687374</v>
      </c>
      <c r="CK25" s="352">
        <v>91647</v>
      </c>
      <c r="CL25" s="208" t="s">
        <v>7</v>
      </c>
      <c r="CM25" s="208" t="s">
        <v>7</v>
      </c>
      <c r="CN25" s="208" t="s">
        <v>7</v>
      </c>
      <c r="CO25">
        <v>8</v>
      </c>
      <c r="CP25" s="108">
        <f t="shared" si="45"/>
        <v>20334.25</v>
      </c>
      <c r="CQ25">
        <v>0</v>
      </c>
      <c r="CR25">
        <v>52.68</v>
      </c>
      <c r="CS25">
        <v>60.68</v>
      </c>
      <c r="CT25" s="108">
        <f t="shared" si="24"/>
        <v>2680.8503625576795</v>
      </c>
      <c r="CU25">
        <v>458</v>
      </c>
      <c r="CV25" s="353">
        <v>65404</v>
      </c>
      <c r="CW25" s="209">
        <v>40</v>
      </c>
      <c r="CX25" s="208" t="s">
        <v>7</v>
      </c>
      <c r="CY25" s="208" t="s">
        <v>7</v>
      </c>
      <c r="CZ25" s="352">
        <v>21851</v>
      </c>
      <c r="DA25" s="352">
        <v>13115</v>
      </c>
      <c r="DB25">
        <v>123</v>
      </c>
      <c r="DC25" s="352">
        <v>14047</v>
      </c>
      <c r="DD25">
        <v>-1</v>
      </c>
      <c r="DE25" s="352">
        <v>51389</v>
      </c>
      <c r="DF25" s="205">
        <v>4544</v>
      </c>
      <c r="DG25" s="205">
        <v>52</v>
      </c>
      <c r="DH25" s="209">
        <f t="shared" si="25"/>
        <v>2.7933166947391716E-2</v>
      </c>
      <c r="DI25" s="205">
        <v>61</v>
      </c>
      <c r="DJ25" s="205">
        <v>61</v>
      </c>
      <c r="DL25" s="343">
        <v>3218</v>
      </c>
      <c r="DM25" s="204"/>
      <c r="DN25" t="s">
        <v>1054</v>
      </c>
      <c r="DO25" t="s">
        <v>125</v>
      </c>
      <c r="DP25" s="208"/>
      <c r="DQ25" s="206"/>
      <c r="DR25" s="368" t="s">
        <v>979</v>
      </c>
      <c r="DS25" s="204" t="s">
        <v>979</v>
      </c>
      <c r="DT25" s="227">
        <v>44013</v>
      </c>
      <c r="DU25" s="227">
        <v>44377</v>
      </c>
      <c r="DV25" t="s">
        <v>1189</v>
      </c>
      <c r="DW25" s="109">
        <f t="shared" si="26"/>
        <v>0.50742589473425381</v>
      </c>
      <c r="DX25" s="109">
        <f t="shared" si="27"/>
        <v>0</v>
      </c>
      <c r="DY25" s="109">
        <f t="shared" si="28"/>
        <v>1.4517378314912033</v>
      </c>
      <c r="DZ25" s="109">
        <f t="shared" si="29"/>
        <v>1.5076902270799266</v>
      </c>
      <c r="EA25" s="110">
        <f t="shared" si="44"/>
        <v>0.70453240457476352</v>
      </c>
      <c r="EB25" s="199">
        <f t="shared" si="43"/>
        <v>0.29647479022433154</v>
      </c>
    </row>
    <row r="26" spans="1:132" ht="16.5" x14ac:dyDescent="0.3">
      <c r="A26" s="216" t="s">
        <v>980</v>
      </c>
      <c r="B26" t="s">
        <v>1190</v>
      </c>
      <c r="C26" s="352">
        <v>43227</v>
      </c>
      <c r="D26"/>
      <c r="E26"/>
      <c r="F26" s="221">
        <v>18124</v>
      </c>
      <c r="H26" s="108">
        <f t="shared" si="0"/>
        <v>18124</v>
      </c>
      <c r="I26" s="109">
        <v>0.24542</v>
      </c>
      <c r="J26" s="220">
        <v>343960</v>
      </c>
      <c r="K26" s="220">
        <v>110123</v>
      </c>
      <c r="L26" s="115">
        <f t="shared" si="31"/>
        <v>454083</v>
      </c>
      <c r="M26" s="110">
        <f t="shared" si="1"/>
        <v>10.504615171073635</v>
      </c>
      <c r="N26" s="220">
        <v>55373</v>
      </c>
      <c r="O26" s="220">
        <v>36469</v>
      </c>
      <c r="P26" s="220">
        <v>6232</v>
      </c>
      <c r="Q26" s="220">
        <v>98074</v>
      </c>
      <c r="R26" s="110">
        <f t="shared" si="2"/>
        <v>2.2688134730608183</v>
      </c>
      <c r="S26" s="220">
        <v>56331</v>
      </c>
      <c r="T26" s="220">
        <v>608488</v>
      </c>
      <c r="U26" s="207">
        <v>0</v>
      </c>
      <c r="V26" s="220">
        <v>608488</v>
      </c>
      <c r="W26" s="110">
        <f t="shared" si="3"/>
        <v>14.076572512550026</v>
      </c>
      <c r="X26" s="111">
        <f t="shared" si="32"/>
        <v>0.74624807720119379</v>
      </c>
      <c r="Y26" s="111">
        <f t="shared" si="33"/>
        <v>0.16117655565927347</v>
      </c>
      <c r="Z26" s="111">
        <f t="shared" si="34"/>
        <v>9.2575367139532738E-2</v>
      </c>
      <c r="AA26" s="111">
        <f t="shared" si="35"/>
        <v>0</v>
      </c>
      <c r="AB26" s="220">
        <v>0</v>
      </c>
      <c r="AE26" s="207"/>
      <c r="AF26" s="353">
        <v>40535</v>
      </c>
      <c r="AG26" s="353">
        <v>592886</v>
      </c>
      <c r="AH26" s="207"/>
      <c r="AI26" s="115">
        <f t="shared" si="8"/>
        <v>633421</v>
      </c>
      <c r="AJ26" s="110">
        <f t="shared" si="9"/>
        <v>14.653364795151179</v>
      </c>
      <c r="AK26" s="353">
        <v>91885</v>
      </c>
      <c r="AL26" s="207">
        <v>0</v>
      </c>
      <c r="AM26" s="353"/>
      <c r="AN26" s="353">
        <v>48082</v>
      </c>
      <c r="AO26" s="115">
        <f t="shared" si="36"/>
        <v>48082</v>
      </c>
      <c r="AP26" s="353">
        <v>781491</v>
      </c>
      <c r="AQ26" s="112">
        <f t="shared" si="11"/>
        <v>18.078770213061283</v>
      </c>
      <c r="AR26" s="207"/>
      <c r="AS26" s="220">
        <v>0</v>
      </c>
      <c r="AT26" s="207">
        <v>0</v>
      </c>
      <c r="AU26" s="220">
        <v>0</v>
      </c>
      <c r="AV26" s="220">
        <v>0</v>
      </c>
      <c r="AW26" s="207"/>
      <c r="AX26" s="220">
        <v>0</v>
      </c>
      <c r="AY26" s="115">
        <f t="shared" si="37"/>
        <v>0</v>
      </c>
      <c r="AZ26" s="352">
        <v>58559</v>
      </c>
      <c r="BA26" s="109">
        <f t="shared" si="13"/>
        <v>1.3546857288268905</v>
      </c>
      <c r="BB26" s="352">
        <v>3162</v>
      </c>
      <c r="BC26" s="352">
        <v>30201</v>
      </c>
      <c r="BD26" s="352">
        <v>2680</v>
      </c>
      <c r="BE26" s="352">
        <v>2447</v>
      </c>
      <c r="BF26" s="352">
        <v>166954</v>
      </c>
      <c r="BG26" s="221">
        <v>0</v>
      </c>
      <c r="BH26" s="221">
        <v>89</v>
      </c>
      <c r="BI26" s="205">
        <v>0</v>
      </c>
      <c r="BJ26">
        <v>92</v>
      </c>
      <c r="BK26" s="352">
        <v>268318</v>
      </c>
      <c r="BL26" s="109">
        <f t="shared" si="14"/>
        <v>6.2071853239873231</v>
      </c>
      <c r="BM26">
        <v>1</v>
      </c>
      <c r="BN26" s="352">
        <v>2613</v>
      </c>
      <c r="BO26" s="109">
        <f t="shared" si="15"/>
        <v>6.0448330904295924E-2</v>
      </c>
      <c r="BP26" s="352">
        <v>34458</v>
      </c>
      <c r="BQ26" s="205">
        <v>0</v>
      </c>
      <c r="BR26" s="356">
        <f t="shared" si="38"/>
        <v>35751</v>
      </c>
      <c r="BS26" s="352">
        <v>85515</v>
      </c>
      <c r="BT26" s="352">
        <v>121266</v>
      </c>
      <c r="BU26" s="109">
        <f t="shared" si="16"/>
        <v>2.805330002082032</v>
      </c>
      <c r="BV26" s="108">
        <f t="shared" si="39"/>
        <v>8989.3254262416594</v>
      </c>
      <c r="BW26" s="109">
        <f t="shared" si="18"/>
        <v>22.734533183352081</v>
      </c>
      <c r="BX26" s="109">
        <f t="shared" si="19"/>
        <v>3.91142792632971</v>
      </c>
      <c r="BY26" s="109">
        <f t="shared" si="40"/>
        <v>0.45194880701257462</v>
      </c>
      <c r="BZ26">
        <v>268</v>
      </c>
      <c r="CA26">
        <v>13</v>
      </c>
      <c r="CB26">
        <v>128</v>
      </c>
      <c r="CC26" s="113">
        <f t="shared" si="41"/>
        <v>409</v>
      </c>
      <c r="CD26">
        <v>478</v>
      </c>
      <c r="CE26">
        <v>101</v>
      </c>
      <c r="CF26">
        <v>0</v>
      </c>
      <c r="CG26" s="116">
        <f t="shared" si="42"/>
        <v>579</v>
      </c>
      <c r="CH26" s="109">
        <f t="shared" si="22"/>
        <v>1.3394406273856617E-2</v>
      </c>
      <c r="CI26" s="352">
        <v>31003</v>
      </c>
      <c r="CJ26" s="109">
        <f t="shared" si="23"/>
        <v>0.71721377842552103</v>
      </c>
      <c r="CK26" s="352">
        <v>17415</v>
      </c>
      <c r="CL26" s="208" t="s">
        <v>7</v>
      </c>
      <c r="CM26" s="208" t="s">
        <v>7</v>
      </c>
      <c r="CN26" s="208" t="s">
        <v>7</v>
      </c>
      <c r="CO26">
        <v>2.81</v>
      </c>
      <c r="CP26" s="108">
        <f t="shared" si="45"/>
        <v>15383.274021352312</v>
      </c>
      <c r="CQ26">
        <v>2.81</v>
      </c>
      <c r="CR26">
        <v>7.87</v>
      </c>
      <c r="CS26">
        <v>13.49</v>
      </c>
      <c r="CT26" s="108">
        <f t="shared" si="24"/>
        <v>3204.3736100815418</v>
      </c>
      <c r="CU26">
        <v>172</v>
      </c>
      <c r="CV26" s="353">
        <v>59786</v>
      </c>
      <c r="CW26" s="209">
        <v>40</v>
      </c>
      <c r="CX26" s="208" t="s">
        <v>7</v>
      </c>
      <c r="CY26" s="208" t="s">
        <v>7</v>
      </c>
      <c r="CZ26" s="352">
        <v>4645</v>
      </c>
      <c r="DA26" s="352">
        <v>2812</v>
      </c>
      <c r="DB26">
        <v>49</v>
      </c>
      <c r="DC26" s="352">
        <v>2592</v>
      </c>
      <c r="DD26" s="352">
        <v>3937</v>
      </c>
      <c r="DE26">
        <v>135</v>
      </c>
      <c r="DF26" s="205">
        <v>7728</v>
      </c>
      <c r="DG26" s="205">
        <v>52</v>
      </c>
      <c r="DH26" s="209">
        <f t="shared" si="25"/>
        <v>0.17877715316815879</v>
      </c>
      <c r="DI26" s="205">
        <v>54</v>
      </c>
      <c r="DJ26" s="205">
        <v>54</v>
      </c>
      <c r="DK26" s="108">
        <v>2700</v>
      </c>
      <c r="DL26" s="343">
        <v>5334</v>
      </c>
      <c r="DM26" s="204"/>
      <c r="DN26" t="s">
        <v>1055</v>
      </c>
      <c r="DO26" t="s">
        <v>125</v>
      </c>
      <c r="DP26" s="208"/>
      <c r="DQ26" s="206"/>
      <c r="DR26" s="368" t="s">
        <v>980</v>
      </c>
      <c r="DS26" s="204" t="s">
        <v>980</v>
      </c>
      <c r="DT26" s="227">
        <v>44013</v>
      </c>
      <c r="DU26" s="227">
        <v>44377</v>
      </c>
      <c r="DV26" t="s">
        <v>1190</v>
      </c>
      <c r="DW26" s="109">
        <f t="shared" si="26"/>
        <v>0.79714067596640992</v>
      </c>
      <c r="DX26" s="109">
        <f t="shared" si="27"/>
        <v>0</v>
      </c>
      <c r="DY26" s="109">
        <f t="shared" si="28"/>
        <v>0.82705253660906375</v>
      </c>
      <c r="DZ26" s="109">
        <f t="shared" si="29"/>
        <v>1.9782774654729682</v>
      </c>
      <c r="EA26" s="110">
        <f t="shared" si="44"/>
        <v>0.78868805993533597</v>
      </c>
      <c r="EB26" s="199">
        <f t="shared" si="43"/>
        <v>0.42646319359176754</v>
      </c>
    </row>
    <row r="27" spans="1:132" ht="16.5" x14ac:dyDescent="0.3">
      <c r="A27" s="216" t="s">
        <v>981</v>
      </c>
      <c r="B27" t="s">
        <v>1191</v>
      </c>
      <c r="C27" s="352">
        <v>60048</v>
      </c>
      <c r="D27"/>
      <c r="E27"/>
      <c r="F27" s="221">
        <v>14634</v>
      </c>
      <c r="H27" s="108">
        <f t="shared" si="0"/>
        <v>14634</v>
      </c>
      <c r="I27" s="109">
        <v>0.68476999999999999</v>
      </c>
      <c r="J27" s="220">
        <v>247974</v>
      </c>
      <c r="K27" s="220">
        <v>114359</v>
      </c>
      <c r="L27" s="115">
        <f t="shared" si="31"/>
        <v>362333</v>
      </c>
      <c r="M27" s="110">
        <f t="shared" si="1"/>
        <v>6.0340560884625631</v>
      </c>
      <c r="N27" s="220">
        <v>96755</v>
      </c>
      <c r="O27" s="220">
        <v>12739</v>
      </c>
      <c r="P27" s="220">
        <v>22552</v>
      </c>
      <c r="Q27" s="220">
        <v>132046</v>
      </c>
      <c r="R27" s="110">
        <f t="shared" si="2"/>
        <v>2.199007460698108</v>
      </c>
      <c r="S27" s="220">
        <v>109277</v>
      </c>
      <c r="T27" s="220">
        <v>603656</v>
      </c>
      <c r="U27" s="207">
        <v>0</v>
      </c>
      <c r="V27" s="220">
        <v>603656</v>
      </c>
      <c r="W27" s="110">
        <f t="shared" si="3"/>
        <v>10.05289102051692</v>
      </c>
      <c r="X27" s="111">
        <f t="shared" si="32"/>
        <v>0.60023092622288188</v>
      </c>
      <c r="Y27" s="111">
        <f t="shared" si="33"/>
        <v>0.21874378785268431</v>
      </c>
      <c r="Z27" s="111">
        <f t="shared" si="34"/>
        <v>0.18102528592443379</v>
      </c>
      <c r="AA27" s="111">
        <f t="shared" si="35"/>
        <v>0</v>
      </c>
      <c r="AB27" s="220">
        <v>0</v>
      </c>
      <c r="AE27" s="207"/>
      <c r="AF27" s="353">
        <v>37460</v>
      </c>
      <c r="AG27" s="353">
        <v>498186</v>
      </c>
      <c r="AH27" s="207"/>
      <c r="AI27" s="115">
        <f t="shared" si="8"/>
        <v>535646</v>
      </c>
      <c r="AJ27" s="110">
        <f t="shared" si="9"/>
        <v>8.9202970956568084</v>
      </c>
      <c r="AK27" s="353">
        <v>123346</v>
      </c>
      <c r="AL27" s="207">
        <v>149615</v>
      </c>
      <c r="AM27" s="353"/>
      <c r="AN27" s="353">
        <v>0</v>
      </c>
      <c r="AO27" s="115">
        <f t="shared" si="36"/>
        <v>0</v>
      </c>
      <c r="AP27" s="353">
        <v>666492</v>
      </c>
      <c r="AQ27" s="112">
        <f t="shared" si="11"/>
        <v>11.099320543565147</v>
      </c>
      <c r="AR27" s="207"/>
      <c r="AS27" s="220">
        <v>500000</v>
      </c>
      <c r="AT27" s="207">
        <v>0</v>
      </c>
      <c r="AU27" s="220">
        <v>0</v>
      </c>
      <c r="AV27" s="220">
        <v>0</v>
      </c>
      <c r="AW27" s="207"/>
      <c r="AX27" s="220">
        <v>449758</v>
      </c>
      <c r="AY27" s="115">
        <f t="shared" si="37"/>
        <v>949758</v>
      </c>
      <c r="AZ27" s="352">
        <v>82976</v>
      </c>
      <c r="BA27" s="109">
        <f t="shared" si="13"/>
        <v>1.3818278710365042</v>
      </c>
      <c r="BB27" s="352">
        <v>6241</v>
      </c>
      <c r="BC27" s="352">
        <v>30655</v>
      </c>
      <c r="BD27" s="352">
        <v>2366</v>
      </c>
      <c r="BE27" s="352">
        <v>2444</v>
      </c>
      <c r="BF27" s="352">
        <v>169377</v>
      </c>
      <c r="BG27" s="221">
        <v>21</v>
      </c>
      <c r="BH27" s="221">
        <v>89</v>
      </c>
      <c r="BI27" s="205">
        <v>0</v>
      </c>
      <c r="BJ27">
        <v>86</v>
      </c>
      <c r="BK27" s="352">
        <v>300399</v>
      </c>
      <c r="BL27" s="109">
        <f t="shared" si="14"/>
        <v>5.002647881694644</v>
      </c>
      <c r="BM27">
        <v>36</v>
      </c>
      <c r="BN27" s="352">
        <v>1185</v>
      </c>
      <c r="BO27" s="109">
        <f t="shared" si="15"/>
        <v>1.9734212629896084E-2</v>
      </c>
      <c r="BP27" s="352">
        <v>10585</v>
      </c>
      <c r="BQ27" s="205">
        <v>0</v>
      </c>
      <c r="BR27" s="356">
        <f t="shared" si="38"/>
        <v>39788</v>
      </c>
      <c r="BS27" s="352">
        <v>45366</v>
      </c>
      <c r="BT27" s="352">
        <v>85154</v>
      </c>
      <c r="BU27" s="109">
        <f t="shared" si="16"/>
        <v>1.4180988542499333</v>
      </c>
      <c r="BV27" s="108">
        <f t="shared" si="39"/>
        <v>9461.5555555555547</v>
      </c>
      <c r="BW27" s="109">
        <f t="shared" si="18"/>
        <v>7.3027743235710307</v>
      </c>
      <c r="BX27" s="109">
        <f t="shared" si="19"/>
        <v>20.107201889020072</v>
      </c>
      <c r="BY27" s="109">
        <f t="shared" si="40"/>
        <v>0.2834696520294675</v>
      </c>
      <c r="BZ27">
        <v>19</v>
      </c>
      <c r="CA27">
        <v>0</v>
      </c>
      <c r="CB27">
        <v>0</v>
      </c>
      <c r="CC27" s="113">
        <f t="shared" si="41"/>
        <v>19</v>
      </c>
      <c r="CD27" s="352">
        <v>23984</v>
      </c>
      <c r="CE27">
        <v>0</v>
      </c>
      <c r="CF27">
        <v>0</v>
      </c>
      <c r="CG27" s="116">
        <f t="shared" si="42"/>
        <v>23984</v>
      </c>
      <c r="CH27" s="109">
        <f t="shared" si="22"/>
        <v>0.39941380229150014</v>
      </c>
      <c r="CI27" s="352">
        <v>4235</v>
      </c>
      <c r="CJ27" s="109">
        <f t="shared" si="23"/>
        <v>7.0526911803890216E-2</v>
      </c>
      <c r="CK27" s="352">
        <v>1680</v>
      </c>
      <c r="CL27" s="208" t="s">
        <v>7</v>
      </c>
      <c r="CM27" s="208" t="s">
        <v>7</v>
      </c>
      <c r="CN27" s="208" t="s">
        <v>7</v>
      </c>
      <c r="CO27">
        <v>1</v>
      </c>
      <c r="CP27" s="108">
        <f t="shared" si="45"/>
        <v>60048</v>
      </c>
      <c r="CQ27">
        <v>0</v>
      </c>
      <c r="CR27">
        <v>8</v>
      </c>
      <c r="CS27">
        <v>9</v>
      </c>
      <c r="CT27" s="108">
        <f t="shared" si="24"/>
        <v>6672</v>
      </c>
      <c r="CU27">
        <v>30</v>
      </c>
      <c r="CV27" s="353">
        <v>60952</v>
      </c>
      <c r="CW27" s="209">
        <v>40</v>
      </c>
      <c r="CX27" s="208" t="s">
        <v>7</v>
      </c>
      <c r="CY27" s="208" t="s">
        <v>7</v>
      </c>
      <c r="CZ27">
        <v>463</v>
      </c>
      <c r="DA27">
        <v>3</v>
      </c>
      <c r="DB27">
        <v>42</v>
      </c>
      <c r="DC27">
        <v>689</v>
      </c>
      <c r="DD27">
        <v>-1</v>
      </c>
      <c r="DE27">
        <v>-1</v>
      </c>
      <c r="DF27" s="205">
        <v>16899</v>
      </c>
      <c r="DG27" s="205">
        <v>52</v>
      </c>
      <c r="DH27" s="209">
        <f t="shared" si="25"/>
        <v>0.28142486011191048</v>
      </c>
      <c r="DI27" s="205">
        <v>55</v>
      </c>
      <c r="DJ27" s="205">
        <v>55</v>
      </c>
      <c r="DL27" s="343">
        <v>11660.5</v>
      </c>
      <c r="DM27" s="204"/>
      <c r="DN27" t="s">
        <v>1056</v>
      </c>
      <c r="DO27" t="s">
        <v>125</v>
      </c>
      <c r="DP27" s="208"/>
      <c r="DQ27" s="206"/>
      <c r="DR27" s="368" t="s">
        <v>981</v>
      </c>
      <c r="DS27" s="204" t="s">
        <v>981</v>
      </c>
      <c r="DT27" s="227">
        <v>44013</v>
      </c>
      <c r="DU27" s="227">
        <v>44377</v>
      </c>
      <c r="DV27" t="s">
        <v>1191</v>
      </c>
      <c r="DW27" s="109">
        <f t="shared" si="26"/>
        <v>0.17627564614974686</v>
      </c>
      <c r="DX27" s="109">
        <f t="shared" si="27"/>
        <v>0</v>
      </c>
      <c r="DY27" s="109">
        <f t="shared" si="28"/>
        <v>0.66260325073274717</v>
      </c>
      <c r="DZ27" s="109">
        <f t="shared" si="29"/>
        <v>0.75549560351718625</v>
      </c>
      <c r="EA27" s="110">
        <f t="shared" si="44"/>
        <v>1.9207710479820539</v>
      </c>
      <c r="EB27" s="199">
        <f t="shared" si="43"/>
        <v>0.28080500815588766</v>
      </c>
    </row>
    <row r="28" spans="1:132" ht="16.5" x14ac:dyDescent="0.3">
      <c r="A28" s="216" t="s">
        <v>982</v>
      </c>
      <c r="B28" t="s">
        <v>1192</v>
      </c>
      <c r="C28" s="352">
        <v>313559</v>
      </c>
      <c r="D28">
        <v>6</v>
      </c>
      <c r="E28">
        <v>1</v>
      </c>
      <c r="F28" s="221">
        <v>208544</v>
      </c>
      <c r="H28" s="108">
        <f t="shared" si="0"/>
        <v>208544</v>
      </c>
      <c r="I28" s="109">
        <v>0.60897999999999997</v>
      </c>
      <c r="J28" s="220">
        <v>5925204</v>
      </c>
      <c r="K28" s="220">
        <v>1222089</v>
      </c>
      <c r="L28" s="115">
        <f t="shared" si="31"/>
        <v>7147293</v>
      </c>
      <c r="M28" s="110">
        <f t="shared" si="1"/>
        <v>22.794092977717114</v>
      </c>
      <c r="N28" s="220">
        <v>709912</v>
      </c>
      <c r="O28" s="220">
        <v>894850</v>
      </c>
      <c r="P28" s="220">
        <v>265485</v>
      </c>
      <c r="Q28" s="220">
        <v>1870247</v>
      </c>
      <c r="R28" s="110">
        <f t="shared" si="2"/>
        <v>5.9645776392959542</v>
      </c>
      <c r="S28" s="220">
        <v>2095747</v>
      </c>
      <c r="T28" s="220">
        <v>11113287</v>
      </c>
      <c r="U28" s="207">
        <v>0</v>
      </c>
      <c r="V28" s="220">
        <v>11113287</v>
      </c>
      <c r="W28" s="110">
        <f t="shared" si="3"/>
        <v>35.442411157070921</v>
      </c>
      <c r="X28" s="111">
        <f t="shared" si="32"/>
        <v>0.6431304257687217</v>
      </c>
      <c r="Y28" s="111">
        <f t="shared" si="33"/>
        <v>0.1682892739114899</v>
      </c>
      <c r="Z28" s="111">
        <f t="shared" si="34"/>
        <v>0.18858030031978837</v>
      </c>
      <c r="AA28" s="111">
        <f t="shared" si="35"/>
        <v>0</v>
      </c>
      <c r="AB28" s="220">
        <v>500000</v>
      </c>
      <c r="AE28" s="207"/>
      <c r="AF28" s="353">
        <v>0</v>
      </c>
      <c r="AG28" s="353">
        <v>11377504</v>
      </c>
      <c r="AH28" s="207"/>
      <c r="AI28" s="115">
        <f t="shared" si="8"/>
        <v>11377504</v>
      </c>
      <c r="AJ28" s="110">
        <f t="shared" si="9"/>
        <v>36.285050022483809</v>
      </c>
      <c r="AK28" s="353">
        <v>241675</v>
      </c>
      <c r="AL28" s="207">
        <v>12260</v>
      </c>
      <c r="AM28" s="353"/>
      <c r="AN28" s="353">
        <v>200466</v>
      </c>
      <c r="AO28" s="115">
        <f t="shared" si="36"/>
        <v>200466</v>
      </c>
      <c r="AP28" s="353">
        <v>11887866</v>
      </c>
      <c r="AQ28" s="112">
        <f t="shared" si="11"/>
        <v>37.912692667089765</v>
      </c>
      <c r="AR28" s="207"/>
      <c r="AS28" s="220">
        <v>0</v>
      </c>
      <c r="AT28" s="207">
        <v>0</v>
      </c>
      <c r="AU28" s="220">
        <v>0</v>
      </c>
      <c r="AV28" s="220">
        <v>0</v>
      </c>
      <c r="AW28" s="207"/>
      <c r="AX28" s="220">
        <v>0</v>
      </c>
      <c r="AY28" s="115">
        <f t="shared" si="37"/>
        <v>0</v>
      </c>
      <c r="AZ28" s="352">
        <v>578228</v>
      </c>
      <c r="BA28" s="109">
        <f t="shared" si="13"/>
        <v>1.8440803804068773</v>
      </c>
      <c r="BB28" s="352">
        <v>32935</v>
      </c>
      <c r="BC28" s="352">
        <v>38557</v>
      </c>
      <c r="BD28" s="352">
        <v>53549</v>
      </c>
      <c r="BE28" s="352">
        <v>2130</v>
      </c>
      <c r="BF28" s="352">
        <v>177012</v>
      </c>
      <c r="BG28" s="221">
        <v>7</v>
      </c>
      <c r="BH28" s="221">
        <v>89</v>
      </c>
      <c r="BI28" s="205">
        <v>0</v>
      </c>
      <c r="BJ28">
        <v>107</v>
      </c>
      <c r="BK28" s="352">
        <v>888524</v>
      </c>
      <c r="BL28" s="109">
        <f t="shared" si="14"/>
        <v>2.8336740453949654</v>
      </c>
      <c r="BM28">
        <v>312</v>
      </c>
      <c r="BN28" s="352">
        <v>30169</v>
      </c>
      <c r="BO28" s="109">
        <f t="shared" si="15"/>
        <v>9.6214747463794686E-2</v>
      </c>
      <c r="BP28" s="352">
        <v>407572</v>
      </c>
      <c r="BQ28" s="205">
        <v>0</v>
      </c>
      <c r="BR28" s="356">
        <f t="shared" si="38"/>
        <v>690485</v>
      </c>
      <c r="BS28" s="352">
        <v>2696625</v>
      </c>
      <c r="BT28" s="352">
        <v>3387110</v>
      </c>
      <c r="BU28" s="109">
        <f t="shared" si="16"/>
        <v>10.802145688690167</v>
      </c>
      <c r="BV28" s="108">
        <f t="shared" si="39"/>
        <v>21525.961232920243</v>
      </c>
      <c r="BW28" s="109">
        <f t="shared" si="18"/>
        <v>224.05966792352979</v>
      </c>
      <c r="BX28" s="109">
        <f t="shared" si="19"/>
        <v>39.33423139900826</v>
      </c>
      <c r="BY28" s="109">
        <f t="shared" si="40"/>
        <v>3.8120636021086658</v>
      </c>
      <c r="BZ28">
        <v>994</v>
      </c>
      <c r="CA28">
        <v>10</v>
      </c>
      <c r="CB28">
        <v>0</v>
      </c>
      <c r="CC28" s="113">
        <f t="shared" si="41"/>
        <v>1004</v>
      </c>
      <c r="CD28" s="352">
        <v>1709</v>
      </c>
      <c r="CE28">
        <v>158</v>
      </c>
      <c r="CF28">
        <v>33</v>
      </c>
      <c r="CG28" s="116">
        <f t="shared" si="42"/>
        <v>1900</v>
      </c>
      <c r="CH28" s="109">
        <f t="shared" si="22"/>
        <v>6.0594656826944851E-3</v>
      </c>
      <c r="CI28" s="352">
        <v>86111</v>
      </c>
      <c r="CJ28" s="109">
        <f t="shared" si="23"/>
        <v>0.27462455231710781</v>
      </c>
      <c r="CK28" s="352">
        <v>203115</v>
      </c>
      <c r="CL28" s="208" t="s">
        <v>8</v>
      </c>
      <c r="CM28" s="208" t="s">
        <v>7</v>
      </c>
      <c r="CN28" s="208" t="s">
        <v>7</v>
      </c>
      <c r="CO28">
        <v>59.16</v>
      </c>
      <c r="CP28" s="209">
        <v>0</v>
      </c>
      <c r="CQ28">
        <v>0.94</v>
      </c>
      <c r="CR28">
        <v>97.25</v>
      </c>
      <c r="CS28">
        <v>157.35</v>
      </c>
      <c r="CT28" s="108">
        <f t="shared" si="24"/>
        <v>1992.7486495074675</v>
      </c>
      <c r="CU28">
        <v>0</v>
      </c>
      <c r="CV28" s="353">
        <v>146324</v>
      </c>
      <c r="CW28" s="209">
        <v>20</v>
      </c>
      <c r="CX28" s="208" t="s">
        <v>8</v>
      </c>
      <c r="CY28" s="208" t="s">
        <v>8</v>
      </c>
      <c r="CZ28">
        <v>0</v>
      </c>
      <c r="DA28">
        <v>0</v>
      </c>
      <c r="DB28">
        <v>292</v>
      </c>
      <c r="DC28" s="352">
        <v>1693</v>
      </c>
      <c r="DD28">
        <v>-1</v>
      </c>
      <c r="DE28" s="352">
        <v>1401310</v>
      </c>
      <c r="DF28" s="205">
        <v>20214</v>
      </c>
      <c r="DG28" s="205">
        <v>46</v>
      </c>
      <c r="DH28" s="209">
        <f t="shared" si="25"/>
        <v>6.4466336478940164E-2</v>
      </c>
      <c r="DI28" s="205">
        <v>20</v>
      </c>
      <c r="DJ28" s="205">
        <v>20</v>
      </c>
      <c r="DL28" s="343">
        <v>15117</v>
      </c>
      <c r="DM28" s="204"/>
      <c r="DN28" t="s">
        <v>1057</v>
      </c>
      <c r="DO28" t="s">
        <v>125</v>
      </c>
      <c r="DP28" s="208"/>
      <c r="DQ28" s="206"/>
      <c r="DR28" s="367" t="s">
        <v>982</v>
      </c>
      <c r="DS28" s="204" t="s">
        <v>982</v>
      </c>
      <c r="DT28" s="227">
        <v>44013</v>
      </c>
      <c r="DU28" s="227">
        <v>44377</v>
      </c>
      <c r="DV28" t="s">
        <v>1192</v>
      </c>
      <c r="DW28" s="109">
        <f t="shared" si="26"/>
        <v>1.2998255511721877</v>
      </c>
      <c r="DX28" s="109">
        <f t="shared" si="27"/>
        <v>0</v>
      </c>
      <c r="DY28" s="109">
        <f t="shared" si="28"/>
        <v>2.2020895589027902</v>
      </c>
      <c r="DZ28" s="109">
        <f t="shared" si="29"/>
        <v>8.6000561297873759</v>
      </c>
      <c r="EA28" s="110">
        <f t="shared" si="44"/>
        <v>0.64651652874122201</v>
      </c>
      <c r="EB28" s="199">
        <v>0</v>
      </c>
    </row>
    <row r="29" spans="1:132" ht="16.5" x14ac:dyDescent="0.3">
      <c r="A29" s="216" t="s">
        <v>1130</v>
      </c>
      <c r="B29" t="s">
        <v>1193</v>
      </c>
      <c r="C29" s="352">
        <v>115788</v>
      </c>
      <c r="D29">
        <v>7</v>
      </c>
      <c r="E29">
        <v>1</v>
      </c>
      <c r="F29" s="221">
        <v>70037</v>
      </c>
      <c r="H29" s="108">
        <f t="shared" si="0"/>
        <v>70037</v>
      </c>
      <c r="I29" s="109">
        <v>0.44244</v>
      </c>
      <c r="J29" s="220">
        <v>1574313</v>
      </c>
      <c r="K29" s="220">
        <v>686853</v>
      </c>
      <c r="L29" s="115">
        <f t="shared" si="31"/>
        <v>2261166</v>
      </c>
      <c r="M29" s="110">
        <f t="shared" si="1"/>
        <v>19.52850036273189</v>
      </c>
      <c r="N29" s="220">
        <v>117566</v>
      </c>
      <c r="O29" s="220">
        <v>42047</v>
      </c>
      <c r="P29" s="220">
        <v>4292</v>
      </c>
      <c r="Q29" s="220">
        <v>163905</v>
      </c>
      <c r="R29" s="110">
        <f t="shared" si="2"/>
        <v>1.4155611980516116</v>
      </c>
      <c r="S29" s="220">
        <v>610582</v>
      </c>
      <c r="T29" s="220">
        <v>3035653</v>
      </c>
      <c r="U29" s="207">
        <v>0</v>
      </c>
      <c r="V29" s="220">
        <v>3035653</v>
      </c>
      <c r="W29" s="110">
        <f t="shared" si="3"/>
        <v>26.217336857014544</v>
      </c>
      <c r="X29" s="111">
        <f t="shared" si="32"/>
        <v>0.74486971995811113</v>
      </c>
      <c r="Y29" s="111">
        <f t="shared" si="33"/>
        <v>5.3993325324073603E-2</v>
      </c>
      <c r="Z29" s="111">
        <f t="shared" si="34"/>
        <v>0.20113695471781523</v>
      </c>
      <c r="AA29" s="111">
        <f t="shared" si="35"/>
        <v>0</v>
      </c>
      <c r="AB29" s="220">
        <v>0</v>
      </c>
      <c r="AE29" s="207"/>
      <c r="AF29" s="353">
        <v>0</v>
      </c>
      <c r="AG29" s="353">
        <v>2691483</v>
      </c>
      <c r="AH29" s="207"/>
      <c r="AI29" s="115">
        <f t="shared" si="8"/>
        <v>2691483</v>
      </c>
      <c r="AJ29" s="110">
        <f t="shared" si="9"/>
        <v>23.24492175354959</v>
      </c>
      <c r="AK29" s="353">
        <v>396288</v>
      </c>
      <c r="AL29" s="207">
        <v>0</v>
      </c>
      <c r="AM29" s="353"/>
      <c r="AN29" s="353">
        <v>40950</v>
      </c>
      <c r="AO29" s="115">
        <f t="shared" si="36"/>
        <v>40950</v>
      </c>
      <c r="AP29" s="353">
        <v>3149105</v>
      </c>
      <c r="AQ29" s="112">
        <f t="shared" si="11"/>
        <v>27.197162054789789</v>
      </c>
      <c r="AR29" s="207"/>
      <c r="AS29" s="220">
        <v>0</v>
      </c>
      <c r="AT29" s="207">
        <v>0</v>
      </c>
      <c r="AU29" s="220">
        <v>0</v>
      </c>
      <c r="AV29" s="220">
        <v>0</v>
      </c>
      <c r="AW29" s="207"/>
      <c r="AX29" s="220">
        <v>0</v>
      </c>
      <c r="AY29" s="115">
        <f t="shared" si="37"/>
        <v>0</v>
      </c>
      <c r="AZ29" s="352">
        <v>213973</v>
      </c>
      <c r="BA29" s="109">
        <f t="shared" si="13"/>
        <v>1.8479721560092583</v>
      </c>
      <c r="BB29" s="352">
        <v>6897</v>
      </c>
      <c r="BC29" s="352">
        <v>25077</v>
      </c>
      <c r="BD29" s="352">
        <v>19689</v>
      </c>
      <c r="BE29" s="352">
        <v>2130</v>
      </c>
      <c r="BF29" s="352">
        <v>132873</v>
      </c>
      <c r="BG29" s="221">
        <v>1</v>
      </c>
      <c r="BH29" s="221">
        <v>89</v>
      </c>
      <c r="BI29" s="205">
        <v>0</v>
      </c>
      <c r="BJ29">
        <v>95</v>
      </c>
      <c r="BK29" s="352">
        <v>407118</v>
      </c>
      <c r="BL29" s="109">
        <f t="shared" si="14"/>
        <v>3.5160638408125195</v>
      </c>
      <c r="BM29">
        <v>159</v>
      </c>
      <c r="BN29" s="352">
        <v>33626</v>
      </c>
      <c r="BO29" s="109">
        <f t="shared" si="15"/>
        <v>0.29041005976439699</v>
      </c>
      <c r="BP29" s="352">
        <v>94154</v>
      </c>
      <c r="BQ29" s="205">
        <v>0</v>
      </c>
      <c r="BR29" s="356">
        <f t="shared" si="38"/>
        <v>206399</v>
      </c>
      <c r="BS29" s="352">
        <v>56224</v>
      </c>
      <c r="BT29" s="352">
        <v>262623</v>
      </c>
      <c r="BU29" s="109">
        <f t="shared" si="16"/>
        <v>2.2681365944657479</v>
      </c>
      <c r="BV29" s="108">
        <f t="shared" si="39"/>
        <v>5852.9752618676175</v>
      </c>
      <c r="BW29" s="109">
        <f t="shared" si="18"/>
        <v>58.038232044198892</v>
      </c>
      <c r="BX29" s="109">
        <f t="shared" si="19"/>
        <v>2.0679953383624423</v>
      </c>
      <c r="BY29" s="109">
        <f t="shared" si="40"/>
        <v>0.64507833109810919</v>
      </c>
      <c r="BZ29">
        <v>93</v>
      </c>
      <c r="CA29">
        <v>20</v>
      </c>
      <c r="CB29">
        <v>4</v>
      </c>
      <c r="CC29" s="113">
        <f t="shared" si="41"/>
        <v>117</v>
      </c>
      <c r="CD29" s="352">
        <v>1068</v>
      </c>
      <c r="CE29">
        <v>30</v>
      </c>
      <c r="CF29">
        <v>0</v>
      </c>
      <c r="CG29" s="116">
        <f t="shared" si="42"/>
        <v>1098</v>
      </c>
      <c r="CH29" s="109">
        <f t="shared" si="22"/>
        <v>9.4828479635195358E-3</v>
      </c>
      <c r="CI29" s="352">
        <v>126994</v>
      </c>
      <c r="CJ29" s="109">
        <f t="shared" si="23"/>
        <v>1.0967803226586521</v>
      </c>
      <c r="CK29" s="352">
        <v>50757</v>
      </c>
      <c r="CL29" s="208" t="s">
        <v>7</v>
      </c>
      <c r="CM29" s="208" t="s">
        <v>7</v>
      </c>
      <c r="CN29" s="208" t="s">
        <v>7</v>
      </c>
      <c r="CO29">
        <v>3.75</v>
      </c>
      <c r="CP29" s="108">
        <f>C29/CO29</f>
        <v>30876.799999999999</v>
      </c>
      <c r="CQ29">
        <v>0.94</v>
      </c>
      <c r="CR29">
        <v>40.18</v>
      </c>
      <c r="CS29">
        <v>44.87</v>
      </c>
      <c r="CT29" s="108">
        <f t="shared" si="24"/>
        <v>2580.5215065745488</v>
      </c>
      <c r="CU29">
        <v>310</v>
      </c>
      <c r="CV29" s="353">
        <v>79635</v>
      </c>
      <c r="CW29" s="209">
        <v>40</v>
      </c>
      <c r="CX29" s="208" t="s">
        <v>7</v>
      </c>
      <c r="CY29" s="208" t="s">
        <v>7</v>
      </c>
      <c r="CZ29">
        <v>541</v>
      </c>
      <c r="DA29">
        <v>318</v>
      </c>
      <c r="DB29">
        <v>79</v>
      </c>
      <c r="DC29" s="352">
        <v>3936</v>
      </c>
      <c r="DD29" s="352">
        <v>12568</v>
      </c>
      <c r="DE29" s="352">
        <v>159175</v>
      </c>
      <c r="DF29" s="205">
        <v>4750</v>
      </c>
      <c r="DG29" s="205">
        <v>52</v>
      </c>
      <c r="DH29" s="209">
        <f t="shared" si="25"/>
        <v>4.102324938681038E-2</v>
      </c>
      <c r="DI29" s="205">
        <v>49</v>
      </c>
      <c r="DJ29" s="205">
        <v>49</v>
      </c>
      <c r="DL29" s="343">
        <v>4525</v>
      </c>
      <c r="DM29" s="204"/>
      <c r="DN29" t="s">
        <v>1058</v>
      </c>
      <c r="DO29" t="s">
        <v>1030</v>
      </c>
      <c r="DP29" s="208"/>
      <c r="DQ29" s="206"/>
      <c r="DR29" s="367" t="s">
        <v>1272</v>
      </c>
      <c r="DS29" s="204" t="s">
        <v>983</v>
      </c>
      <c r="DT29" s="227">
        <v>44013</v>
      </c>
      <c r="DU29" s="227">
        <v>44377</v>
      </c>
      <c r="DV29" t="s">
        <v>1193</v>
      </c>
      <c r="DW29" s="109">
        <f t="shared" si="26"/>
        <v>0.81315853110857772</v>
      </c>
      <c r="DX29" s="109">
        <f t="shared" si="27"/>
        <v>0</v>
      </c>
      <c r="DY29" s="109">
        <f t="shared" si="28"/>
        <v>1.7825595053027947</v>
      </c>
      <c r="DZ29" s="109">
        <f t="shared" si="29"/>
        <v>0.485577089162953</v>
      </c>
      <c r="EA29" s="110">
        <f t="shared" si="44"/>
        <v>0.39116561804407207</v>
      </c>
      <c r="EB29" s="199">
        <f t="shared" si="43"/>
        <v>0.74784789413773478</v>
      </c>
    </row>
    <row r="30" spans="1:132" ht="16.5" x14ac:dyDescent="0.3">
      <c r="A30" s="216" t="s">
        <v>984</v>
      </c>
      <c r="B30" t="s">
        <v>1194</v>
      </c>
      <c r="C30" s="352">
        <v>52394</v>
      </c>
      <c r="D30">
        <v>1</v>
      </c>
      <c r="E30"/>
      <c r="F30" s="221">
        <v>23450</v>
      </c>
      <c r="H30" s="108">
        <f t="shared" si="0"/>
        <v>23450</v>
      </c>
      <c r="I30" s="109">
        <v>2.0312299999999999</v>
      </c>
      <c r="J30" s="220">
        <v>323259</v>
      </c>
      <c r="K30" s="220">
        <v>101958</v>
      </c>
      <c r="L30" s="115">
        <f t="shared" si="31"/>
        <v>425217</v>
      </c>
      <c r="M30" s="110">
        <f t="shared" si="1"/>
        <v>8.1157575294881088</v>
      </c>
      <c r="N30" s="220">
        <v>40467</v>
      </c>
      <c r="O30" s="220">
        <v>21580</v>
      </c>
      <c r="P30" s="220">
        <v>0</v>
      </c>
      <c r="Q30" s="220">
        <v>62047</v>
      </c>
      <c r="R30" s="110">
        <f t="shared" si="2"/>
        <v>1.1842386532809099</v>
      </c>
      <c r="S30" s="220">
        <v>169142</v>
      </c>
      <c r="T30" s="220">
        <v>656406</v>
      </c>
      <c r="U30" s="207">
        <v>0</v>
      </c>
      <c r="V30" s="220">
        <v>656406</v>
      </c>
      <c r="W30" s="110">
        <f t="shared" si="3"/>
        <v>12.528266595411688</v>
      </c>
      <c r="X30" s="111">
        <f t="shared" si="32"/>
        <v>0.64779572398789775</v>
      </c>
      <c r="Y30" s="111">
        <f t="shared" si="33"/>
        <v>9.4525339500248329E-2</v>
      </c>
      <c r="Z30" s="111">
        <f t="shared" si="34"/>
        <v>0.25767893651185392</v>
      </c>
      <c r="AA30" s="111">
        <f t="shared" si="35"/>
        <v>0</v>
      </c>
      <c r="AB30" s="220">
        <v>0</v>
      </c>
      <c r="AE30" s="207"/>
      <c r="AF30" s="353">
        <v>162478</v>
      </c>
      <c r="AG30" s="353">
        <v>376600</v>
      </c>
      <c r="AH30" s="207"/>
      <c r="AI30" s="115">
        <f t="shared" si="8"/>
        <v>539078</v>
      </c>
      <c r="AJ30" s="110">
        <f t="shared" si="9"/>
        <v>10.288926212925144</v>
      </c>
      <c r="AK30" s="353">
        <v>114179</v>
      </c>
      <c r="AL30" s="207">
        <v>1488</v>
      </c>
      <c r="AM30" s="353"/>
      <c r="AN30" s="353">
        <v>96503</v>
      </c>
      <c r="AO30" s="115">
        <f t="shared" si="36"/>
        <v>96503</v>
      </c>
      <c r="AP30" s="353">
        <v>751247</v>
      </c>
      <c r="AQ30" s="112">
        <f t="shared" si="11"/>
        <v>14.338416612589228</v>
      </c>
      <c r="AR30" s="207"/>
      <c r="AS30" s="220">
        <v>0</v>
      </c>
      <c r="AT30" s="207">
        <v>0</v>
      </c>
      <c r="AU30" s="220">
        <v>0</v>
      </c>
      <c r="AV30" s="220">
        <v>0</v>
      </c>
      <c r="AW30" s="207"/>
      <c r="AX30" s="220">
        <v>421443</v>
      </c>
      <c r="AY30" s="115">
        <f t="shared" si="37"/>
        <v>421443</v>
      </c>
      <c r="AZ30" s="352">
        <v>97033</v>
      </c>
      <c r="BA30" s="109">
        <f t="shared" si="13"/>
        <v>1.8519868687254266</v>
      </c>
      <c r="BB30" s="352">
        <v>1652</v>
      </c>
      <c r="BC30" s="352">
        <v>24499</v>
      </c>
      <c r="BD30" s="352">
        <v>1630</v>
      </c>
      <c r="BE30" s="352">
        <v>2130</v>
      </c>
      <c r="BF30" s="352">
        <v>131774</v>
      </c>
      <c r="BG30" s="221">
        <v>3</v>
      </c>
      <c r="BH30" s="221">
        <v>89</v>
      </c>
      <c r="BI30" s="205">
        <v>0</v>
      </c>
      <c r="BJ30">
        <v>89</v>
      </c>
      <c r="BK30" s="352">
        <v>259619</v>
      </c>
      <c r="BL30" s="109">
        <f t="shared" si="14"/>
        <v>4.9551284498224986</v>
      </c>
      <c r="BM30">
        <v>76</v>
      </c>
      <c r="BN30" s="352">
        <v>4638</v>
      </c>
      <c r="BO30" s="109">
        <f t="shared" si="15"/>
        <v>8.8521586441195552E-2</v>
      </c>
      <c r="BP30" s="352">
        <v>7497</v>
      </c>
      <c r="BQ30" s="205">
        <v>0</v>
      </c>
      <c r="BR30" s="356">
        <f t="shared" si="38"/>
        <v>28936</v>
      </c>
      <c r="BS30" s="352">
        <v>5821</v>
      </c>
      <c r="BT30" s="352">
        <v>34757</v>
      </c>
      <c r="BU30" s="109">
        <f t="shared" si="16"/>
        <v>0.66337748597167612</v>
      </c>
      <c r="BV30" s="108">
        <f t="shared" si="39"/>
        <v>3475.7</v>
      </c>
      <c r="BW30" s="109">
        <f t="shared" si="18"/>
        <v>15.76281179138322</v>
      </c>
      <c r="BX30" s="109">
        <f t="shared" si="19"/>
        <v>0.64012744718861081</v>
      </c>
      <c r="BY30" s="109">
        <f t="shared" si="40"/>
        <v>0.1338769504543196</v>
      </c>
      <c r="BZ30">
        <v>35</v>
      </c>
      <c r="CA30">
        <v>0</v>
      </c>
      <c r="CB30">
        <v>0</v>
      </c>
      <c r="CC30" s="113">
        <f t="shared" si="41"/>
        <v>35</v>
      </c>
      <c r="CD30">
        <v>764</v>
      </c>
      <c r="CE30">
        <v>0</v>
      </c>
      <c r="CF30">
        <v>655</v>
      </c>
      <c r="CG30" s="116">
        <f t="shared" si="42"/>
        <v>1419</v>
      </c>
      <c r="CH30" s="109">
        <f t="shared" si="22"/>
        <v>2.7083253807687904E-2</v>
      </c>
      <c r="CI30" s="352">
        <v>54297</v>
      </c>
      <c r="CJ30" s="109">
        <f t="shared" si="23"/>
        <v>1.0363209527808528</v>
      </c>
      <c r="CK30" s="352">
        <v>28431</v>
      </c>
      <c r="CL30" s="208" t="s">
        <v>7</v>
      </c>
      <c r="CM30" s="208" t="s">
        <v>7</v>
      </c>
      <c r="CN30" s="208" t="s">
        <v>7</v>
      </c>
      <c r="CO30">
        <v>2</v>
      </c>
      <c r="CP30" s="209">
        <v>0</v>
      </c>
      <c r="CQ30">
        <v>0</v>
      </c>
      <c r="CR30">
        <v>8</v>
      </c>
      <c r="CS30">
        <v>10</v>
      </c>
      <c r="CT30" s="108">
        <f t="shared" si="24"/>
        <v>5239.3999999999996</v>
      </c>
      <c r="CU30">
        <v>0</v>
      </c>
      <c r="CV30" s="353">
        <v>53148</v>
      </c>
      <c r="CW30" s="209">
        <v>28</v>
      </c>
      <c r="CX30" s="208" t="s">
        <v>7</v>
      </c>
      <c r="CY30" s="208" t="s">
        <v>7</v>
      </c>
      <c r="CZ30">
        <v>12</v>
      </c>
      <c r="DA30">
        <v>14</v>
      </c>
      <c r="DB30">
        <v>35</v>
      </c>
      <c r="DC30" s="352">
        <v>9109</v>
      </c>
      <c r="DD30" s="352">
        <v>35731</v>
      </c>
      <c r="DE30" s="352">
        <v>37012</v>
      </c>
      <c r="DF30" s="205">
        <v>3068</v>
      </c>
      <c r="DG30" s="205">
        <v>52</v>
      </c>
      <c r="DH30" s="209">
        <f t="shared" si="25"/>
        <v>5.8556323243119442E-2</v>
      </c>
      <c r="DI30" s="205">
        <v>36</v>
      </c>
      <c r="DJ30" s="205">
        <v>36</v>
      </c>
      <c r="DL30" s="343">
        <v>2205</v>
      </c>
      <c r="DM30" s="204"/>
      <c r="DN30" t="s">
        <v>1059</v>
      </c>
      <c r="DO30" t="s">
        <v>125</v>
      </c>
      <c r="DP30" s="208"/>
      <c r="DQ30" s="206"/>
      <c r="DR30" s="368" t="s">
        <v>984</v>
      </c>
      <c r="DS30" s="204" t="s">
        <v>984</v>
      </c>
      <c r="DT30" s="227">
        <v>44013</v>
      </c>
      <c r="DU30" s="227">
        <v>44377</v>
      </c>
      <c r="DV30" t="s">
        <v>1194</v>
      </c>
      <c r="DW30" s="109">
        <f t="shared" si="26"/>
        <v>0.14308890330953927</v>
      </c>
      <c r="DX30" s="109">
        <f t="shared" si="27"/>
        <v>0</v>
      </c>
      <c r="DY30" s="109">
        <f t="shared" si="28"/>
        <v>0.5522769782799557</v>
      </c>
      <c r="DZ30" s="109">
        <f t="shared" si="29"/>
        <v>0.11110050769172043</v>
      </c>
      <c r="EA30" s="110">
        <f t="shared" si="44"/>
        <v>1.1107237943622541</v>
      </c>
      <c r="EB30" s="199">
        <f t="shared" si="43"/>
        <v>3.7072667926473115</v>
      </c>
    </row>
    <row r="31" spans="1:132" ht="16.5" x14ac:dyDescent="0.3">
      <c r="A31" s="216" t="s">
        <v>1131</v>
      </c>
      <c r="B31" t="s">
        <v>1195</v>
      </c>
      <c r="C31" s="352">
        <v>4634</v>
      </c>
      <c r="D31"/>
      <c r="E31"/>
      <c r="F31" s="221">
        <v>9366</v>
      </c>
      <c r="H31" s="108">
        <f t="shared" si="0"/>
        <v>9366</v>
      </c>
      <c r="I31" s="109">
        <v>0.88666999999999996</v>
      </c>
      <c r="J31" s="220">
        <v>209816</v>
      </c>
      <c r="K31" s="220">
        <v>88687</v>
      </c>
      <c r="L31" s="115">
        <f t="shared" si="31"/>
        <v>298503</v>
      </c>
      <c r="M31" s="110">
        <f t="shared" si="1"/>
        <v>64.415839447561495</v>
      </c>
      <c r="N31" s="220">
        <v>28908</v>
      </c>
      <c r="O31" s="220">
        <v>12665</v>
      </c>
      <c r="P31" s="220">
        <v>4345</v>
      </c>
      <c r="Q31" s="220">
        <v>45918</v>
      </c>
      <c r="R31" s="110">
        <f t="shared" si="2"/>
        <v>9.9089339663357787</v>
      </c>
      <c r="S31" s="220">
        <v>90769</v>
      </c>
      <c r="T31" s="220">
        <v>435190</v>
      </c>
      <c r="U31" s="207">
        <v>0</v>
      </c>
      <c r="V31" s="220">
        <v>435190</v>
      </c>
      <c r="W31" s="110">
        <f t="shared" si="3"/>
        <v>93.912386706948638</v>
      </c>
      <c r="X31" s="111">
        <f t="shared" si="32"/>
        <v>0.6859141983961029</v>
      </c>
      <c r="Y31" s="111">
        <f t="shared" si="33"/>
        <v>0.10551253475493462</v>
      </c>
      <c r="Z31" s="111">
        <f t="shared" si="34"/>
        <v>0.20857326684896252</v>
      </c>
      <c r="AA31" s="111">
        <f t="shared" si="35"/>
        <v>0</v>
      </c>
      <c r="AB31" s="220">
        <v>1000500</v>
      </c>
      <c r="AE31" s="207"/>
      <c r="AF31" s="353">
        <v>403237</v>
      </c>
      <c r="AG31" s="353">
        <v>10000</v>
      </c>
      <c r="AH31" s="207"/>
      <c r="AI31" s="115">
        <f t="shared" si="8"/>
        <v>413237</v>
      </c>
      <c r="AJ31" s="110">
        <f t="shared" si="9"/>
        <v>89.175010789814422</v>
      </c>
      <c r="AK31" s="353">
        <v>3580</v>
      </c>
      <c r="AL31" s="207">
        <v>19815</v>
      </c>
      <c r="AM31" s="353"/>
      <c r="AN31" s="353">
        <v>0</v>
      </c>
      <c r="AO31" s="115">
        <f t="shared" si="36"/>
        <v>0</v>
      </c>
      <c r="AP31" s="353">
        <v>449135</v>
      </c>
      <c r="AQ31" s="112">
        <f t="shared" si="11"/>
        <v>96.921665947345701</v>
      </c>
      <c r="AR31" s="207"/>
      <c r="AS31" s="220">
        <v>0</v>
      </c>
      <c r="AT31" s="207">
        <v>0</v>
      </c>
      <c r="AU31" s="220">
        <v>0</v>
      </c>
      <c r="AV31" s="220">
        <v>0</v>
      </c>
      <c r="AW31" s="207"/>
      <c r="AX31" s="220">
        <v>0</v>
      </c>
      <c r="AY31" s="115">
        <f t="shared" si="37"/>
        <v>0</v>
      </c>
      <c r="AZ31" s="352">
        <v>30680</v>
      </c>
      <c r="BA31" s="109">
        <f t="shared" si="13"/>
        <v>6.6206301251618473</v>
      </c>
      <c r="BB31">
        <v>580</v>
      </c>
      <c r="BC31" s="352">
        <v>30111</v>
      </c>
      <c r="BD31" s="352">
        <v>1596</v>
      </c>
      <c r="BE31" s="352">
        <v>2443</v>
      </c>
      <c r="BF31" s="352">
        <v>166680</v>
      </c>
      <c r="BG31" s="221">
        <v>2</v>
      </c>
      <c r="BH31" s="221">
        <v>89</v>
      </c>
      <c r="BI31" s="205">
        <v>0</v>
      </c>
      <c r="BJ31">
        <v>88</v>
      </c>
      <c r="BK31" s="352">
        <v>236316</v>
      </c>
      <c r="BL31" s="109">
        <f t="shared" si="14"/>
        <v>50.996115666810532</v>
      </c>
      <c r="BM31">
        <v>74</v>
      </c>
      <c r="BN31" s="352">
        <v>3301</v>
      </c>
      <c r="BO31" s="109">
        <f t="shared" si="15"/>
        <v>0.71234354769097974</v>
      </c>
      <c r="BP31" s="352">
        <v>10827</v>
      </c>
      <c r="BQ31" s="205">
        <v>0</v>
      </c>
      <c r="BR31" s="356">
        <f t="shared" si="38"/>
        <v>22460</v>
      </c>
      <c r="BS31" s="352">
        <v>11797</v>
      </c>
      <c r="BT31" s="352">
        <v>34257</v>
      </c>
      <c r="BU31" s="109">
        <f t="shared" si="16"/>
        <v>7.392533448424687</v>
      </c>
      <c r="BV31" s="108">
        <f t="shared" si="39"/>
        <v>7019.877049180328</v>
      </c>
      <c r="BW31" s="109">
        <f t="shared" si="18"/>
        <v>3.5407751937984497</v>
      </c>
      <c r="BX31" s="109">
        <f t="shared" si="19"/>
        <v>2.0385004462957452</v>
      </c>
      <c r="BY31" s="109">
        <f t="shared" si="40"/>
        <v>0.14496267709338342</v>
      </c>
      <c r="BZ31">
        <v>34</v>
      </c>
      <c r="CA31">
        <v>5</v>
      </c>
      <c r="CB31">
        <v>82</v>
      </c>
      <c r="CC31" s="113">
        <f t="shared" si="41"/>
        <v>121</v>
      </c>
      <c r="CD31" s="352">
        <v>3521</v>
      </c>
      <c r="CE31">
        <v>76</v>
      </c>
      <c r="CF31" s="352">
        <v>1967</v>
      </c>
      <c r="CG31" s="116">
        <f t="shared" si="42"/>
        <v>5564</v>
      </c>
      <c r="CH31" s="109">
        <f t="shared" si="22"/>
        <v>1.2006905481225723</v>
      </c>
      <c r="CI31" s="352">
        <v>16805</v>
      </c>
      <c r="CJ31" s="109">
        <f t="shared" si="23"/>
        <v>3.626456624946051</v>
      </c>
      <c r="CK31" s="352">
        <v>41882</v>
      </c>
      <c r="CL31" s="208" t="s">
        <v>7</v>
      </c>
      <c r="CM31" s="208" t="s">
        <v>7</v>
      </c>
      <c r="CN31" s="208" t="s">
        <v>7</v>
      </c>
      <c r="CO31">
        <v>3</v>
      </c>
      <c r="CP31" s="209">
        <v>0</v>
      </c>
      <c r="CQ31">
        <v>0</v>
      </c>
      <c r="CR31">
        <v>1.88</v>
      </c>
      <c r="CS31">
        <v>4.88</v>
      </c>
      <c r="CT31" s="108">
        <f t="shared" si="24"/>
        <v>949.5901639344263</v>
      </c>
      <c r="CU31"/>
      <c r="CV31" s="353">
        <v>64761</v>
      </c>
      <c r="CW31" s="209">
        <v>40</v>
      </c>
      <c r="CX31" s="208" t="s">
        <v>7</v>
      </c>
      <c r="CY31" s="208" t="s">
        <v>7</v>
      </c>
      <c r="CZ31" s="352">
        <v>1732</v>
      </c>
      <c r="DA31" s="352">
        <v>1349</v>
      </c>
      <c r="DB31">
        <v>21</v>
      </c>
      <c r="DC31" s="352">
        <v>3068</v>
      </c>
      <c r="DD31" s="352">
        <v>8663</v>
      </c>
      <c r="DE31" s="352">
        <v>10972</v>
      </c>
      <c r="DF31" s="205">
        <v>12638</v>
      </c>
      <c r="DG31" s="205">
        <v>52</v>
      </c>
      <c r="DH31" s="209">
        <f t="shared" si="25"/>
        <v>2.7272334915839447</v>
      </c>
      <c r="DI31" s="205">
        <v>44</v>
      </c>
      <c r="DJ31" s="205">
        <v>44</v>
      </c>
      <c r="DL31" s="343">
        <v>9675</v>
      </c>
      <c r="DM31" s="204"/>
      <c r="DN31" t="s">
        <v>1060</v>
      </c>
      <c r="DO31" t="s">
        <v>1031</v>
      </c>
      <c r="DP31" s="208"/>
      <c r="DQ31" s="206"/>
      <c r="DR31" s="367" t="s">
        <v>1131</v>
      </c>
      <c r="DS31" s="204" t="s">
        <v>985</v>
      </c>
      <c r="DT31" s="227">
        <v>44013</v>
      </c>
      <c r="DU31" s="227">
        <v>44377</v>
      </c>
      <c r="DV31" t="s">
        <v>1195</v>
      </c>
      <c r="DW31" s="109">
        <f t="shared" si="26"/>
        <v>2.3364264134656882</v>
      </c>
      <c r="DX31" s="109">
        <f t="shared" si="27"/>
        <v>0</v>
      </c>
      <c r="DY31" s="109">
        <f t="shared" si="28"/>
        <v>4.8467846353042727</v>
      </c>
      <c r="DZ31" s="109">
        <f t="shared" si="29"/>
        <v>2.5457488131204142</v>
      </c>
      <c r="EA31" s="110">
        <f t="shared" si="44"/>
        <v>0.86844714152672209</v>
      </c>
      <c r="EB31" s="199">
        <f t="shared" si="43"/>
        <v>1.0735780283122829</v>
      </c>
    </row>
    <row r="32" spans="1:132" ht="16.5" x14ac:dyDescent="0.3">
      <c r="A32" s="216" t="s">
        <v>1132</v>
      </c>
      <c r="B32" t="s">
        <v>1196</v>
      </c>
      <c r="C32" s="352">
        <v>95020</v>
      </c>
      <c r="D32">
        <v>6</v>
      </c>
      <c r="E32"/>
      <c r="F32" s="221">
        <v>84456</v>
      </c>
      <c r="H32" s="108">
        <f t="shared" si="0"/>
        <v>84456</v>
      </c>
      <c r="I32" s="109">
        <v>0.55896000000000001</v>
      </c>
      <c r="J32" s="220">
        <v>1625676</v>
      </c>
      <c r="K32" s="220">
        <v>774857</v>
      </c>
      <c r="L32" s="115">
        <f t="shared" si="31"/>
        <v>2400533</v>
      </c>
      <c r="M32" s="110">
        <f t="shared" si="1"/>
        <v>25.263449800042096</v>
      </c>
      <c r="N32" s="220">
        <v>158766</v>
      </c>
      <c r="O32" s="220">
        <v>36888</v>
      </c>
      <c r="P32" s="220">
        <v>47018</v>
      </c>
      <c r="Q32" s="220">
        <v>242672</v>
      </c>
      <c r="R32" s="110">
        <f t="shared" si="2"/>
        <v>2.55390444117028</v>
      </c>
      <c r="S32" s="220">
        <v>539526</v>
      </c>
      <c r="T32" s="220">
        <v>3182731</v>
      </c>
      <c r="U32" s="207">
        <v>0</v>
      </c>
      <c r="V32" s="220">
        <v>3182731</v>
      </c>
      <c r="W32" s="110">
        <f t="shared" si="3"/>
        <v>33.495379920016838</v>
      </c>
      <c r="X32" s="111">
        <f t="shared" si="32"/>
        <v>0.75423684879432162</v>
      </c>
      <c r="Y32" s="111">
        <f t="shared" si="33"/>
        <v>7.6246468834469519E-2</v>
      </c>
      <c r="Z32" s="111">
        <f t="shared" si="34"/>
        <v>0.16951668237120887</v>
      </c>
      <c r="AA32" s="111">
        <f t="shared" si="35"/>
        <v>0</v>
      </c>
      <c r="AB32" s="220">
        <v>33591</v>
      </c>
      <c r="AE32" s="207"/>
      <c r="AF32" s="353">
        <v>15000</v>
      </c>
      <c r="AG32" s="353">
        <v>2416146</v>
      </c>
      <c r="AH32" s="207"/>
      <c r="AI32" s="115">
        <f t="shared" si="8"/>
        <v>2431146</v>
      </c>
      <c r="AJ32" s="110">
        <f t="shared" si="9"/>
        <v>25.585624079141233</v>
      </c>
      <c r="AK32" s="353">
        <v>327319</v>
      </c>
      <c r="AL32" s="207">
        <v>61447</v>
      </c>
      <c r="AM32" s="353"/>
      <c r="AN32" s="353">
        <v>473448</v>
      </c>
      <c r="AO32" s="115">
        <f t="shared" si="36"/>
        <v>473448</v>
      </c>
      <c r="AP32" s="353">
        <v>3612002</v>
      </c>
      <c r="AQ32" s="112">
        <f t="shared" si="11"/>
        <v>38.013070932435276</v>
      </c>
      <c r="AR32" s="207"/>
      <c r="AS32" s="220">
        <v>0</v>
      </c>
      <c r="AT32" s="207">
        <v>0</v>
      </c>
      <c r="AU32" s="220">
        <v>0</v>
      </c>
      <c r="AV32" s="220">
        <v>0</v>
      </c>
      <c r="AW32" s="207"/>
      <c r="AX32" s="220">
        <v>0</v>
      </c>
      <c r="AY32" s="115">
        <f t="shared" si="37"/>
        <v>0</v>
      </c>
      <c r="AZ32" s="352">
        <v>231042</v>
      </c>
      <c r="BA32" s="109">
        <f t="shared" si="13"/>
        <v>2.4315091559671647</v>
      </c>
      <c r="BB32" s="352">
        <v>10489</v>
      </c>
      <c r="BC32" s="352">
        <v>31069</v>
      </c>
      <c r="BD32" s="352">
        <v>18907</v>
      </c>
      <c r="BE32" s="352">
        <v>2443</v>
      </c>
      <c r="BF32" s="352">
        <v>170430</v>
      </c>
      <c r="BG32" s="221">
        <v>28</v>
      </c>
      <c r="BH32" s="221">
        <v>89</v>
      </c>
      <c r="BI32" s="205">
        <v>0</v>
      </c>
      <c r="BJ32">
        <v>88</v>
      </c>
      <c r="BK32" s="352">
        <v>472534</v>
      </c>
      <c r="BL32" s="109">
        <f t="shared" si="14"/>
        <v>4.9729951589139132</v>
      </c>
      <c r="BM32">
        <v>294</v>
      </c>
      <c r="BN32" s="352">
        <v>69491</v>
      </c>
      <c r="BO32" s="109">
        <f t="shared" si="15"/>
        <v>0.73133024626394438</v>
      </c>
      <c r="BP32" s="352">
        <v>98067</v>
      </c>
      <c r="BQ32" s="205">
        <v>0</v>
      </c>
      <c r="BR32" s="356">
        <f t="shared" si="38"/>
        <v>219349</v>
      </c>
      <c r="BS32" s="352">
        <v>198557</v>
      </c>
      <c r="BT32" s="352">
        <v>417906</v>
      </c>
      <c r="BU32" s="109">
        <f t="shared" si="16"/>
        <v>4.3980846137655227</v>
      </c>
      <c r="BV32" s="108">
        <f t="shared" si="39"/>
        <v>7739</v>
      </c>
      <c r="BW32" s="109">
        <f t="shared" si="18"/>
        <v>18.017849443821678</v>
      </c>
      <c r="BX32" s="109">
        <f t="shared" si="19"/>
        <v>3.3890956864462449</v>
      </c>
      <c r="BY32" s="109">
        <f t="shared" si="40"/>
        <v>0.88439350395950345</v>
      </c>
      <c r="BZ32">
        <v>351</v>
      </c>
      <c r="CA32">
        <v>87</v>
      </c>
      <c r="CB32">
        <v>244</v>
      </c>
      <c r="CC32" s="113">
        <f t="shared" si="41"/>
        <v>682</v>
      </c>
      <c r="CD32" s="352">
        <v>12746</v>
      </c>
      <c r="CE32">
        <v>582</v>
      </c>
      <c r="CF32">
        <v>309</v>
      </c>
      <c r="CG32" s="116">
        <f t="shared" si="42"/>
        <v>13637</v>
      </c>
      <c r="CH32" s="109">
        <f t="shared" si="22"/>
        <v>0.14351715428330877</v>
      </c>
      <c r="CI32" s="352">
        <v>123309</v>
      </c>
      <c r="CJ32" s="109">
        <f t="shared" si="23"/>
        <v>1.2977162702588929</v>
      </c>
      <c r="CK32" s="352">
        <v>43479</v>
      </c>
      <c r="CL32" s="208" t="s">
        <v>7</v>
      </c>
      <c r="CM32" s="208" t="s">
        <v>7</v>
      </c>
      <c r="CN32" s="208" t="s">
        <v>7</v>
      </c>
      <c r="CO32">
        <v>7</v>
      </c>
      <c r="CP32" s="108">
        <f>C32/CO32</f>
        <v>13574.285714285714</v>
      </c>
      <c r="CQ32">
        <v>0</v>
      </c>
      <c r="CR32">
        <v>47</v>
      </c>
      <c r="CS32">
        <v>54</v>
      </c>
      <c r="CT32" s="108">
        <f t="shared" si="24"/>
        <v>1759.6296296296296</v>
      </c>
      <c r="CU32" s="352">
        <v>1446</v>
      </c>
      <c r="CV32" s="353">
        <v>80496</v>
      </c>
      <c r="CW32" s="209">
        <v>40</v>
      </c>
      <c r="CX32" s="208" t="s">
        <v>7</v>
      </c>
      <c r="CY32" s="208" t="s">
        <v>7</v>
      </c>
      <c r="CZ32" s="352">
        <v>22281</v>
      </c>
      <c r="DA32" s="352">
        <v>14090</v>
      </c>
      <c r="DB32">
        <v>103</v>
      </c>
      <c r="DC32" s="352">
        <v>9968</v>
      </c>
      <c r="DD32" s="352">
        <v>111834</v>
      </c>
      <c r="DE32" s="352">
        <v>83807</v>
      </c>
      <c r="DF32" s="205">
        <v>32715</v>
      </c>
      <c r="DG32" s="205">
        <v>52</v>
      </c>
      <c r="DH32" s="209">
        <f t="shared" si="25"/>
        <v>0.34429593769732686</v>
      </c>
      <c r="DI32" s="205">
        <v>46</v>
      </c>
      <c r="DJ32" s="205">
        <v>46</v>
      </c>
      <c r="DL32" s="343">
        <v>23194</v>
      </c>
      <c r="DM32" s="204"/>
      <c r="DN32" t="s">
        <v>1061</v>
      </c>
      <c r="DO32" t="s">
        <v>1030</v>
      </c>
      <c r="DP32" s="208"/>
      <c r="DQ32" s="206"/>
      <c r="DR32" s="367" t="s">
        <v>1132</v>
      </c>
      <c r="DS32" s="204" t="s">
        <v>986</v>
      </c>
      <c r="DT32" s="227">
        <v>44013</v>
      </c>
      <c r="DU32" s="227">
        <v>44377</v>
      </c>
      <c r="DV32" t="s">
        <v>1196</v>
      </c>
      <c r="DW32" s="109">
        <f t="shared" si="26"/>
        <v>1.0320669332772048</v>
      </c>
      <c r="DX32" s="109">
        <f t="shared" si="27"/>
        <v>0</v>
      </c>
      <c r="DY32" s="109">
        <f t="shared" si="28"/>
        <v>2.3084508524521152</v>
      </c>
      <c r="DZ32" s="109">
        <f t="shared" si="29"/>
        <v>2.0896337613134075</v>
      </c>
      <c r="EA32" s="110">
        <f t="shared" si="44"/>
        <v>0.50018272550848097</v>
      </c>
      <c r="EB32" s="199">
        <f t="shared" si="43"/>
        <v>0.1857804056265959</v>
      </c>
    </row>
    <row r="33" spans="1:132" ht="16.5" x14ac:dyDescent="0.3">
      <c r="A33" s="216" t="s">
        <v>987</v>
      </c>
      <c r="B33" t="s">
        <v>1197</v>
      </c>
      <c r="C33" s="352">
        <v>378330</v>
      </c>
      <c r="D33"/>
      <c r="E33"/>
      <c r="F33" s="221">
        <v>210950</v>
      </c>
      <c r="H33" s="108">
        <f t="shared" si="0"/>
        <v>210950</v>
      </c>
      <c r="I33" s="109">
        <v>0.24432000000000001</v>
      </c>
      <c r="J33" s="220">
        <v>4077662</v>
      </c>
      <c r="K33" s="220">
        <v>1721420</v>
      </c>
      <c r="L33" s="115">
        <f t="shared" si="31"/>
        <v>5799082</v>
      </c>
      <c r="M33" s="110">
        <f t="shared" si="1"/>
        <v>15.328105093436946</v>
      </c>
      <c r="N33" s="220">
        <v>580000</v>
      </c>
      <c r="O33" s="220">
        <v>300000</v>
      </c>
      <c r="P33" s="220">
        <v>120000</v>
      </c>
      <c r="Q33" s="220">
        <v>1000000</v>
      </c>
      <c r="R33" s="110">
        <f t="shared" si="2"/>
        <v>2.6431950942299052</v>
      </c>
      <c r="S33" s="220">
        <v>1498115</v>
      </c>
      <c r="T33" s="220">
        <v>8297197</v>
      </c>
      <c r="U33" s="207">
        <v>7552</v>
      </c>
      <c r="V33" s="220">
        <v>8297197</v>
      </c>
      <c r="W33" s="110">
        <f t="shared" si="3"/>
        <v>21.931110406259087</v>
      </c>
      <c r="X33" s="111">
        <f t="shared" si="32"/>
        <v>0.69892061138237405</v>
      </c>
      <c r="Y33" s="111">
        <f t="shared" si="33"/>
        <v>0.12052262950970069</v>
      </c>
      <c r="Z33" s="111">
        <f t="shared" si="34"/>
        <v>0.18055675910792524</v>
      </c>
      <c r="AA33" s="111">
        <f t="shared" si="35"/>
        <v>9.1018689805725953E-4</v>
      </c>
      <c r="AB33" s="220">
        <v>0</v>
      </c>
      <c r="AE33" s="207"/>
      <c r="AF33" s="353">
        <v>0</v>
      </c>
      <c r="AG33" s="353">
        <v>8063416</v>
      </c>
      <c r="AH33" s="207"/>
      <c r="AI33" s="115">
        <f t="shared" si="8"/>
        <v>8063416</v>
      </c>
      <c r="AJ33" s="110">
        <f t="shared" si="9"/>
        <v>21.313181613934926</v>
      </c>
      <c r="AK33" s="353">
        <v>295228</v>
      </c>
      <c r="AL33" s="207">
        <v>15116</v>
      </c>
      <c r="AM33" s="353"/>
      <c r="AN33" s="353">
        <v>0</v>
      </c>
      <c r="AO33" s="115">
        <f t="shared" si="36"/>
        <v>0</v>
      </c>
      <c r="AP33" s="353">
        <v>8358644</v>
      </c>
      <c r="AQ33" s="112">
        <f t="shared" si="11"/>
        <v>22.093526815214229</v>
      </c>
      <c r="AR33" s="207"/>
      <c r="AS33" s="220">
        <v>0</v>
      </c>
      <c r="AT33" s="207">
        <v>0</v>
      </c>
      <c r="AU33" s="220">
        <v>0</v>
      </c>
      <c r="AV33" s="220">
        <v>0</v>
      </c>
      <c r="AW33" s="207"/>
      <c r="AX33" s="220">
        <v>0</v>
      </c>
      <c r="AY33" s="115">
        <f t="shared" si="37"/>
        <v>0</v>
      </c>
      <c r="AZ33" s="352">
        <v>536789</v>
      </c>
      <c r="BA33" s="109">
        <f t="shared" si="13"/>
        <v>1.4188380514365766</v>
      </c>
      <c r="BB33" s="352">
        <v>30965</v>
      </c>
      <c r="BC33" s="352">
        <v>58917</v>
      </c>
      <c r="BD33" s="352">
        <v>38575</v>
      </c>
      <c r="BE33" s="352">
        <v>2846</v>
      </c>
      <c r="BF33" s="352">
        <v>255437</v>
      </c>
      <c r="BG33" s="221">
        <v>2</v>
      </c>
      <c r="BH33" s="221">
        <v>89</v>
      </c>
      <c r="BI33" s="205">
        <v>0</v>
      </c>
      <c r="BJ33">
        <v>116</v>
      </c>
      <c r="BK33" s="352">
        <v>931428</v>
      </c>
      <c r="BL33" s="109">
        <f t="shared" si="14"/>
        <v>2.4619459202283722</v>
      </c>
      <c r="BM33">
        <v>818</v>
      </c>
      <c r="BN33" s="352">
        <v>220197</v>
      </c>
      <c r="BO33" s="109">
        <f t="shared" si="15"/>
        <v>0.58202363016414238</v>
      </c>
      <c r="BP33" s="352">
        <v>280000</v>
      </c>
      <c r="BQ33" s="205">
        <v>0</v>
      </c>
      <c r="BR33" s="356">
        <f t="shared" si="38"/>
        <v>829332</v>
      </c>
      <c r="BS33" s="352">
        <v>1761635</v>
      </c>
      <c r="BT33" s="352">
        <v>2590967</v>
      </c>
      <c r="BU33" s="109">
        <f t="shared" si="16"/>
        <v>6.848431263711575</v>
      </c>
      <c r="BV33" s="108">
        <f t="shared" si="39"/>
        <v>24294.111579934364</v>
      </c>
      <c r="BW33" s="109">
        <f t="shared" si="18"/>
        <v>340.02191601049867</v>
      </c>
      <c r="BX33" s="109">
        <f t="shared" si="19"/>
        <v>2.590967</v>
      </c>
      <c r="BY33" s="109">
        <f t="shared" si="40"/>
        <v>2.7817147433832781</v>
      </c>
      <c r="BZ33">
        <v>502</v>
      </c>
      <c r="CA33">
        <v>174</v>
      </c>
      <c r="CB33">
        <v>26</v>
      </c>
      <c r="CC33" s="113">
        <f t="shared" si="41"/>
        <v>702</v>
      </c>
      <c r="CD33">
        <v>0</v>
      </c>
      <c r="CE33" s="352">
        <v>1675</v>
      </c>
      <c r="CF33">
        <v>0</v>
      </c>
      <c r="CG33" s="116">
        <f t="shared" si="42"/>
        <v>1675</v>
      </c>
      <c r="CH33" s="109">
        <f t="shared" si="22"/>
        <v>4.4273517828350914E-3</v>
      </c>
      <c r="CI33" s="352">
        <v>1000000</v>
      </c>
      <c r="CJ33" s="109">
        <f t="shared" si="23"/>
        <v>2.6431950942299052</v>
      </c>
      <c r="CK33" s="352">
        <v>109238</v>
      </c>
      <c r="CL33" s="208" t="s">
        <v>7</v>
      </c>
      <c r="CM33" s="208" t="s">
        <v>7</v>
      </c>
      <c r="CN33" s="208" t="s">
        <v>7</v>
      </c>
      <c r="CO33">
        <v>46.5</v>
      </c>
      <c r="CP33" s="108">
        <f>C33/CO33</f>
        <v>8136.1290322580644</v>
      </c>
      <c r="CQ33">
        <v>0</v>
      </c>
      <c r="CR33">
        <v>60.15</v>
      </c>
      <c r="CS33">
        <v>106.65</v>
      </c>
      <c r="CT33" s="108">
        <f t="shared" si="24"/>
        <v>3547.3980309423346</v>
      </c>
      <c r="CU33" s="352">
        <v>3000</v>
      </c>
      <c r="CV33" s="353">
        <v>105165</v>
      </c>
      <c r="CW33" s="209">
        <v>40</v>
      </c>
      <c r="CX33" s="208" t="s">
        <v>7</v>
      </c>
      <c r="CY33" s="208" t="s">
        <v>7</v>
      </c>
      <c r="CZ33" s="352">
        <v>25088</v>
      </c>
      <c r="DA33" s="352">
        <v>69098</v>
      </c>
      <c r="DB33">
        <v>234</v>
      </c>
      <c r="DC33" s="352">
        <v>42099</v>
      </c>
      <c r="DD33">
        <v>-1</v>
      </c>
      <c r="DE33" s="352">
        <v>673564</v>
      </c>
      <c r="DF33" s="205">
        <v>9430</v>
      </c>
      <c r="DG33" s="205">
        <v>51</v>
      </c>
      <c r="DH33" s="209">
        <f t="shared" si="25"/>
        <v>2.4925329738588006E-2</v>
      </c>
      <c r="DI33" s="205">
        <v>40</v>
      </c>
      <c r="DJ33" s="205">
        <v>40</v>
      </c>
      <c r="DK33" s="108">
        <v>1000</v>
      </c>
      <c r="DL33" s="343">
        <v>7620</v>
      </c>
      <c r="DM33" s="204"/>
      <c r="DN33" t="s">
        <v>1062</v>
      </c>
      <c r="DO33" t="s">
        <v>125</v>
      </c>
      <c r="DP33" s="208"/>
      <c r="DQ33" s="206"/>
      <c r="DR33" s="368" t="s">
        <v>987</v>
      </c>
      <c r="DS33" s="204" t="s">
        <v>987</v>
      </c>
      <c r="DT33" s="227">
        <v>44013</v>
      </c>
      <c r="DU33" s="227">
        <v>44377</v>
      </c>
      <c r="DV33" t="s">
        <v>1197</v>
      </c>
      <c r="DW33" s="109">
        <f t="shared" si="26"/>
        <v>0.7400946263843734</v>
      </c>
      <c r="DX33" s="109">
        <f t="shared" si="27"/>
        <v>0</v>
      </c>
      <c r="DY33" s="109">
        <f t="shared" si="28"/>
        <v>2.1920862738878757</v>
      </c>
      <c r="DZ33" s="109">
        <f t="shared" si="29"/>
        <v>4.6563449898236993</v>
      </c>
      <c r="EA33" s="110">
        <f t="shared" si="44"/>
        <v>0.52283716687159476</v>
      </c>
      <c r="EB33" s="199">
        <f t="shared" si="43"/>
        <v>0.1702963440213211</v>
      </c>
    </row>
    <row r="34" spans="1:132" ht="16.5" x14ac:dyDescent="0.3">
      <c r="A34" s="216" t="s">
        <v>988</v>
      </c>
      <c r="B34" t="s">
        <v>1198</v>
      </c>
      <c r="C34" s="352">
        <v>70157</v>
      </c>
      <c r="D34">
        <v>3</v>
      </c>
      <c r="E34">
        <v>1</v>
      </c>
      <c r="F34" s="221">
        <v>16493</v>
      </c>
      <c r="H34" s="108">
        <f t="shared" si="0"/>
        <v>16493</v>
      </c>
      <c r="I34" s="109">
        <v>0.41825000000000001</v>
      </c>
      <c r="J34" s="220">
        <v>580596</v>
      </c>
      <c r="K34" s="220">
        <v>230212</v>
      </c>
      <c r="L34" s="115">
        <f t="shared" si="31"/>
        <v>810808</v>
      </c>
      <c r="M34" s="110">
        <f t="shared" ref="M34:M65" si="46">L34/C34</f>
        <v>11.557050615049103</v>
      </c>
      <c r="N34" s="220">
        <v>67271</v>
      </c>
      <c r="O34" s="220">
        <v>6800</v>
      </c>
      <c r="P34" s="220">
        <v>5489</v>
      </c>
      <c r="Q34" s="220">
        <v>79560</v>
      </c>
      <c r="R34" s="110">
        <f t="shared" ref="R34:R65" si="47">Q34/C34</f>
        <v>1.1340279658480266</v>
      </c>
      <c r="S34" s="220">
        <v>236405</v>
      </c>
      <c r="T34" s="220">
        <v>1126773</v>
      </c>
      <c r="U34" s="207">
        <v>0</v>
      </c>
      <c r="V34" s="220">
        <v>1126773</v>
      </c>
      <c r="W34" s="110">
        <f t="shared" ref="W34:W65" si="48">V34/C34</f>
        <v>16.060735208175949</v>
      </c>
      <c r="X34" s="111">
        <f t="shared" si="32"/>
        <v>0.71958415758986061</v>
      </c>
      <c r="Y34" s="111">
        <f t="shared" si="33"/>
        <v>7.0608720656245752E-2</v>
      </c>
      <c r="Z34" s="111">
        <f t="shared" si="34"/>
        <v>0.20980712175389366</v>
      </c>
      <c r="AA34" s="111">
        <f t="shared" si="35"/>
        <v>0</v>
      </c>
      <c r="AB34" s="220">
        <v>87500</v>
      </c>
      <c r="AE34" s="207"/>
      <c r="AF34" s="353">
        <v>3000</v>
      </c>
      <c r="AG34" s="353">
        <v>1049688</v>
      </c>
      <c r="AH34" s="207"/>
      <c r="AI34" s="115">
        <f t="shared" ref="AI34:AI65" si="49">SUM(AF34:AH34)</f>
        <v>1052688</v>
      </c>
      <c r="AJ34" s="110">
        <f t="shared" ref="AJ34:AJ65" si="50">AI34/C34</f>
        <v>15.004746497142124</v>
      </c>
      <c r="AK34" s="353">
        <v>115296</v>
      </c>
      <c r="AL34" s="207">
        <v>6588</v>
      </c>
      <c r="AM34" s="353"/>
      <c r="AN34" s="353">
        <v>0</v>
      </c>
      <c r="AO34" s="115">
        <f t="shared" si="36"/>
        <v>0</v>
      </c>
      <c r="AP34" s="353">
        <v>1240719</v>
      </c>
      <c r="AQ34" s="112">
        <f t="shared" ref="AQ34:AQ65" si="51">AP34/C34</f>
        <v>17.68489245549268</v>
      </c>
      <c r="AR34" s="207"/>
      <c r="AS34" s="220">
        <v>441809</v>
      </c>
      <c r="AT34" s="207">
        <v>0</v>
      </c>
      <c r="AU34" s="220">
        <v>0</v>
      </c>
      <c r="AV34" s="220">
        <v>0</v>
      </c>
      <c r="AW34" s="207"/>
      <c r="AX34" s="220">
        <v>29361</v>
      </c>
      <c r="AY34" s="115">
        <f t="shared" si="37"/>
        <v>471170</v>
      </c>
      <c r="AZ34" s="352">
        <v>103103</v>
      </c>
      <c r="BA34" s="109">
        <f t="shared" ref="BA34:BA65" si="52">AZ34/C34</f>
        <v>1.4696038884216829</v>
      </c>
      <c r="BB34" s="352">
        <v>1473</v>
      </c>
      <c r="BC34" s="352">
        <v>30111</v>
      </c>
      <c r="BD34" s="352">
        <v>5252</v>
      </c>
      <c r="BE34" s="352">
        <v>2443</v>
      </c>
      <c r="BF34" s="352">
        <v>166680</v>
      </c>
      <c r="BG34" s="221">
        <v>9</v>
      </c>
      <c r="BH34" s="221">
        <v>89</v>
      </c>
      <c r="BI34" s="205">
        <v>0</v>
      </c>
      <c r="BJ34">
        <v>88</v>
      </c>
      <c r="BK34" s="352">
        <v>314125</v>
      </c>
      <c r="BL34" s="109">
        <f t="shared" ref="BL34:BL65" si="53">BK34/C34</f>
        <v>4.4774577020112032</v>
      </c>
      <c r="BM34">
        <v>141</v>
      </c>
      <c r="BN34" s="352">
        <v>3360</v>
      </c>
      <c r="BO34" s="109">
        <f t="shared" ref="BO34:BO65" si="54">BN34/C34</f>
        <v>4.7892583776387249E-2</v>
      </c>
      <c r="BP34" s="352">
        <v>16636</v>
      </c>
      <c r="BQ34" s="205">
        <v>0</v>
      </c>
      <c r="BR34" s="356">
        <f t="shared" si="38"/>
        <v>47423</v>
      </c>
      <c r="BS34" s="352">
        <v>30420</v>
      </c>
      <c r="BT34" s="352">
        <v>77843</v>
      </c>
      <c r="BU34" s="109">
        <f t="shared" ref="BU34:BU65" si="55">BT34/C34</f>
        <v>1.1095542853884859</v>
      </c>
      <c r="BV34" s="108">
        <f t="shared" si="39"/>
        <v>5331.7123287671238</v>
      </c>
      <c r="BW34" s="109">
        <f t="shared" ref="BW34:BW65" si="56">BT34/DL34</f>
        <v>5.5757467230141105</v>
      </c>
      <c r="BX34" s="109">
        <f t="shared" ref="BX34:BX65" si="57">BT34/CI34</f>
        <v>11.552834669041259</v>
      </c>
      <c r="BY34" s="109">
        <f t="shared" si="40"/>
        <v>0.24780899323517708</v>
      </c>
      <c r="BZ34">
        <v>0</v>
      </c>
      <c r="CA34">
        <v>0</v>
      </c>
      <c r="CB34">
        <v>0</v>
      </c>
      <c r="CC34" s="113">
        <f t="shared" si="41"/>
        <v>0</v>
      </c>
      <c r="CD34" s="352">
        <v>4156</v>
      </c>
      <c r="CE34">
        <v>0</v>
      </c>
      <c r="CF34" s="352">
        <v>1365</v>
      </c>
      <c r="CG34" s="116">
        <f t="shared" si="42"/>
        <v>5521</v>
      </c>
      <c r="CH34" s="109">
        <f t="shared" ref="CH34:CH65" si="58">CG34/C34</f>
        <v>7.8694927092093442E-2</v>
      </c>
      <c r="CI34" s="352">
        <v>6738</v>
      </c>
      <c r="CJ34" s="109">
        <f t="shared" ref="CJ34:CJ65" si="59">CI34/C34</f>
        <v>9.6041734965862283E-2</v>
      </c>
      <c r="CK34" s="352">
        <v>21347</v>
      </c>
      <c r="CL34" s="208" t="s">
        <v>7</v>
      </c>
      <c r="CM34" s="208" t="s">
        <v>7</v>
      </c>
      <c r="CN34" s="208" t="s">
        <v>7</v>
      </c>
      <c r="CO34">
        <v>3</v>
      </c>
      <c r="CP34" s="108">
        <f>C34/CO34</f>
        <v>23385.666666666668</v>
      </c>
      <c r="CQ34">
        <v>0</v>
      </c>
      <c r="CR34">
        <v>11.6</v>
      </c>
      <c r="CS34">
        <v>14.6</v>
      </c>
      <c r="CT34" s="108">
        <f t="shared" si="24"/>
        <v>4805.2739726027403</v>
      </c>
      <c r="CU34">
        <v>0</v>
      </c>
      <c r="CV34" s="353">
        <v>82940</v>
      </c>
      <c r="CW34" s="209">
        <v>40</v>
      </c>
      <c r="CX34" s="208" t="s">
        <v>7</v>
      </c>
      <c r="CY34" s="208" t="s">
        <v>7</v>
      </c>
      <c r="CZ34" s="352">
        <v>7180</v>
      </c>
      <c r="DA34" s="352">
        <v>6418</v>
      </c>
      <c r="DB34">
        <v>35</v>
      </c>
      <c r="DC34">
        <v>611</v>
      </c>
      <c r="DD34" s="352">
        <v>4272</v>
      </c>
      <c r="DE34" s="352">
        <v>21097</v>
      </c>
      <c r="DF34" s="205">
        <v>14196</v>
      </c>
      <c r="DG34" s="205">
        <v>52</v>
      </c>
      <c r="DH34" s="209">
        <f t="shared" ref="DH34:DH65" si="60">DF34/C34</f>
        <v>0.20234616645523612</v>
      </c>
      <c r="DI34" s="205">
        <v>68</v>
      </c>
      <c r="DJ34" s="205">
        <v>68</v>
      </c>
      <c r="DL34" s="343">
        <v>13961</v>
      </c>
      <c r="DM34" s="204"/>
      <c r="DN34" t="s">
        <v>1063</v>
      </c>
      <c r="DO34" t="s">
        <v>125</v>
      </c>
      <c r="DP34" s="208"/>
      <c r="DQ34" s="206"/>
      <c r="DR34" s="368" t="s">
        <v>988</v>
      </c>
      <c r="DS34" s="204" t="s">
        <v>988</v>
      </c>
      <c r="DT34" s="227">
        <v>44013</v>
      </c>
      <c r="DU34" s="227">
        <v>44377</v>
      </c>
      <c r="DV34" t="s">
        <v>1198</v>
      </c>
      <c r="DW34" s="109">
        <f t="shared" ref="DW34:DW65" si="61">BP34/C34</f>
        <v>0.23712530467380305</v>
      </c>
      <c r="DX34" s="109">
        <f t="shared" ref="DX34:DX65" si="62">BQ34/C34</f>
        <v>0</v>
      </c>
      <c r="DY34" s="109">
        <f t="shared" ref="DY34:DY65" si="63">BR34/C34</f>
        <v>0.67595535727012268</v>
      </c>
      <c r="DZ34" s="109">
        <f t="shared" ref="DZ34:DZ65" si="64">BS34/C34</f>
        <v>0.43359892811836309</v>
      </c>
      <c r="EA34" s="110">
        <f t="shared" si="44"/>
        <v>1.0501412760111772</v>
      </c>
      <c r="EB34" s="199">
        <f t="shared" si="43"/>
        <v>0.2235371466140697</v>
      </c>
    </row>
    <row r="35" spans="1:132" ht="16.5" x14ac:dyDescent="0.3">
      <c r="A35" s="216" t="s">
        <v>989</v>
      </c>
      <c r="B35" t="s">
        <v>1199</v>
      </c>
      <c r="C35" s="352">
        <v>221610</v>
      </c>
      <c r="D35">
        <v>9</v>
      </c>
      <c r="E35"/>
      <c r="F35" s="221">
        <v>92233</v>
      </c>
      <c r="H35" s="108">
        <f t="shared" si="0"/>
        <v>92233</v>
      </c>
      <c r="I35" s="109">
        <v>1.28274</v>
      </c>
      <c r="J35" s="220">
        <v>2360035</v>
      </c>
      <c r="K35" s="220">
        <v>877005</v>
      </c>
      <c r="L35" s="115">
        <f t="shared" si="31"/>
        <v>3237040</v>
      </c>
      <c r="M35" s="110">
        <f t="shared" si="46"/>
        <v>14.606922070303687</v>
      </c>
      <c r="N35" s="220">
        <v>222307</v>
      </c>
      <c r="O35" s="220">
        <v>115198</v>
      </c>
      <c r="P35" s="220">
        <v>71909</v>
      </c>
      <c r="Q35" s="220">
        <v>409414</v>
      </c>
      <c r="R35" s="110">
        <f t="shared" si="47"/>
        <v>1.8474527322774243</v>
      </c>
      <c r="S35" s="220">
        <v>566215</v>
      </c>
      <c r="T35" s="220">
        <v>4212669</v>
      </c>
      <c r="U35" s="207">
        <v>0</v>
      </c>
      <c r="V35" s="220">
        <v>4212669</v>
      </c>
      <c r="W35" s="110">
        <f t="shared" si="48"/>
        <v>19.009381345607149</v>
      </c>
      <c r="X35" s="111">
        <f t="shared" si="32"/>
        <v>0.76840596780805703</v>
      </c>
      <c r="Y35" s="111">
        <f t="shared" si="33"/>
        <v>9.7186368072117696E-2</v>
      </c>
      <c r="Z35" s="111">
        <f t="shared" si="34"/>
        <v>0.13440766411982522</v>
      </c>
      <c r="AA35" s="111">
        <f t="shared" si="35"/>
        <v>0</v>
      </c>
      <c r="AB35" s="220">
        <v>1475396</v>
      </c>
      <c r="AE35" s="207"/>
      <c r="AF35" s="353">
        <v>0</v>
      </c>
      <c r="AG35" s="353">
        <v>4272697</v>
      </c>
      <c r="AH35" s="207"/>
      <c r="AI35" s="115">
        <f t="shared" si="49"/>
        <v>4272697</v>
      </c>
      <c r="AJ35" s="110">
        <f t="shared" si="50"/>
        <v>19.28025359866432</v>
      </c>
      <c r="AK35" s="353">
        <v>228054</v>
      </c>
      <c r="AL35" s="207">
        <v>0</v>
      </c>
      <c r="AM35" s="353"/>
      <c r="AN35" s="353">
        <v>0</v>
      </c>
      <c r="AO35" s="115">
        <f t="shared" si="36"/>
        <v>0</v>
      </c>
      <c r="AP35" s="353">
        <v>4500751</v>
      </c>
      <c r="AQ35" s="112">
        <f t="shared" si="51"/>
        <v>20.309331708857904</v>
      </c>
      <c r="AR35" s="207"/>
      <c r="AS35" s="220">
        <v>43578</v>
      </c>
      <c r="AT35" s="207">
        <v>0</v>
      </c>
      <c r="AU35" s="220">
        <v>0</v>
      </c>
      <c r="AV35" s="220">
        <v>0</v>
      </c>
      <c r="AW35" s="207"/>
      <c r="AX35" s="220">
        <v>0</v>
      </c>
      <c r="AY35" s="115">
        <f t="shared" si="37"/>
        <v>43578</v>
      </c>
      <c r="AZ35" s="352">
        <v>358635</v>
      </c>
      <c r="BA35" s="109">
        <f t="shared" si="52"/>
        <v>1.6183159604710979</v>
      </c>
      <c r="BB35" s="352">
        <v>11202</v>
      </c>
      <c r="BC35" s="352">
        <v>53054</v>
      </c>
      <c r="BD35" s="352">
        <v>28414</v>
      </c>
      <c r="BE35" s="352">
        <v>2629</v>
      </c>
      <c r="BF35" s="352">
        <v>207888</v>
      </c>
      <c r="BG35" s="221">
        <v>14</v>
      </c>
      <c r="BH35" s="221">
        <v>89</v>
      </c>
      <c r="BI35" s="205">
        <v>0</v>
      </c>
      <c r="BJ35">
        <v>94</v>
      </c>
      <c r="BK35" s="352">
        <v>668470</v>
      </c>
      <c r="BL35" s="109">
        <f t="shared" si="53"/>
        <v>3.0164252515680698</v>
      </c>
      <c r="BM35">
        <v>114</v>
      </c>
      <c r="BN35" s="352">
        <v>99424</v>
      </c>
      <c r="BO35" s="109">
        <f t="shared" si="54"/>
        <v>0.44864401425928435</v>
      </c>
      <c r="BP35" s="352">
        <v>236881</v>
      </c>
      <c r="BQ35" s="205">
        <v>0</v>
      </c>
      <c r="BR35" s="356">
        <f t="shared" si="38"/>
        <v>370903</v>
      </c>
      <c r="BS35" s="352">
        <v>339632</v>
      </c>
      <c r="BT35" s="352">
        <v>710535</v>
      </c>
      <c r="BU35" s="109">
        <f t="shared" si="55"/>
        <v>3.2062406931095166</v>
      </c>
      <c r="BV35" s="108">
        <f t="shared" si="39"/>
        <v>11941.764705882353</v>
      </c>
      <c r="BW35" s="109">
        <f t="shared" si="56"/>
        <v>365.50154320987656</v>
      </c>
      <c r="BX35" s="109">
        <f t="shared" si="57"/>
        <v>5.083347045651287</v>
      </c>
      <c r="BY35" s="109">
        <f t="shared" ref="BY35:BY66" si="65">BT35/BK35</f>
        <v>1.0629272817029933</v>
      </c>
      <c r="BZ35">
        <v>175</v>
      </c>
      <c r="CA35">
        <v>34</v>
      </c>
      <c r="CB35">
        <v>88</v>
      </c>
      <c r="CC35" s="113">
        <f t="shared" si="41"/>
        <v>297</v>
      </c>
      <c r="CD35">
        <v>0</v>
      </c>
      <c r="CE35">
        <v>290</v>
      </c>
      <c r="CF35">
        <v>0</v>
      </c>
      <c r="CG35" s="116">
        <f t="shared" si="42"/>
        <v>290</v>
      </c>
      <c r="CH35" s="109">
        <f t="shared" si="58"/>
        <v>1.3086052073462389E-3</v>
      </c>
      <c r="CI35" s="352">
        <v>139777</v>
      </c>
      <c r="CJ35" s="109">
        <f t="shared" si="59"/>
        <v>0.63073417264563869</v>
      </c>
      <c r="CK35" s="352">
        <v>98195</v>
      </c>
      <c r="CL35" s="208" t="s">
        <v>7</v>
      </c>
      <c r="CM35" s="208" t="s">
        <v>7</v>
      </c>
      <c r="CN35" s="208" t="s">
        <v>7</v>
      </c>
      <c r="CO35">
        <v>16</v>
      </c>
      <c r="CP35" s="108">
        <f>C35/CO35</f>
        <v>13850.625</v>
      </c>
      <c r="CQ35">
        <v>0</v>
      </c>
      <c r="CR35">
        <v>43.5</v>
      </c>
      <c r="CS35">
        <v>59.5</v>
      </c>
      <c r="CT35" s="108">
        <f t="shared" si="24"/>
        <v>3724.5378151260506</v>
      </c>
      <c r="CU35">
        <v>752</v>
      </c>
      <c r="CV35" s="353">
        <v>110000</v>
      </c>
      <c r="CW35" s="209">
        <v>40</v>
      </c>
      <c r="CX35" s="208" t="s">
        <v>7</v>
      </c>
      <c r="CY35" s="208" t="s">
        <v>7</v>
      </c>
      <c r="CZ35">
        <v>446</v>
      </c>
      <c r="DA35">
        <v>72</v>
      </c>
      <c r="DB35">
        <v>117</v>
      </c>
      <c r="DC35" s="352">
        <v>16383</v>
      </c>
      <c r="DD35" s="352">
        <v>13565</v>
      </c>
      <c r="DE35" s="352">
        <v>265157</v>
      </c>
      <c r="DF35" s="205">
        <v>2808</v>
      </c>
      <c r="DG35" s="205">
        <v>52</v>
      </c>
      <c r="DH35" s="209">
        <f t="shared" si="60"/>
        <v>1.2670908352511168E-2</v>
      </c>
      <c r="DI35" s="205">
        <v>52</v>
      </c>
      <c r="DJ35" s="205">
        <v>52</v>
      </c>
      <c r="DK35" s="108">
        <v>15137</v>
      </c>
      <c r="DL35" s="343">
        <v>1944</v>
      </c>
      <c r="DM35" s="204"/>
      <c r="DN35" t="s">
        <v>1064</v>
      </c>
      <c r="DO35" t="s">
        <v>125</v>
      </c>
      <c r="DP35" s="208"/>
      <c r="DQ35" s="206"/>
      <c r="DR35" s="368" t="s">
        <v>989</v>
      </c>
      <c r="DS35" s="204" t="s">
        <v>989</v>
      </c>
      <c r="DT35" s="227">
        <v>44013</v>
      </c>
      <c r="DU35" s="227">
        <v>44377</v>
      </c>
      <c r="DV35" t="s">
        <v>1199</v>
      </c>
      <c r="DW35" s="109">
        <f t="shared" si="61"/>
        <v>1.0689093452461531</v>
      </c>
      <c r="DX35" s="109">
        <f t="shared" si="62"/>
        <v>0</v>
      </c>
      <c r="DY35" s="109">
        <f t="shared" si="63"/>
        <v>1.6736744731735933</v>
      </c>
      <c r="DZ35" s="109">
        <f t="shared" si="64"/>
        <v>1.5325662199359236</v>
      </c>
      <c r="EA35" s="110">
        <f t="shared" si="44"/>
        <v>0.36576645650428441</v>
      </c>
      <c r="EB35" s="199">
        <f t="shared" si="43"/>
        <v>0.33918476468648417</v>
      </c>
    </row>
    <row r="36" spans="1:132" ht="16.5" x14ac:dyDescent="0.3">
      <c r="A36" s="216" t="s">
        <v>1134</v>
      </c>
      <c r="B36" t="s">
        <v>1200</v>
      </c>
      <c r="C36" s="352">
        <v>9318</v>
      </c>
      <c r="D36"/>
      <c r="E36"/>
      <c r="F36" s="221">
        <v>12000</v>
      </c>
      <c r="H36" s="108">
        <f t="shared" si="0"/>
        <v>12000</v>
      </c>
      <c r="I36" s="109">
        <v>0.32972000000000001</v>
      </c>
      <c r="J36" s="220">
        <v>268862</v>
      </c>
      <c r="K36" s="220">
        <v>116797</v>
      </c>
      <c r="L36" s="115">
        <f t="shared" si="31"/>
        <v>385659</v>
      </c>
      <c r="M36" s="110">
        <f t="shared" si="46"/>
        <v>41.388602704443016</v>
      </c>
      <c r="N36" s="220">
        <v>36126</v>
      </c>
      <c r="O36" s="220">
        <v>18332</v>
      </c>
      <c r="P36" s="220">
        <v>7140</v>
      </c>
      <c r="Q36" s="220">
        <v>61598</v>
      </c>
      <c r="R36" s="110">
        <f t="shared" si="47"/>
        <v>6.6106460613865634</v>
      </c>
      <c r="S36" s="220">
        <v>108098</v>
      </c>
      <c r="T36" s="220">
        <v>555355</v>
      </c>
      <c r="U36" s="207">
        <v>0</v>
      </c>
      <c r="V36" s="220">
        <v>555355</v>
      </c>
      <c r="W36" s="110">
        <f t="shared" si="48"/>
        <v>59.600236102167848</v>
      </c>
      <c r="X36" s="111">
        <f t="shared" si="32"/>
        <v>0.69443689171791012</v>
      </c>
      <c r="Y36" s="111">
        <f t="shared" si="33"/>
        <v>0.11091644083514149</v>
      </c>
      <c r="Z36" s="111">
        <f t="shared" si="34"/>
        <v>0.19464666744694833</v>
      </c>
      <c r="AA36" s="111">
        <f t="shared" si="35"/>
        <v>0</v>
      </c>
      <c r="AB36" s="220">
        <v>31650</v>
      </c>
      <c r="AE36" s="207"/>
      <c r="AF36" s="353">
        <v>548261</v>
      </c>
      <c r="AG36" s="353">
        <v>0</v>
      </c>
      <c r="AH36" s="207"/>
      <c r="AI36" s="115">
        <f t="shared" si="49"/>
        <v>548261</v>
      </c>
      <c r="AJ36" s="110">
        <f t="shared" si="50"/>
        <v>58.8389139300279</v>
      </c>
      <c r="AK36" s="353">
        <v>8552</v>
      </c>
      <c r="AL36" s="207">
        <v>0</v>
      </c>
      <c r="AM36" s="353"/>
      <c r="AN36" s="353">
        <v>7103</v>
      </c>
      <c r="AO36" s="115">
        <f t="shared" si="36"/>
        <v>7103</v>
      </c>
      <c r="AP36" s="353">
        <v>564906</v>
      </c>
      <c r="AQ36" s="112">
        <f t="shared" si="51"/>
        <v>60.625241468126205</v>
      </c>
      <c r="AR36" s="207"/>
      <c r="AS36" s="220">
        <v>0</v>
      </c>
      <c r="AT36" s="207">
        <v>0</v>
      </c>
      <c r="AU36" s="220">
        <v>0</v>
      </c>
      <c r="AV36" s="220">
        <v>0</v>
      </c>
      <c r="AW36" s="207"/>
      <c r="AX36" s="220">
        <v>0</v>
      </c>
      <c r="AY36" s="115">
        <f t="shared" si="37"/>
        <v>0</v>
      </c>
      <c r="AZ36" s="352">
        <v>40999</v>
      </c>
      <c r="BA36" s="109">
        <f t="shared" si="52"/>
        <v>4.3999785361665591</v>
      </c>
      <c r="BB36" s="352">
        <v>1483</v>
      </c>
      <c r="BC36" s="352">
        <v>30149</v>
      </c>
      <c r="BD36" s="352">
        <v>2507</v>
      </c>
      <c r="BE36" s="352">
        <v>2443</v>
      </c>
      <c r="BF36" s="352">
        <v>166883</v>
      </c>
      <c r="BG36" s="221">
        <v>2</v>
      </c>
      <c r="BH36" s="221">
        <v>89</v>
      </c>
      <c r="BI36" s="205">
        <v>0</v>
      </c>
      <c r="BJ36">
        <v>100</v>
      </c>
      <c r="BK36" s="352">
        <v>249125</v>
      </c>
      <c r="BL36" s="109">
        <f t="shared" si="53"/>
        <v>26.73588752951277</v>
      </c>
      <c r="BM36">
        <v>9</v>
      </c>
      <c r="BN36" s="352">
        <v>12168</v>
      </c>
      <c r="BO36" s="109">
        <f t="shared" si="54"/>
        <v>1.3058596265292981</v>
      </c>
      <c r="BP36" s="352">
        <v>5348</v>
      </c>
      <c r="BQ36" s="205">
        <v>0</v>
      </c>
      <c r="BR36" s="356">
        <f t="shared" si="38"/>
        <v>19332</v>
      </c>
      <c r="BS36" s="352">
        <v>55075</v>
      </c>
      <c r="BT36" s="352">
        <v>74407</v>
      </c>
      <c r="BU36" s="109">
        <f t="shared" si="55"/>
        <v>7.9852972740931527</v>
      </c>
      <c r="BV36" s="108">
        <f t="shared" si="39"/>
        <v>9231.6377171215881</v>
      </c>
      <c r="BW36" s="109">
        <f t="shared" si="56"/>
        <v>37.018407960199006</v>
      </c>
      <c r="BX36" s="109">
        <f t="shared" si="57"/>
        <v>13.199751640943765</v>
      </c>
      <c r="BY36" s="109">
        <f t="shared" si="65"/>
        <v>0.29867335674862017</v>
      </c>
      <c r="BZ36">
        <v>0</v>
      </c>
      <c r="CA36">
        <v>0</v>
      </c>
      <c r="CB36">
        <v>0</v>
      </c>
      <c r="CC36" s="113">
        <f t="shared" si="41"/>
        <v>0</v>
      </c>
      <c r="CD36">
        <v>752</v>
      </c>
      <c r="CE36">
        <v>0</v>
      </c>
      <c r="CF36">
        <v>185</v>
      </c>
      <c r="CG36" s="116">
        <f t="shared" si="42"/>
        <v>937</v>
      </c>
      <c r="CH36" s="109">
        <f t="shared" si="58"/>
        <v>0.10055805966945697</v>
      </c>
      <c r="CI36" s="352">
        <v>5637</v>
      </c>
      <c r="CJ36" s="109">
        <f t="shared" si="59"/>
        <v>0.60495814552479077</v>
      </c>
      <c r="CK36" s="352">
        <v>8179</v>
      </c>
      <c r="CL36" s="208" t="s">
        <v>7</v>
      </c>
      <c r="CM36" s="208" t="s">
        <v>7</v>
      </c>
      <c r="CN36" s="208" t="s">
        <v>7</v>
      </c>
      <c r="CO36">
        <v>1</v>
      </c>
      <c r="CP36" s="108">
        <f>C36/CO36</f>
        <v>9318</v>
      </c>
      <c r="CQ36">
        <v>0</v>
      </c>
      <c r="CR36">
        <v>7.06</v>
      </c>
      <c r="CS36">
        <v>8.06</v>
      </c>
      <c r="CT36" s="108">
        <f t="shared" si="24"/>
        <v>1156.0794044665013</v>
      </c>
      <c r="CU36">
        <v>6</v>
      </c>
      <c r="CV36" s="353">
        <v>68578</v>
      </c>
      <c r="CW36" s="209">
        <v>40</v>
      </c>
      <c r="CX36" s="208" t="s">
        <v>7</v>
      </c>
      <c r="CY36" s="208" t="s">
        <v>7</v>
      </c>
      <c r="CZ36" s="352">
        <v>3184</v>
      </c>
      <c r="DA36" s="352">
        <v>2094</v>
      </c>
      <c r="DB36">
        <v>27</v>
      </c>
      <c r="DC36">
        <v>128</v>
      </c>
      <c r="DD36" s="352">
        <v>19685</v>
      </c>
      <c r="DE36" s="352">
        <v>23617</v>
      </c>
      <c r="DF36" s="205">
        <v>2798</v>
      </c>
      <c r="DG36" s="205">
        <v>52</v>
      </c>
      <c r="DH36" s="209">
        <f t="shared" si="60"/>
        <v>0.30027902983472848</v>
      </c>
      <c r="DI36" s="205">
        <v>59</v>
      </c>
      <c r="DJ36" s="205">
        <v>59</v>
      </c>
      <c r="DL36" s="343">
        <v>2010</v>
      </c>
      <c r="DM36" s="204"/>
      <c r="DN36" t="s">
        <v>1065</v>
      </c>
      <c r="DO36" t="s">
        <v>1031</v>
      </c>
      <c r="DP36" s="208"/>
      <c r="DQ36" s="206"/>
      <c r="DR36" s="367" t="s">
        <v>1273</v>
      </c>
      <c r="DS36" s="204" t="s">
        <v>962</v>
      </c>
      <c r="DT36" s="227">
        <v>44013</v>
      </c>
      <c r="DU36" s="227">
        <v>44377</v>
      </c>
      <c r="DV36" t="s">
        <v>1200</v>
      </c>
      <c r="DW36" s="109">
        <f t="shared" si="61"/>
        <v>0.57394290620304789</v>
      </c>
      <c r="DX36" s="109">
        <f t="shared" si="62"/>
        <v>0</v>
      </c>
      <c r="DY36" s="109">
        <f t="shared" si="63"/>
        <v>2.0746941403734707</v>
      </c>
      <c r="DZ36" s="109">
        <f t="shared" si="64"/>
        <v>5.9106031337196825</v>
      </c>
      <c r="EA36" s="110">
        <f t="shared" si="44"/>
        <v>1.4637763371150729</v>
      </c>
      <c r="EB36" s="199">
        <f t="shared" si="43"/>
        <v>0.33285519745801179</v>
      </c>
    </row>
    <row r="37" spans="1:132" ht="16.5" x14ac:dyDescent="0.3">
      <c r="A37" s="216" t="s">
        <v>1133</v>
      </c>
      <c r="B37" t="s">
        <v>1201</v>
      </c>
      <c r="C37" s="352">
        <v>7384</v>
      </c>
      <c r="D37"/>
      <c r="E37"/>
      <c r="F37" s="221">
        <v>2400</v>
      </c>
      <c r="H37" s="108">
        <f t="shared" si="0"/>
        <v>2400</v>
      </c>
      <c r="I37" s="109">
        <v>0.51685999999999999</v>
      </c>
      <c r="J37" s="220">
        <v>108907</v>
      </c>
      <c r="K37" s="220">
        <v>38098</v>
      </c>
      <c r="L37" s="115">
        <f t="shared" si="31"/>
        <v>147005</v>
      </c>
      <c r="M37" s="110">
        <f t="shared" si="46"/>
        <v>19.908586132177682</v>
      </c>
      <c r="N37" s="220">
        <v>10953.68</v>
      </c>
      <c r="O37" s="220">
        <v>7587.27</v>
      </c>
      <c r="P37" s="220">
        <v>2926.66</v>
      </c>
      <c r="Q37" s="220">
        <v>21467.61</v>
      </c>
      <c r="R37" s="110">
        <f t="shared" si="47"/>
        <v>2.9073144637053088</v>
      </c>
      <c r="S37" s="220">
        <v>34275.660000000003</v>
      </c>
      <c r="T37" s="220">
        <v>202748.27</v>
      </c>
      <c r="U37" s="207">
        <v>0</v>
      </c>
      <c r="V37" s="220">
        <v>202748.27</v>
      </c>
      <c r="W37" s="110">
        <f t="shared" si="48"/>
        <v>27.457783044420367</v>
      </c>
      <c r="X37" s="111">
        <f t="shared" si="32"/>
        <v>0.72506167376915232</v>
      </c>
      <c r="Y37" s="111">
        <f t="shared" si="33"/>
        <v>0.10588307362622626</v>
      </c>
      <c r="Z37" s="111">
        <f t="shared" si="34"/>
        <v>0.16905525260462151</v>
      </c>
      <c r="AA37" s="111">
        <f t="shared" si="35"/>
        <v>0</v>
      </c>
      <c r="AB37" s="220">
        <v>0</v>
      </c>
      <c r="AE37" s="207"/>
      <c r="AF37" s="353">
        <v>132073</v>
      </c>
      <c r="AG37" s="353">
        <v>55500</v>
      </c>
      <c r="AH37" s="207"/>
      <c r="AI37" s="115">
        <f t="shared" si="49"/>
        <v>187573</v>
      </c>
      <c r="AJ37" s="110">
        <f t="shared" si="50"/>
        <v>25.402627302275189</v>
      </c>
      <c r="AK37" s="353">
        <v>5210</v>
      </c>
      <c r="AL37" s="207">
        <v>1106</v>
      </c>
      <c r="AM37" s="353"/>
      <c r="AN37" s="353">
        <v>3000</v>
      </c>
      <c r="AO37" s="115">
        <f t="shared" si="36"/>
        <v>3000</v>
      </c>
      <c r="AP37" s="353">
        <v>207947</v>
      </c>
      <c r="AQ37" s="112">
        <f t="shared" si="51"/>
        <v>28.161836403033586</v>
      </c>
      <c r="AR37" s="207"/>
      <c r="AS37" s="220">
        <v>30500</v>
      </c>
      <c r="AT37" s="207">
        <v>0</v>
      </c>
      <c r="AU37" s="220">
        <v>0</v>
      </c>
      <c r="AV37" s="220">
        <v>0</v>
      </c>
      <c r="AW37" s="207"/>
      <c r="AX37" s="220">
        <v>0</v>
      </c>
      <c r="AY37" s="115">
        <f t="shared" si="37"/>
        <v>30500</v>
      </c>
      <c r="AZ37" s="352">
        <v>11264</v>
      </c>
      <c r="BA37" s="109">
        <f t="shared" si="52"/>
        <v>1.5254604550379198</v>
      </c>
      <c r="BB37">
        <v>243</v>
      </c>
      <c r="BC37" s="352">
        <v>26422</v>
      </c>
      <c r="BD37" s="352">
        <v>1180</v>
      </c>
      <c r="BE37" s="352">
        <v>2609</v>
      </c>
      <c r="BF37" s="352">
        <v>131467</v>
      </c>
      <c r="BG37" s="221">
        <v>5</v>
      </c>
      <c r="BH37" s="221">
        <v>89</v>
      </c>
      <c r="BI37" s="205">
        <v>0</v>
      </c>
      <c r="BJ37">
        <v>88</v>
      </c>
      <c r="BK37" s="352">
        <v>173442</v>
      </c>
      <c r="BL37" s="109">
        <f t="shared" si="53"/>
        <v>23.488894907908993</v>
      </c>
      <c r="BM37">
        <v>9</v>
      </c>
      <c r="BN37" s="352">
        <v>1820</v>
      </c>
      <c r="BO37" s="109">
        <f t="shared" si="54"/>
        <v>0.24647887323943662</v>
      </c>
      <c r="BP37" s="352">
        <v>11952</v>
      </c>
      <c r="BQ37" s="205">
        <v>0</v>
      </c>
      <c r="BR37" s="356">
        <f t="shared" si="38"/>
        <v>14623</v>
      </c>
      <c r="BS37" s="352">
        <v>9371</v>
      </c>
      <c r="BT37" s="352">
        <v>23994</v>
      </c>
      <c r="BU37" s="109">
        <f t="shared" si="55"/>
        <v>3.2494582881906826</v>
      </c>
      <c r="BV37" s="108">
        <v>0</v>
      </c>
      <c r="BW37" s="109">
        <f t="shared" si="56"/>
        <v>4.1852433281004711</v>
      </c>
      <c r="BX37" s="109">
        <f t="shared" si="57"/>
        <v>1.8107312655648631</v>
      </c>
      <c r="BY37" s="109">
        <f t="shared" si="65"/>
        <v>0.1383401944165773</v>
      </c>
      <c r="BZ37">
        <v>35</v>
      </c>
      <c r="CA37">
        <v>4</v>
      </c>
      <c r="CB37">
        <v>6</v>
      </c>
      <c r="CC37" s="113">
        <f t="shared" si="41"/>
        <v>45</v>
      </c>
      <c r="CD37">
        <v>102</v>
      </c>
      <c r="CE37">
        <v>0</v>
      </c>
      <c r="CF37">
        <v>0</v>
      </c>
      <c r="CG37" s="116">
        <f t="shared" si="42"/>
        <v>102</v>
      </c>
      <c r="CH37" s="109">
        <f t="shared" si="58"/>
        <v>1.38136511375948E-2</v>
      </c>
      <c r="CI37" s="352">
        <v>13251</v>
      </c>
      <c r="CJ37" s="109">
        <f t="shared" si="59"/>
        <v>1.7945557963163596</v>
      </c>
      <c r="CK37"/>
      <c r="CL37" s="208" t="s">
        <v>7</v>
      </c>
      <c r="CM37" s="208" t="s">
        <v>7</v>
      </c>
      <c r="CN37" s="208" t="s">
        <v>7</v>
      </c>
      <c r="CO37">
        <v>1</v>
      </c>
      <c r="CP37" s="209">
        <v>0</v>
      </c>
      <c r="CQ37">
        <v>0</v>
      </c>
      <c r="CR37">
        <v>2.13</v>
      </c>
      <c r="CS37">
        <v>3.13</v>
      </c>
      <c r="CT37" s="108">
        <v>0</v>
      </c>
      <c r="CU37">
        <v>0</v>
      </c>
      <c r="CV37" s="353">
        <v>57587</v>
      </c>
      <c r="CW37" s="209">
        <v>6</v>
      </c>
      <c r="CX37" s="208" t="s">
        <v>7</v>
      </c>
      <c r="CY37" s="208" t="s">
        <v>8</v>
      </c>
      <c r="CZ37">
        <v>299</v>
      </c>
      <c r="DA37">
        <v>0</v>
      </c>
      <c r="DB37">
        <v>16</v>
      </c>
      <c r="DC37" s="352">
        <v>4151</v>
      </c>
      <c r="DD37" s="352">
        <v>1317</v>
      </c>
      <c r="DE37" s="352">
        <v>9943</v>
      </c>
      <c r="DF37" s="205">
        <v>7644</v>
      </c>
      <c r="DG37" s="205">
        <v>44</v>
      </c>
      <c r="DH37" s="209">
        <f t="shared" si="60"/>
        <v>1.0352112676056338</v>
      </c>
      <c r="DI37" s="205">
        <v>16</v>
      </c>
      <c r="DJ37" s="205">
        <v>16</v>
      </c>
      <c r="DL37" s="343">
        <v>5733</v>
      </c>
      <c r="DM37" s="204"/>
      <c r="DN37" t="s">
        <v>1066</v>
      </c>
      <c r="DO37" t="s">
        <v>1031</v>
      </c>
      <c r="DP37" s="208"/>
      <c r="DQ37" s="206"/>
      <c r="DR37" s="367" t="s">
        <v>1133</v>
      </c>
      <c r="DS37" s="204" t="s">
        <v>990</v>
      </c>
      <c r="DT37" s="227">
        <v>44013</v>
      </c>
      <c r="DU37" s="227">
        <v>44377</v>
      </c>
      <c r="DV37" t="s">
        <v>1201</v>
      </c>
      <c r="DW37" s="109">
        <f t="shared" si="61"/>
        <v>1.61863488624052</v>
      </c>
      <c r="DX37" s="109">
        <f t="shared" si="62"/>
        <v>0</v>
      </c>
      <c r="DY37" s="109">
        <f t="shared" si="63"/>
        <v>1.9803629469122428</v>
      </c>
      <c r="DZ37" s="109">
        <f t="shared" si="64"/>
        <v>1.2690953412784398</v>
      </c>
      <c r="EA37" s="110">
        <f t="shared" si="44"/>
        <v>0.41217986829727188</v>
      </c>
      <c r="EB37" s="199">
        <v>0</v>
      </c>
    </row>
    <row r="38" spans="1:132" ht="16.5" x14ac:dyDescent="0.3">
      <c r="A38" s="114" t="s">
        <v>1262</v>
      </c>
      <c r="B38" t="s">
        <v>1258</v>
      </c>
      <c r="C38" s="352">
        <v>17484</v>
      </c>
      <c r="D38">
        <v>1</v>
      </c>
      <c r="E38"/>
      <c r="F38" s="354" t="s">
        <v>913</v>
      </c>
      <c r="H38" s="108" t="e">
        <f t="shared" si="0"/>
        <v>#VALUE!</v>
      </c>
      <c r="I38" s="109">
        <v>0.42072999999999999</v>
      </c>
      <c r="J38" s="220">
        <v>275900</v>
      </c>
      <c r="K38" s="220">
        <v>19550</v>
      </c>
      <c r="L38" s="115">
        <f t="shared" si="31"/>
        <v>295450</v>
      </c>
      <c r="M38" s="110">
        <f t="shared" si="46"/>
        <v>16.898307023564403</v>
      </c>
      <c r="N38" s="220">
        <v>28973</v>
      </c>
      <c r="O38" s="220">
        <v>3000</v>
      </c>
      <c r="P38" s="220">
        <v>0</v>
      </c>
      <c r="Q38" s="220">
        <v>31973</v>
      </c>
      <c r="R38" s="110">
        <f t="shared" si="47"/>
        <v>1.8287005261953786</v>
      </c>
      <c r="S38" s="220">
        <v>129978</v>
      </c>
      <c r="T38" s="220">
        <v>457401</v>
      </c>
      <c r="U38" s="207">
        <v>0</v>
      </c>
      <c r="V38" s="220">
        <v>457401</v>
      </c>
      <c r="W38" s="110">
        <f t="shared" si="48"/>
        <v>26.16111873713109</v>
      </c>
      <c r="X38" s="111">
        <f t="shared" si="32"/>
        <v>0.64593212520304943</v>
      </c>
      <c r="Y38" s="111">
        <f t="shared" si="33"/>
        <v>6.9901465016473513E-2</v>
      </c>
      <c r="Z38" s="111">
        <f t="shared" si="34"/>
        <v>0.28416640978047708</v>
      </c>
      <c r="AA38" s="111">
        <f t="shared" si="35"/>
        <v>0</v>
      </c>
      <c r="AB38" s="220">
        <v>0</v>
      </c>
      <c r="AE38" s="207"/>
      <c r="AF38" s="353">
        <v>150000</v>
      </c>
      <c r="AG38" s="353">
        <v>0</v>
      </c>
      <c r="AH38" s="207"/>
      <c r="AI38" s="115">
        <f t="shared" si="49"/>
        <v>150000</v>
      </c>
      <c r="AJ38" s="110">
        <f t="shared" si="50"/>
        <v>8.5792724776938911</v>
      </c>
      <c r="AK38" s="353">
        <v>7016</v>
      </c>
      <c r="AL38" s="207">
        <v>0</v>
      </c>
      <c r="AM38" s="353"/>
      <c r="AN38" s="353">
        <v>253580</v>
      </c>
      <c r="AO38" s="115">
        <f t="shared" si="36"/>
        <v>253580</v>
      </c>
      <c r="AP38" s="353">
        <v>410596</v>
      </c>
      <c r="AQ38" s="112">
        <f t="shared" si="51"/>
        <v>23.48409974834134</v>
      </c>
      <c r="AR38" s="207"/>
      <c r="AS38" s="220">
        <v>0</v>
      </c>
      <c r="AT38" s="207">
        <v>0</v>
      </c>
      <c r="AU38" s="220">
        <v>0</v>
      </c>
      <c r="AV38" s="220">
        <v>0</v>
      </c>
      <c r="AW38" s="207"/>
      <c r="AX38" s="220">
        <v>0</v>
      </c>
      <c r="AY38" s="115">
        <f t="shared" si="37"/>
        <v>0</v>
      </c>
      <c r="AZ38" s="352">
        <v>15510</v>
      </c>
      <c r="BA38" s="109">
        <f t="shared" si="52"/>
        <v>0.88709677419354838</v>
      </c>
      <c r="BB38" s="352">
        <v>1441</v>
      </c>
      <c r="BC38" s="352">
        <v>30111</v>
      </c>
      <c r="BD38">
        <v>0</v>
      </c>
      <c r="BE38" s="352">
        <v>2443</v>
      </c>
      <c r="BF38" s="352">
        <v>92904</v>
      </c>
      <c r="BG38" s="221">
        <v>13</v>
      </c>
      <c r="BH38" s="221">
        <v>89</v>
      </c>
      <c r="BI38" s="205">
        <v>0</v>
      </c>
      <c r="BJ38">
        <v>86</v>
      </c>
      <c r="BK38" s="352">
        <v>146045</v>
      </c>
      <c r="BL38" s="109">
        <f t="shared" si="53"/>
        <v>8.3530656600320299</v>
      </c>
      <c r="BM38">
        <v>12</v>
      </c>
      <c r="BN38">
        <v>7</v>
      </c>
      <c r="BO38" s="109">
        <f t="shared" si="54"/>
        <v>4.0036604895904828E-4</v>
      </c>
      <c r="BP38" s="352">
        <v>1946</v>
      </c>
      <c r="BQ38" s="205">
        <v>0</v>
      </c>
      <c r="BR38" s="356">
        <f t="shared" si="38"/>
        <v>19165</v>
      </c>
      <c r="BS38" s="352">
        <v>21625</v>
      </c>
      <c r="BT38" s="352">
        <v>40790</v>
      </c>
      <c r="BU38" s="109">
        <f t="shared" si="55"/>
        <v>2.3329901624342257</v>
      </c>
      <c r="BV38" s="108">
        <f t="shared" ref="BV38:BV71" si="66">BT38/CS38</f>
        <v>9064.4444444444453</v>
      </c>
      <c r="BW38" s="109">
        <f t="shared" si="56"/>
        <v>2.008568051999212</v>
      </c>
      <c r="BX38" s="109">
        <f t="shared" si="57"/>
        <v>5.1038538538538543</v>
      </c>
      <c r="BY38" s="109">
        <f t="shared" si="65"/>
        <v>0.27929747680509431</v>
      </c>
      <c r="BZ38">
        <v>11</v>
      </c>
      <c r="CA38">
        <v>0</v>
      </c>
      <c r="CB38">
        <v>0</v>
      </c>
      <c r="CC38" s="113">
        <f t="shared" si="41"/>
        <v>11</v>
      </c>
      <c r="CD38">
        <v>0</v>
      </c>
      <c r="CE38">
        <v>0</v>
      </c>
      <c r="CF38">
        <v>0</v>
      </c>
      <c r="CG38" s="116">
        <f t="shared" si="42"/>
        <v>0</v>
      </c>
      <c r="CH38" s="109">
        <f t="shared" si="58"/>
        <v>0</v>
      </c>
      <c r="CI38" s="352">
        <v>7992</v>
      </c>
      <c r="CJ38" s="109">
        <f t="shared" si="59"/>
        <v>0.45710363761153056</v>
      </c>
      <c r="CK38" s="352">
        <v>8206</v>
      </c>
      <c r="CL38" s="208" t="s">
        <v>7</v>
      </c>
      <c r="CM38" s="208" t="s">
        <v>7</v>
      </c>
      <c r="CN38" s="208" t="s">
        <v>7</v>
      </c>
      <c r="CO38">
        <v>1</v>
      </c>
      <c r="CP38" s="108">
        <f>C38/CO38</f>
        <v>17484</v>
      </c>
      <c r="CQ38">
        <v>0</v>
      </c>
      <c r="CR38">
        <v>3.5</v>
      </c>
      <c r="CS38">
        <v>4.5</v>
      </c>
      <c r="CT38" s="108">
        <f t="shared" ref="CT38:CT71" si="67">C38/CS38</f>
        <v>3885.3333333333335</v>
      </c>
      <c r="CU38">
        <v>29</v>
      </c>
      <c r="CV38" s="353">
        <v>105517</v>
      </c>
      <c r="CW38" s="209">
        <v>40</v>
      </c>
      <c r="CX38" s="208" t="s">
        <v>7</v>
      </c>
      <c r="CY38" s="208" t="s">
        <v>7</v>
      </c>
      <c r="CZ38">
        <v>0</v>
      </c>
      <c r="DA38">
        <v>0</v>
      </c>
      <c r="DB38">
        <v>1</v>
      </c>
      <c r="DC38">
        <v>22</v>
      </c>
      <c r="DD38">
        <v>-1</v>
      </c>
      <c r="DE38">
        <v>711</v>
      </c>
      <c r="DF38" s="205">
        <v>28297</v>
      </c>
      <c r="DG38" s="205">
        <v>52</v>
      </c>
      <c r="DH38" s="209">
        <f t="shared" si="60"/>
        <v>1.6184511553420271</v>
      </c>
      <c r="DI38" s="205">
        <v>41</v>
      </c>
      <c r="DJ38" s="205">
        <v>41</v>
      </c>
      <c r="DL38" s="343">
        <v>20308</v>
      </c>
      <c r="DM38" s="204"/>
      <c r="DN38"/>
      <c r="DO38" t="s">
        <v>1259</v>
      </c>
      <c r="DP38" s="208"/>
      <c r="DQ38" s="206"/>
      <c r="DR38" s="367" t="s">
        <v>1274</v>
      </c>
      <c r="DS38" s="114" t="s">
        <v>1022</v>
      </c>
      <c r="DT38" s="227">
        <v>44013</v>
      </c>
      <c r="DU38" s="227">
        <v>44377</v>
      </c>
      <c r="DV38" t="s">
        <v>1258</v>
      </c>
      <c r="DW38" s="109">
        <f t="shared" si="61"/>
        <v>0.11130176161061542</v>
      </c>
      <c r="DX38" s="109">
        <f t="shared" si="62"/>
        <v>0</v>
      </c>
      <c r="DY38" s="109">
        <f t="shared" si="63"/>
        <v>1.0961450469000229</v>
      </c>
      <c r="DZ38" s="109">
        <f t="shared" si="64"/>
        <v>1.2368451155342026</v>
      </c>
      <c r="EA38" s="110">
        <f t="shared" ref="EA38:EA69" si="68">N38/(BP38+BR38)</f>
        <v>1.3724124863815073</v>
      </c>
      <c r="EB38" s="199">
        <f t="shared" si="43"/>
        <v>0.13872832369942195</v>
      </c>
    </row>
    <row r="39" spans="1:132" ht="16.5" x14ac:dyDescent="0.3">
      <c r="A39" s="216" t="s">
        <v>991</v>
      </c>
      <c r="B39" t="s">
        <v>1202</v>
      </c>
      <c r="C39" s="352">
        <v>61081</v>
      </c>
      <c r="D39">
        <v>3</v>
      </c>
      <c r="E39"/>
      <c r="F39" s="221">
        <v>31653</v>
      </c>
      <c r="H39" s="108">
        <f t="shared" si="0"/>
        <v>31653</v>
      </c>
      <c r="I39" s="109">
        <v>0.80908999999999998</v>
      </c>
      <c r="J39" s="220">
        <v>646938</v>
      </c>
      <c r="K39" s="220">
        <v>204160</v>
      </c>
      <c r="L39" s="115">
        <f t="shared" si="31"/>
        <v>851098</v>
      </c>
      <c r="M39" s="110">
        <f t="shared" si="46"/>
        <v>13.933923806093548</v>
      </c>
      <c r="N39" s="220">
        <v>77478</v>
      </c>
      <c r="O39" s="220">
        <v>25056</v>
      </c>
      <c r="P39" s="220">
        <v>21337</v>
      </c>
      <c r="Q39" s="220">
        <v>123871</v>
      </c>
      <c r="R39" s="110">
        <f t="shared" si="47"/>
        <v>2.0279792406804078</v>
      </c>
      <c r="S39" s="220">
        <v>160203</v>
      </c>
      <c r="T39" s="220">
        <v>1135172</v>
      </c>
      <c r="U39" s="207">
        <v>0</v>
      </c>
      <c r="V39" s="220">
        <v>1135172</v>
      </c>
      <c r="W39" s="110">
        <f t="shared" si="48"/>
        <v>18.584699006237617</v>
      </c>
      <c r="X39" s="111">
        <f t="shared" si="32"/>
        <v>0.74975246042009491</v>
      </c>
      <c r="Y39" s="111">
        <f t="shared" si="33"/>
        <v>0.10912090854954139</v>
      </c>
      <c r="Z39" s="111">
        <f t="shared" si="34"/>
        <v>0.14112663103036369</v>
      </c>
      <c r="AA39" s="111">
        <f t="shared" si="35"/>
        <v>0</v>
      </c>
      <c r="AB39" s="220">
        <v>26180</v>
      </c>
      <c r="AE39" s="207"/>
      <c r="AF39" s="353">
        <v>0</v>
      </c>
      <c r="AG39" s="353">
        <v>1642137</v>
      </c>
      <c r="AH39" s="207"/>
      <c r="AI39" s="115">
        <f t="shared" si="49"/>
        <v>1642137</v>
      </c>
      <c r="AJ39" s="110">
        <f t="shared" si="50"/>
        <v>26.884579492804637</v>
      </c>
      <c r="AK39" s="353">
        <v>108694</v>
      </c>
      <c r="AL39" s="207">
        <v>2427</v>
      </c>
      <c r="AM39" s="353"/>
      <c r="AN39" s="353">
        <v>24000</v>
      </c>
      <c r="AO39" s="115">
        <f t="shared" si="36"/>
        <v>24000</v>
      </c>
      <c r="AP39" s="353">
        <v>1774831</v>
      </c>
      <c r="AQ39" s="112">
        <f t="shared" si="51"/>
        <v>29.057006270362304</v>
      </c>
      <c r="AR39" s="207"/>
      <c r="AS39" s="220">
        <v>46823</v>
      </c>
      <c r="AT39" s="207">
        <v>0</v>
      </c>
      <c r="AU39" s="220">
        <v>0</v>
      </c>
      <c r="AV39" s="220">
        <v>0</v>
      </c>
      <c r="AW39" s="207"/>
      <c r="AX39" s="220">
        <v>0</v>
      </c>
      <c r="AY39" s="115">
        <f t="shared" si="37"/>
        <v>46823</v>
      </c>
      <c r="AZ39" s="352">
        <v>104705</v>
      </c>
      <c r="BA39" s="109">
        <f t="shared" si="52"/>
        <v>1.7141991781405019</v>
      </c>
      <c r="BB39" s="352">
        <v>2600</v>
      </c>
      <c r="BC39" s="352">
        <v>30111</v>
      </c>
      <c r="BD39" s="352">
        <v>7015</v>
      </c>
      <c r="BE39" s="352">
        <v>2443</v>
      </c>
      <c r="BF39" s="352">
        <v>166680</v>
      </c>
      <c r="BG39" s="221">
        <v>1</v>
      </c>
      <c r="BH39" s="221">
        <v>89</v>
      </c>
      <c r="BI39" s="205">
        <v>0</v>
      </c>
      <c r="BJ39">
        <v>91</v>
      </c>
      <c r="BK39" s="352">
        <v>318813</v>
      </c>
      <c r="BL39" s="109">
        <f t="shared" si="53"/>
        <v>5.2195117958121182</v>
      </c>
      <c r="BM39">
        <v>16</v>
      </c>
      <c r="BN39" s="352">
        <v>17994</v>
      </c>
      <c r="BO39" s="109">
        <f t="shared" si="54"/>
        <v>0.29459242645012362</v>
      </c>
      <c r="BP39" s="352">
        <v>11502</v>
      </c>
      <c r="BQ39" s="205">
        <v>0</v>
      </c>
      <c r="BR39" s="356">
        <f t="shared" si="38"/>
        <v>68245</v>
      </c>
      <c r="BS39" s="352">
        <v>25328</v>
      </c>
      <c r="BT39" s="352">
        <v>93573</v>
      </c>
      <c r="BU39" s="109">
        <f t="shared" si="55"/>
        <v>1.5319493786938656</v>
      </c>
      <c r="BV39" s="108">
        <f t="shared" si="66"/>
        <v>6196.8874172185433</v>
      </c>
      <c r="BW39" s="109">
        <f t="shared" si="56"/>
        <v>10.618815251929188</v>
      </c>
      <c r="BX39" s="109">
        <f t="shared" si="57"/>
        <v>2.3561716271340081</v>
      </c>
      <c r="BY39" s="109">
        <f t="shared" si="65"/>
        <v>0.2935043426710956</v>
      </c>
      <c r="BZ39">
        <v>0</v>
      </c>
      <c r="CA39">
        <v>0</v>
      </c>
      <c r="CB39">
        <v>0</v>
      </c>
      <c r="CC39" s="113">
        <f t="shared" si="41"/>
        <v>0</v>
      </c>
      <c r="CD39">
        <v>281</v>
      </c>
      <c r="CE39">
        <v>0</v>
      </c>
      <c r="CF39">
        <v>336</v>
      </c>
      <c r="CG39" s="116">
        <f t="shared" si="42"/>
        <v>617</v>
      </c>
      <c r="CH39" s="109">
        <f t="shared" si="58"/>
        <v>1.0101340842487844E-2</v>
      </c>
      <c r="CI39" s="352">
        <v>39714</v>
      </c>
      <c r="CJ39" s="109">
        <f t="shared" si="59"/>
        <v>0.65018581883073301</v>
      </c>
      <c r="CK39" s="352">
        <v>11936</v>
      </c>
      <c r="CL39" s="208" t="s">
        <v>7</v>
      </c>
      <c r="CM39" s="208" t="s">
        <v>7</v>
      </c>
      <c r="CN39" s="208" t="s">
        <v>7</v>
      </c>
      <c r="CO39">
        <v>5.6</v>
      </c>
      <c r="CP39" s="108">
        <f>C39/CO39</f>
        <v>10907.321428571429</v>
      </c>
      <c r="CQ39">
        <v>0</v>
      </c>
      <c r="CR39">
        <v>9.5</v>
      </c>
      <c r="CS39">
        <v>15.1</v>
      </c>
      <c r="CT39" s="108">
        <f t="shared" si="67"/>
        <v>4045.0993377483446</v>
      </c>
      <c r="CU39">
        <v>0</v>
      </c>
      <c r="CV39" s="353">
        <v>69208</v>
      </c>
      <c r="CW39" s="209">
        <v>40</v>
      </c>
      <c r="CX39" s="208" t="s">
        <v>7</v>
      </c>
      <c r="CY39" s="208" t="s">
        <v>7</v>
      </c>
      <c r="CZ39" s="352">
        <v>10162</v>
      </c>
      <c r="DA39" s="352">
        <v>4796</v>
      </c>
      <c r="DB39">
        <v>47</v>
      </c>
      <c r="DC39" s="352">
        <v>5384</v>
      </c>
      <c r="DD39" s="352">
        <v>41765</v>
      </c>
      <c r="DE39" s="352">
        <v>29863</v>
      </c>
      <c r="DF39" s="205">
        <v>12398</v>
      </c>
      <c r="DG39" s="205">
        <v>52</v>
      </c>
      <c r="DH39" s="209">
        <f t="shared" si="60"/>
        <v>0.20297637563235704</v>
      </c>
      <c r="DI39" s="205">
        <v>56</v>
      </c>
      <c r="DJ39" s="205">
        <v>56</v>
      </c>
      <c r="DL39" s="343">
        <v>8812</v>
      </c>
      <c r="DM39" s="204"/>
      <c r="DN39" t="s">
        <v>1067</v>
      </c>
      <c r="DO39" t="s">
        <v>125</v>
      </c>
      <c r="DP39" s="208"/>
      <c r="DQ39" s="206"/>
      <c r="DR39" s="368" t="s">
        <v>991</v>
      </c>
      <c r="DS39" s="204" t="s">
        <v>991</v>
      </c>
      <c r="DT39" s="227">
        <v>44013</v>
      </c>
      <c r="DU39" s="227">
        <v>44377</v>
      </c>
      <c r="DV39" t="s">
        <v>1202</v>
      </c>
      <c r="DW39" s="109">
        <f t="shared" si="61"/>
        <v>0.18830732961149949</v>
      </c>
      <c r="DX39" s="109">
        <f t="shared" si="62"/>
        <v>0</v>
      </c>
      <c r="DY39" s="109">
        <f t="shared" si="63"/>
        <v>1.1172868813542673</v>
      </c>
      <c r="DZ39" s="109">
        <f t="shared" si="64"/>
        <v>0.41466249733959826</v>
      </c>
      <c r="EA39" s="110">
        <f t="shared" si="68"/>
        <v>0.971547519028929</v>
      </c>
      <c r="EB39" s="199">
        <f t="shared" si="43"/>
        <v>0.98926089703095388</v>
      </c>
    </row>
    <row r="40" spans="1:132" ht="16.5" x14ac:dyDescent="0.3">
      <c r="A40" s="216" t="s">
        <v>992</v>
      </c>
      <c r="B40" t="s">
        <v>1203</v>
      </c>
      <c r="C40" s="352">
        <v>425703</v>
      </c>
      <c r="D40">
        <v>7</v>
      </c>
      <c r="E40"/>
      <c r="F40" s="221">
        <v>177988</v>
      </c>
      <c r="H40" s="108">
        <f t="shared" si="0"/>
        <v>177988</v>
      </c>
      <c r="I40" s="109">
        <v>0.24460000000000001</v>
      </c>
      <c r="J40" s="220">
        <v>4742558</v>
      </c>
      <c r="K40" s="220">
        <v>1897684</v>
      </c>
      <c r="L40" s="115">
        <f t="shared" si="31"/>
        <v>6640242</v>
      </c>
      <c r="M40" s="110">
        <f t="shared" si="46"/>
        <v>15.598297404528509</v>
      </c>
      <c r="N40" s="220">
        <v>326232</v>
      </c>
      <c r="O40" s="220">
        <v>669414</v>
      </c>
      <c r="P40" s="220">
        <v>93003</v>
      </c>
      <c r="Q40" s="220">
        <v>1088649</v>
      </c>
      <c r="R40" s="110">
        <f t="shared" si="47"/>
        <v>2.5572969887456747</v>
      </c>
      <c r="S40" s="220">
        <v>1584737</v>
      </c>
      <c r="T40" s="220">
        <v>9313628</v>
      </c>
      <c r="U40" s="207">
        <v>0</v>
      </c>
      <c r="V40" s="220">
        <v>9313628</v>
      </c>
      <c r="W40" s="110">
        <f t="shared" si="48"/>
        <v>21.878229657766095</v>
      </c>
      <c r="X40" s="111">
        <f t="shared" si="32"/>
        <v>0.7129597617598642</v>
      </c>
      <c r="Y40" s="111">
        <f t="shared" si="33"/>
        <v>0.11688774771764558</v>
      </c>
      <c r="Z40" s="111">
        <f t="shared" si="34"/>
        <v>0.17015249052249026</v>
      </c>
      <c r="AA40" s="111">
        <f t="shared" si="35"/>
        <v>0</v>
      </c>
      <c r="AB40" s="220">
        <v>0</v>
      </c>
      <c r="AE40" s="207"/>
      <c r="AF40" s="353">
        <v>7888732</v>
      </c>
      <c r="AG40" s="353">
        <v>1356847</v>
      </c>
      <c r="AH40" s="207"/>
      <c r="AI40" s="115">
        <f t="shared" si="49"/>
        <v>9245579</v>
      </c>
      <c r="AJ40" s="110">
        <f t="shared" si="50"/>
        <v>21.718378775813186</v>
      </c>
      <c r="AK40" s="353">
        <v>340773</v>
      </c>
      <c r="AL40" s="207">
        <v>7467</v>
      </c>
      <c r="AM40" s="353"/>
      <c r="AN40" s="353">
        <v>12306</v>
      </c>
      <c r="AO40" s="115">
        <f t="shared" si="36"/>
        <v>12306</v>
      </c>
      <c r="AP40" s="353">
        <v>9598658</v>
      </c>
      <c r="AQ40" s="112">
        <f t="shared" si="51"/>
        <v>22.547780964663158</v>
      </c>
      <c r="AR40" s="207"/>
      <c r="AS40" s="220">
        <v>0</v>
      </c>
      <c r="AT40" s="207">
        <v>0</v>
      </c>
      <c r="AU40" s="220">
        <v>0</v>
      </c>
      <c r="AV40" s="220">
        <v>0</v>
      </c>
      <c r="AW40" s="207"/>
      <c r="AX40" s="220">
        <v>0</v>
      </c>
      <c r="AY40" s="115">
        <f t="shared" si="37"/>
        <v>0</v>
      </c>
      <c r="AZ40" s="352">
        <v>654413</v>
      </c>
      <c r="BA40" s="109">
        <f t="shared" si="52"/>
        <v>1.5372524976333266</v>
      </c>
      <c r="BB40" s="352">
        <v>24964</v>
      </c>
      <c r="BC40" s="352">
        <v>72938</v>
      </c>
      <c r="BD40" s="352">
        <v>73819</v>
      </c>
      <c r="BE40" s="352">
        <v>2869</v>
      </c>
      <c r="BF40" s="352">
        <v>263486</v>
      </c>
      <c r="BG40" s="221">
        <v>0</v>
      </c>
      <c r="BH40" s="221">
        <v>89</v>
      </c>
      <c r="BI40" s="205">
        <v>0</v>
      </c>
      <c r="BJ40">
        <v>99</v>
      </c>
      <c r="BK40" s="352">
        <v>1108699</v>
      </c>
      <c r="BL40" s="109">
        <f t="shared" si="53"/>
        <v>2.6043955527680098</v>
      </c>
      <c r="BM40">
        <v>609</v>
      </c>
      <c r="BN40" s="352">
        <v>47840</v>
      </c>
      <c r="BO40" s="109">
        <f t="shared" si="54"/>
        <v>0.11237881809618443</v>
      </c>
      <c r="BP40" s="352">
        <v>276900</v>
      </c>
      <c r="BQ40" s="205">
        <v>0</v>
      </c>
      <c r="BR40" s="356">
        <f t="shared" si="38"/>
        <v>491383</v>
      </c>
      <c r="BS40" s="352">
        <v>823461</v>
      </c>
      <c r="BT40" s="352">
        <v>1314844</v>
      </c>
      <c r="BU40" s="109">
        <f t="shared" si="55"/>
        <v>3.0886416116400399</v>
      </c>
      <c r="BV40" s="108">
        <f t="shared" si="66"/>
        <v>13115.650872817954</v>
      </c>
      <c r="BW40" s="109">
        <f t="shared" si="56"/>
        <v>134.49713584288051</v>
      </c>
      <c r="BX40" s="109">
        <f t="shared" si="57"/>
        <v>2.7805671338150737</v>
      </c>
      <c r="BY40" s="109">
        <f t="shared" si="65"/>
        <v>1.185934144434152</v>
      </c>
      <c r="BZ40">
        <v>17</v>
      </c>
      <c r="CA40">
        <v>0</v>
      </c>
      <c r="CB40">
        <v>10</v>
      </c>
      <c r="CC40" s="113">
        <f t="shared" si="41"/>
        <v>27</v>
      </c>
      <c r="CD40">
        <v>136</v>
      </c>
      <c r="CE40">
        <v>0</v>
      </c>
      <c r="CF40">
        <v>0</v>
      </c>
      <c r="CG40" s="116">
        <f t="shared" si="42"/>
        <v>136</v>
      </c>
      <c r="CH40" s="109">
        <f t="shared" si="58"/>
        <v>3.1947155646072498E-4</v>
      </c>
      <c r="CI40" s="352">
        <v>472869</v>
      </c>
      <c r="CJ40" s="109">
        <f t="shared" si="59"/>
        <v>1.1107955546472541</v>
      </c>
      <c r="CK40" s="352">
        <v>368491</v>
      </c>
      <c r="CL40" s="208" t="s">
        <v>7</v>
      </c>
      <c r="CM40" s="208" t="s">
        <v>7</v>
      </c>
      <c r="CN40" s="208" t="s">
        <v>7</v>
      </c>
      <c r="CO40">
        <v>34</v>
      </c>
      <c r="CP40" s="108">
        <f>C40/CO40</f>
        <v>12520.676470588236</v>
      </c>
      <c r="CQ40">
        <v>6</v>
      </c>
      <c r="CR40">
        <v>60.25</v>
      </c>
      <c r="CS40">
        <v>100.25</v>
      </c>
      <c r="CT40" s="108">
        <f t="shared" si="67"/>
        <v>4246.4139650872821</v>
      </c>
      <c r="CU40">
        <v>812</v>
      </c>
      <c r="CV40" s="353">
        <v>143235</v>
      </c>
      <c r="CW40" s="209">
        <v>40</v>
      </c>
      <c r="CX40" s="208" t="s">
        <v>7</v>
      </c>
      <c r="CY40" s="208" t="s">
        <v>7</v>
      </c>
      <c r="CZ40">
        <v>257</v>
      </c>
      <c r="DA40">
        <v>520</v>
      </c>
      <c r="DB40">
        <v>299</v>
      </c>
      <c r="DC40" s="352">
        <v>27048</v>
      </c>
      <c r="DD40">
        <v>-1</v>
      </c>
      <c r="DE40" s="352">
        <v>1944023</v>
      </c>
      <c r="DF40" s="205">
        <v>12462</v>
      </c>
      <c r="DG40" s="205">
        <v>52</v>
      </c>
      <c r="DH40" s="209">
        <f t="shared" si="60"/>
        <v>2.9273930416276135E-2</v>
      </c>
      <c r="DI40" s="205">
        <v>54</v>
      </c>
      <c r="DJ40" s="205">
        <v>54</v>
      </c>
      <c r="DL40" s="343">
        <v>9776</v>
      </c>
      <c r="DM40" s="204"/>
      <c r="DN40" t="s">
        <v>1068</v>
      </c>
      <c r="DO40" t="s">
        <v>125</v>
      </c>
      <c r="DP40" s="208"/>
      <c r="DQ40" s="206"/>
      <c r="DR40" s="367" t="s">
        <v>1275</v>
      </c>
      <c r="DS40" s="204" t="s">
        <v>992</v>
      </c>
      <c r="DT40" s="227">
        <v>44013</v>
      </c>
      <c r="DU40" s="227">
        <v>44377</v>
      </c>
      <c r="DV40" t="s">
        <v>1203</v>
      </c>
      <c r="DW40" s="109">
        <f t="shared" si="61"/>
        <v>0.65045348517628487</v>
      </c>
      <c r="DX40" s="109">
        <f t="shared" si="62"/>
        <v>0</v>
      </c>
      <c r="DY40" s="109">
        <f t="shared" si="63"/>
        <v>1.1542859693260326</v>
      </c>
      <c r="DZ40" s="109">
        <f t="shared" si="64"/>
        <v>1.9343556423140076</v>
      </c>
      <c r="EA40" s="110">
        <f t="shared" si="68"/>
        <v>0.42462478019167416</v>
      </c>
      <c r="EB40" s="199">
        <f t="shared" si="43"/>
        <v>0.81292738818231824</v>
      </c>
    </row>
    <row r="41" spans="1:132" ht="16.5" x14ac:dyDescent="0.3">
      <c r="A41" s="216" t="s">
        <v>993</v>
      </c>
      <c r="B41" t="s">
        <v>1204</v>
      </c>
      <c r="C41" s="352">
        <v>36638</v>
      </c>
      <c r="D41">
        <v>4</v>
      </c>
      <c r="E41"/>
      <c r="F41" s="221">
        <v>29909</v>
      </c>
      <c r="H41" s="108">
        <f t="shared" si="0"/>
        <v>29909</v>
      </c>
      <c r="I41" s="109">
        <v>1.1492100000000001</v>
      </c>
      <c r="J41" s="220">
        <v>386972</v>
      </c>
      <c r="K41" s="220">
        <v>166035</v>
      </c>
      <c r="L41" s="115">
        <f t="shared" si="31"/>
        <v>553007</v>
      </c>
      <c r="M41" s="110">
        <f t="shared" si="46"/>
        <v>15.093809705769965</v>
      </c>
      <c r="N41" s="220">
        <v>4339</v>
      </c>
      <c r="O41" s="220">
        <v>6600</v>
      </c>
      <c r="P41" s="220">
        <v>600</v>
      </c>
      <c r="Q41" s="220">
        <v>11539</v>
      </c>
      <c r="R41" s="110">
        <f t="shared" si="47"/>
        <v>0.3149462306894481</v>
      </c>
      <c r="S41" s="220">
        <v>74057</v>
      </c>
      <c r="T41" s="220">
        <v>638603</v>
      </c>
      <c r="U41" s="207">
        <v>0</v>
      </c>
      <c r="V41" s="220">
        <v>638603</v>
      </c>
      <c r="W41" s="110">
        <f t="shared" si="48"/>
        <v>17.430072602216278</v>
      </c>
      <c r="X41" s="111">
        <f t="shared" si="32"/>
        <v>0.86596367383178596</v>
      </c>
      <c r="Y41" s="111">
        <f t="shared" si="33"/>
        <v>1.8069129020690477E-2</v>
      </c>
      <c r="Z41" s="111">
        <f t="shared" si="34"/>
        <v>0.11596719714752358</v>
      </c>
      <c r="AA41" s="111">
        <f t="shared" si="35"/>
        <v>0</v>
      </c>
      <c r="AB41" s="220">
        <v>46855</v>
      </c>
      <c r="AE41" s="207"/>
      <c r="AF41" s="353">
        <v>97332</v>
      </c>
      <c r="AG41" s="353">
        <v>564368</v>
      </c>
      <c r="AH41" s="207"/>
      <c r="AI41" s="115">
        <f t="shared" si="49"/>
        <v>661700</v>
      </c>
      <c r="AJ41" s="110">
        <f t="shared" si="50"/>
        <v>18.060483650854305</v>
      </c>
      <c r="AK41" s="353">
        <v>97371</v>
      </c>
      <c r="AL41" s="207">
        <v>0</v>
      </c>
      <c r="AM41" s="353"/>
      <c r="AN41" s="353">
        <v>4214</v>
      </c>
      <c r="AO41" s="115">
        <f t="shared" si="36"/>
        <v>4214</v>
      </c>
      <c r="AP41" s="353">
        <v>766766</v>
      </c>
      <c r="AQ41" s="112">
        <f t="shared" si="51"/>
        <v>20.928162017577378</v>
      </c>
      <c r="AR41" s="207"/>
      <c r="AS41" s="220">
        <v>0</v>
      </c>
      <c r="AT41" s="207">
        <v>0</v>
      </c>
      <c r="AU41" s="220">
        <v>0</v>
      </c>
      <c r="AV41" s="220">
        <v>0</v>
      </c>
      <c r="AW41" s="207"/>
      <c r="AX41" s="220">
        <v>0</v>
      </c>
      <c r="AY41" s="115">
        <f t="shared" si="37"/>
        <v>0</v>
      </c>
      <c r="AZ41" s="352">
        <v>67550</v>
      </c>
      <c r="BA41" s="109">
        <f t="shared" si="52"/>
        <v>1.8437141765380207</v>
      </c>
      <c r="BB41">
        <v>966</v>
      </c>
      <c r="BC41" s="352">
        <v>30111</v>
      </c>
      <c r="BD41">
        <v>233</v>
      </c>
      <c r="BE41" s="352">
        <v>2443</v>
      </c>
      <c r="BF41" s="352">
        <v>166680</v>
      </c>
      <c r="BG41" s="221">
        <v>-1</v>
      </c>
      <c r="BH41" s="221">
        <v>89</v>
      </c>
      <c r="BI41" s="205">
        <v>0</v>
      </c>
      <c r="BJ41">
        <v>87</v>
      </c>
      <c r="BK41" s="352">
        <v>272064</v>
      </c>
      <c r="BL41" s="109">
        <f t="shared" si="53"/>
        <v>7.4257328456793497</v>
      </c>
      <c r="BM41">
        <v>0</v>
      </c>
      <c r="BN41" s="352">
        <v>25582</v>
      </c>
      <c r="BO41" s="109">
        <f t="shared" si="54"/>
        <v>0.69823680331895843</v>
      </c>
      <c r="BP41" s="352">
        <v>8901</v>
      </c>
      <c r="BQ41" s="205">
        <v>0</v>
      </c>
      <c r="BR41" s="356">
        <f t="shared" si="38"/>
        <v>32774</v>
      </c>
      <c r="BS41" s="352">
        <v>3935</v>
      </c>
      <c r="BT41" s="352">
        <v>36709</v>
      </c>
      <c r="BU41" s="109">
        <f t="shared" si="55"/>
        <v>1.0019378787051696</v>
      </c>
      <c r="BV41" s="108">
        <f t="shared" si="66"/>
        <v>3337.181818181818</v>
      </c>
      <c r="BW41" s="109">
        <f t="shared" si="56"/>
        <v>18.354500000000002</v>
      </c>
      <c r="BX41" s="109">
        <f>BT41/CI41</f>
        <v>4.2487268518518517</v>
      </c>
      <c r="BY41" s="109">
        <f t="shared" si="65"/>
        <v>0.13492781110326982</v>
      </c>
      <c r="BZ41">
        <v>8</v>
      </c>
      <c r="CA41">
        <v>0</v>
      </c>
      <c r="CB41">
        <v>0</v>
      </c>
      <c r="CC41" s="113">
        <f t="shared" si="41"/>
        <v>8</v>
      </c>
      <c r="CD41" s="352">
        <v>5203</v>
      </c>
      <c r="CE41">
        <v>0</v>
      </c>
      <c r="CF41">
        <v>310</v>
      </c>
      <c r="CG41" s="116">
        <f t="shared" si="42"/>
        <v>5513</v>
      </c>
      <c r="CH41" s="109">
        <f t="shared" si="58"/>
        <v>0.15047218734647089</v>
      </c>
      <c r="CI41" s="352">
        <v>8640</v>
      </c>
      <c r="CJ41" s="109">
        <f t="shared" si="59"/>
        <v>0.23582073257273869</v>
      </c>
      <c r="CK41" s="352">
        <v>2488</v>
      </c>
      <c r="CL41" s="208" t="s">
        <v>7</v>
      </c>
      <c r="CM41" s="208" t="s">
        <v>7</v>
      </c>
      <c r="CN41" s="208" t="s">
        <v>7</v>
      </c>
      <c r="CO41">
        <v>1</v>
      </c>
      <c r="CP41" s="209">
        <v>0</v>
      </c>
      <c r="CQ41">
        <v>0</v>
      </c>
      <c r="CR41">
        <v>10</v>
      </c>
      <c r="CS41">
        <v>11</v>
      </c>
      <c r="CT41" s="108">
        <f t="shared" si="67"/>
        <v>3330.7272727272725</v>
      </c>
      <c r="CU41">
        <v>162</v>
      </c>
      <c r="CV41" s="353">
        <v>55802</v>
      </c>
      <c r="CW41" s="209">
        <v>40</v>
      </c>
      <c r="CX41" s="208" t="s">
        <v>7</v>
      </c>
      <c r="CY41" s="208" t="s">
        <v>7</v>
      </c>
      <c r="CZ41" s="352">
        <v>4444</v>
      </c>
      <c r="DA41" s="352">
        <v>1319</v>
      </c>
      <c r="DB41">
        <v>0</v>
      </c>
      <c r="DC41">
        <v>0</v>
      </c>
      <c r="DD41">
        <v>-1</v>
      </c>
      <c r="DE41" s="352">
        <v>2214</v>
      </c>
      <c r="DF41" s="205">
        <v>2477</v>
      </c>
      <c r="DG41" s="205">
        <v>52</v>
      </c>
      <c r="DH41" s="209">
        <f t="shared" si="60"/>
        <v>6.7607402150772419E-2</v>
      </c>
      <c r="DI41" s="205">
        <v>40</v>
      </c>
      <c r="DJ41" s="205">
        <v>40</v>
      </c>
      <c r="DL41" s="343">
        <v>2000</v>
      </c>
      <c r="DM41" s="204"/>
      <c r="DN41" t="s">
        <v>1069</v>
      </c>
      <c r="DO41" t="s">
        <v>125</v>
      </c>
      <c r="DP41" s="208"/>
      <c r="DQ41" s="206"/>
      <c r="DR41" s="368" t="s">
        <v>993</v>
      </c>
      <c r="DS41" s="204" t="s">
        <v>993</v>
      </c>
      <c r="DT41" s="227">
        <v>44013</v>
      </c>
      <c r="DU41" s="227">
        <v>44377</v>
      </c>
      <c r="DV41" t="s">
        <v>1204</v>
      </c>
      <c r="DW41" s="109">
        <f t="shared" si="61"/>
        <v>0.24294448386920683</v>
      </c>
      <c r="DX41" s="109">
        <f t="shared" si="62"/>
        <v>0</v>
      </c>
      <c r="DY41" s="109">
        <f t="shared" si="63"/>
        <v>0.89453572793274738</v>
      </c>
      <c r="DZ41" s="109">
        <f t="shared" si="64"/>
        <v>0.10740215077242207</v>
      </c>
      <c r="EA41" s="110">
        <f t="shared" si="68"/>
        <v>0.10411517696460708</v>
      </c>
      <c r="EB41" s="199">
        <f t="shared" si="43"/>
        <v>1.6772554002541296</v>
      </c>
    </row>
    <row r="42" spans="1:132" ht="16.5" x14ac:dyDescent="0.3">
      <c r="A42" s="216" t="s">
        <v>994</v>
      </c>
      <c r="B42" t="s">
        <v>1205</v>
      </c>
      <c r="C42" s="352">
        <v>134906</v>
      </c>
      <c r="D42">
        <v>6</v>
      </c>
      <c r="E42"/>
      <c r="F42" s="221">
        <v>32745</v>
      </c>
      <c r="H42" s="108">
        <f t="shared" si="0"/>
        <v>32745</v>
      </c>
      <c r="I42" s="109">
        <v>0.54523999999999995</v>
      </c>
      <c r="J42" s="220">
        <v>985776</v>
      </c>
      <c r="K42" s="220">
        <v>390970</v>
      </c>
      <c r="L42" s="115">
        <f t="shared" si="31"/>
        <v>1376746</v>
      </c>
      <c r="M42" s="110">
        <f t="shared" si="46"/>
        <v>10.20522437845611</v>
      </c>
      <c r="N42" s="220">
        <v>123613</v>
      </c>
      <c r="O42" s="220">
        <v>24601</v>
      </c>
      <c r="P42" s="220">
        <v>11360</v>
      </c>
      <c r="Q42" s="220">
        <v>159574</v>
      </c>
      <c r="R42" s="110">
        <f t="shared" si="47"/>
        <v>1.1828532459638563</v>
      </c>
      <c r="S42" s="220">
        <v>192142</v>
      </c>
      <c r="T42" s="220">
        <v>1728462</v>
      </c>
      <c r="U42" s="207">
        <v>0</v>
      </c>
      <c r="V42" s="220">
        <v>1728462</v>
      </c>
      <c r="W42" s="110">
        <f t="shared" si="48"/>
        <v>12.812343409485123</v>
      </c>
      <c r="X42" s="111">
        <f t="shared" si="32"/>
        <v>0.79651505210991047</v>
      </c>
      <c r="Y42" s="111">
        <f t="shared" si="33"/>
        <v>9.2321381667632846E-2</v>
      </c>
      <c r="Z42" s="111">
        <f t="shared" si="34"/>
        <v>0.11116356622245673</v>
      </c>
      <c r="AA42" s="111">
        <f t="shared" si="35"/>
        <v>0</v>
      </c>
      <c r="AB42" s="220">
        <v>5734329</v>
      </c>
      <c r="AE42" s="207"/>
      <c r="AF42" s="353">
        <v>557887</v>
      </c>
      <c r="AG42" s="353">
        <v>1186965</v>
      </c>
      <c r="AH42" s="207"/>
      <c r="AI42" s="115">
        <f t="shared" si="49"/>
        <v>1744852</v>
      </c>
      <c r="AJ42" s="110">
        <f t="shared" si="50"/>
        <v>12.93383541132344</v>
      </c>
      <c r="AK42" s="353">
        <v>177033</v>
      </c>
      <c r="AL42" s="207">
        <v>2500</v>
      </c>
      <c r="AM42" s="353"/>
      <c r="AN42" s="353">
        <v>5493</v>
      </c>
      <c r="AO42" s="115">
        <f t="shared" si="36"/>
        <v>5493</v>
      </c>
      <c r="AP42" s="353">
        <v>1943125</v>
      </c>
      <c r="AQ42" s="112">
        <f t="shared" si="51"/>
        <v>14.403547655404504</v>
      </c>
      <c r="AR42" s="207"/>
      <c r="AS42" s="220">
        <v>0</v>
      </c>
      <c r="AT42" s="207">
        <v>0</v>
      </c>
      <c r="AU42" s="220">
        <v>0</v>
      </c>
      <c r="AV42" s="220">
        <v>0</v>
      </c>
      <c r="AW42" s="207"/>
      <c r="AX42" s="220">
        <v>35981</v>
      </c>
      <c r="AY42" s="115">
        <f t="shared" si="37"/>
        <v>35981</v>
      </c>
      <c r="AZ42" s="352">
        <v>175140</v>
      </c>
      <c r="BA42" s="109">
        <f t="shared" si="52"/>
        <v>1.2982372911508755</v>
      </c>
      <c r="BB42" s="352">
        <v>4565</v>
      </c>
      <c r="BC42" s="352">
        <v>31118</v>
      </c>
      <c r="BD42" s="352">
        <v>11992</v>
      </c>
      <c r="BE42" s="352">
        <v>2443</v>
      </c>
      <c r="BF42" s="352">
        <v>167747</v>
      </c>
      <c r="BG42" s="221">
        <v>10</v>
      </c>
      <c r="BH42" s="221">
        <v>89</v>
      </c>
      <c r="BI42" s="205">
        <v>0</v>
      </c>
      <c r="BJ42">
        <v>88</v>
      </c>
      <c r="BK42" s="352">
        <v>399717</v>
      </c>
      <c r="BL42" s="109">
        <f t="shared" si="53"/>
        <v>2.9629297436733726</v>
      </c>
      <c r="BM42">
        <v>117</v>
      </c>
      <c r="BN42" s="352">
        <v>4310</v>
      </c>
      <c r="BO42" s="109">
        <f t="shared" si="54"/>
        <v>3.1948171319288989E-2</v>
      </c>
      <c r="BP42" s="352">
        <v>118793</v>
      </c>
      <c r="BQ42" s="205">
        <v>0</v>
      </c>
      <c r="BR42" s="356">
        <f t="shared" si="38"/>
        <v>167418</v>
      </c>
      <c r="BS42" s="352">
        <v>108860</v>
      </c>
      <c r="BT42" s="352">
        <v>276278</v>
      </c>
      <c r="BU42" s="109">
        <f t="shared" si="55"/>
        <v>2.0479296695476852</v>
      </c>
      <c r="BV42" s="108">
        <f t="shared" si="66"/>
        <v>8372.060606060606</v>
      </c>
      <c r="BW42" s="109">
        <f t="shared" si="56"/>
        <v>52.624380952380953</v>
      </c>
      <c r="BX42" s="109">
        <f t="shared" si="57"/>
        <v>2.8572403665170536</v>
      </c>
      <c r="BY42" s="109">
        <f t="shared" si="65"/>
        <v>0.69118401268897744</v>
      </c>
      <c r="BZ42">
        <v>170</v>
      </c>
      <c r="CA42">
        <v>16</v>
      </c>
      <c r="CB42">
        <v>80</v>
      </c>
      <c r="CC42" s="113">
        <f t="shared" si="41"/>
        <v>266</v>
      </c>
      <c r="CD42">
        <v>479</v>
      </c>
      <c r="CE42">
        <v>92</v>
      </c>
      <c r="CF42">
        <v>224</v>
      </c>
      <c r="CG42" s="116">
        <f t="shared" si="42"/>
        <v>795</v>
      </c>
      <c r="CH42" s="109">
        <f t="shared" si="58"/>
        <v>5.8929921575022609E-3</v>
      </c>
      <c r="CI42" s="352">
        <v>96694</v>
      </c>
      <c r="CJ42" s="109">
        <f t="shared" si="59"/>
        <v>0.71675092286480957</v>
      </c>
      <c r="CK42" s="352">
        <v>96143</v>
      </c>
      <c r="CL42" s="208" t="s">
        <v>7</v>
      </c>
      <c r="CM42" s="208" t="s">
        <v>7</v>
      </c>
      <c r="CN42" s="208" t="s">
        <v>7</v>
      </c>
      <c r="CO42">
        <v>4</v>
      </c>
      <c r="CP42" s="108">
        <f>C42/CO42</f>
        <v>33726.5</v>
      </c>
      <c r="CQ42">
        <v>2</v>
      </c>
      <c r="CR42">
        <v>27</v>
      </c>
      <c r="CS42">
        <v>33</v>
      </c>
      <c r="CT42" s="108">
        <f t="shared" si="67"/>
        <v>4088.060606060606</v>
      </c>
      <c r="CU42">
        <v>149</v>
      </c>
      <c r="CV42" s="353">
        <v>74559</v>
      </c>
      <c r="CW42" s="209">
        <v>40</v>
      </c>
      <c r="CX42" s="208" t="s">
        <v>7</v>
      </c>
      <c r="CY42" s="208" t="s">
        <v>7</v>
      </c>
      <c r="CZ42" s="352">
        <v>11242</v>
      </c>
      <c r="DA42" s="352">
        <v>9362</v>
      </c>
      <c r="DB42">
        <v>118</v>
      </c>
      <c r="DC42" s="352">
        <v>9372</v>
      </c>
      <c r="DD42">
        <v>-1</v>
      </c>
      <c r="DE42" s="352">
        <v>47523</v>
      </c>
      <c r="DF42" s="205">
        <v>7150</v>
      </c>
      <c r="DG42" s="205">
        <v>52</v>
      </c>
      <c r="DH42" s="209">
        <f t="shared" si="60"/>
        <v>5.2999866573762475E-2</v>
      </c>
      <c r="DI42" s="205">
        <v>47</v>
      </c>
      <c r="DJ42" s="205">
        <v>47</v>
      </c>
      <c r="DL42" s="343">
        <v>5250</v>
      </c>
      <c r="DM42" s="204"/>
      <c r="DN42" t="s">
        <v>1070</v>
      </c>
      <c r="DO42" t="s">
        <v>125</v>
      </c>
      <c r="DP42" s="208"/>
      <c r="DQ42" s="206"/>
      <c r="DR42" s="368" t="s">
        <v>994</v>
      </c>
      <c r="DS42" s="204" t="s">
        <v>994</v>
      </c>
      <c r="DT42" s="227">
        <v>44013</v>
      </c>
      <c r="DU42" s="227">
        <v>44377</v>
      </c>
      <c r="DV42" t="s">
        <v>1205</v>
      </c>
      <c r="DW42" s="109">
        <f t="shared" si="61"/>
        <v>0.88056127970586928</v>
      </c>
      <c r="DX42" s="109">
        <f t="shared" si="62"/>
        <v>0</v>
      </c>
      <c r="DY42" s="109">
        <f t="shared" si="63"/>
        <v>1.2409974352512119</v>
      </c>
      <c r="DZ42" s="109">
        <f t="shared" si="64"/>
        <v>0.80693223429647309</v>
      </c>
      <c r="EA42" s="110">
        <f t="shared" si="68"/>
        <v>0.43189465114897752</v>
      </c>
      <c r="EB42" s="199">
        <f t="shared" si="43"/>
        <v>0.22598750688958294</v>
      </c>
    </row>
    <row r="43" spans="1:132" ht="30.75" x14ac:dyDescent="0.3">
      <c r="A43" s="216" t="s">
        <v>1135</v>
      </c>
      <c r="B43" t="s">
        <v>1206</v>
      </c>
      <c r="C43" s="352">
        <v>5239</v>
      </c>
      <c r="D43"/>
      <c r="E43"/>
      <c r="F43" s="221">
        <v>6000</v>
      </c>
      <c r="H43" s="108">
        <f t="shared" si="0"/>
        <v>6000</v>
      </c>
      <c r="I43" s="109">
        <v>0.52671999999999997</v>
      </c>
      <c r="J43" s="220">
        <v>156359</v>
      </c>
      <c r="K43" s="220">
        <v>43882</v>
      </c>
      <c r="L43" s="115">
        <f t="shared" si="31"/>
        <v>200241</v>
      </c>
      <c r="M43" s="110">
        <f t="shared" si="46"/>
        <v>38.221225424699369</v>
      </c>
      <c r="N43" s="220">
        <v>12545</v>
      </c>
      <c r="O43" s="220">
        <v>19000</v>
      </c>
      <c r="P43" s="220">
        <v>19605</v>
      </c>
      <c r="Q43" s="220">
        <v>51150</v>
      </c>
      <c r="R43" s="110">
        <f t="shared" si="47"/>
        <v>9.7633136094674562</v>
      </c>
      <c r="S43" s="220">
        <v>44060</v>
      </c>
      <c r="T43" s="220">
        <v>295451</v>
      </c>
      <c r="U43" s="207">
        <v>0</v>
      </c>
      <c r="V43" s="220">
        <v>295451</v>
      </c>
      <c r="W43" s="110">
        <f t="shared" si="48"/>
        <v>56.394540942928039</v>
      </c>
      <c r="X43" s="111">
        <f t="shared" si="32"/>
        <v>0.67774690219359557</v>
      </c>
      <c r="Y43" s="111">
        <f t="shared" si="33"/>
        <v>0.17312515442493001</v>
      </c>
      <c r="Z43" s="111">
        <f t="shared" si="34"/>
        <v>0.14912794338147442</v>
      </c>
      <c r="AA43" s="111">
        <f t="shared" si="35"/>
        <v>0</v>
      </c>
      <c r="AB43" s="220">
        <v>0</v>
      </c>
      <c r="AE43" s="207"/>
      <c r="AF43" s="353">
        <v>250176</v>
      </c>
      <c r="AG43" s="353">
        <v>15000</v>
      </c>
      <c r="AH43" s="207"/>
      <c r="AI43" s="115">
        <f t="shared" si="49"/>
        <v>265176</v>
      </c>
      <c r="AJ43" s="110">
        <f t="shared" si="50"/>
        <v>50.615766367627408</v>
      </c>
      <c r="AK43" s="353">
        <v>3468</v>
      </c>
      <c r="AL43" s="207">
        <v>26774</v>
      </c>
      <c r="AM43" s="353"/>
      <c r="AN43" s="353">
        <v>0</v>
      </c>
      <c r="AO43" s="115">
        <f t="shared" si="36"/>
        <v>0</v>
      </c>
      <c r="AP43" s="353">
        <v>295451</v>
      </c>
      <c r="AQ43" s="112">
        <f t="shared" si="51"/>
        <v>56.394540942928039</v>
      </c>
      <c r="AR43" s="207"/>
      <c r="AS43" s="220">
        <v>0</v>
      </c>
      <c r="AT43" s="207">
        <v>0</v>
      </c>
      <c r="AU43" s="220">
        <v>0</v>
      </c>
      <c r="AV43" s="220">
        <v>0</v>
      </c>
      <c r="AW43" s="207"/>
      <c r="AX43" s="220">
        <v>0</v>
      </c>
      <c r="AY43" s="115">
        <f t="shared" si="37"/>
        <v>0</v>
      </c>
      <c r="AZ43" s="352">
        <v>17598</v>
      </c>
      <c r="BA43" s="109">
        <f t="shared" si="52"/>
        <v>3.3590379843481579</v>
      </c>
      <c r="BB43">
        <v>686</v>
      </c>
      <c r="BC43" s="352">
        <v>30111</v>
      </c>
      <c r="BD43" s="352">
        <v>2033</v>
      </c>
      <c r="BE43" s="352">
        <v>2443</v>
      </c>
      <c r="BF43" s="352">
        <v>166680</v>
      </c>
      <c r="BG43" s="221">
        <v>6</v>
      </c>
      <c r="BH43" s="221">
        <v>89</v>
      </c>
      <c r="BI43" s="205">
        <v>0</v>
      </c>
      <c r="BJ43">
        <v>86</v>
      </c>
      <c r="BK43" s="352">
        <v>223287</v>
      </c>
      <c r="BL43" s="109">
        <f t="shared" si="53"/>
        <v>42.620156518419549</v>
      </c>
      <c r="BM43">
        <v>28</v>
      </c>
      <c r="BN43" s="352">
        <v>3443</v>
      </c>
      <c r="BO43" s="109">
        <f t="shared" si="54"/>
        <v>0.65718648597060503</v>
      </c>
      <c r="BP43" s="352">
        <v>8136</v>
      </c>
      <c r="BQ43" s="205">
        <v>0</v>
      </c>
      <c r="BR43" s="356">
        <f t="shared" si="38"/>
        <v>18128</v>
      </c>
      <c r="BS43" s="352">
        <v>3514</v>
      </c>
      <c r="BT43" s="352">
        <v>21642</v>
      </c>
      <c r="BU43" s="109">
        <f t="shared" si="55"/>
        <v>4.1309410192784881</v>
      </c>
      <c r="BV43" s="108">
        <f t="shared" si="66"/>
        <v>3934.909090909091</v>
      </c>
      <c r="BW43" s="109">
        <f t="shared" si="56"/>
        <v>2.1504372019077902</v>
      </c>
      <c r="BX43" s="109">
        <f t="shared" si="57"/>
        <v>0.85538121022884472</v>
      </c>
      <c r="BY43" s="109">
        <f t="shared" si="65"/>
        <v>9.6924585846914504E-2</v>
      </c>
      <c r="BZ43">
        <v>83</v>
      </c>
      <c r="CA43">
        <v>4</v>
      </c>
      <c r="CB43">
        <v>58</v>
      </c>
      <c r="CC43" s="113">
        <f t="shared" si="41"/>
        <v>145</v>
      </c>
      <c r="CD43">
        <v>139</v>
      </c>
      <c r="CE43">
        <v>14</v>
      </c>
      <c r="CF43">
        <v>123</v>
      </c>
      <c r="CG43" s="116">
        <f t="shared" si="42"/>
        <v>276</v>
      </c>
      <c r="CH43" s="109">
        <f t="shared" si="58"/>
        <v>5.2681809505630846E-2</v>
      </c>
      <c r="CI43" s="352">
        <v>25301</v>
      </c>
      <c r="CJ43" s="109">
        <f t="shared" si="59"/>
        <v>4.8293567474708912</v>
      </c>
      <c r="CK43" s="352">
        <v>2514</v>
      </c>
      <c r="CL43" s="208" t="s">
        <v>7</v>
      </c>
      <c r="CM43" s="208" t="s">
        <v>7</v>
      </c>
      <c r="CN43" s="208" t="s">
        <v>7</v>
      </c>
      <c r="CO43">
        <v>1</v>
      </c>
      <c r="CP43" s="108">
        <f>C43/CO43</f>
        <v>5239</v>
      </c>
      <c r="CQ43">
        <v>0</v>
      </c>
      <c r="CR43">
        <v>4.5</v>
      </c>
      <c r="CS43">
        <v>5.5</v>
      </c>
      <c r="CT43" s="108">
        <f t="shared" si="67"/>
        <v>952.5454545454545</v>
      </c>
      <c r="CU43">
        <v>0</v>
      </c>
      <c r="CV43" s="353">
        <v>53496</v>
      </c>
      <c r="CW43" s="209">
        <v>40</v>
      </c>
      <c r="CX43" s="208" t="s">
        <v>7</v>
      </c>
      <c r="CY43" s="208" t="s">
        <v>7</v>
      </c>
      <c r="CZ43" s="352">
        <v>1681</v>
      </c>
      <c r="DA43">
        <v>727</v>
      </c>
      <c r="DB43">
        <v>9</v>
      </c>
      <c r="DC43" s="352">
        <v>3556</v>
      </c>
      <c r="DD43" s="352">
        <v>2270</v>
      </c>
      <c r="DE43" s="352">
        <v>6905</v>
      </c>
      <c r="DF43" s="205">
        <v>13528</v>
      </c>
      <c r="DG43" s="205">
        <v>52</v>
      </c>
      <c r="DH43" s="209">
        <f t="shared" si="60"/>
        <v>2.5821721702615004</v>
      </c>
      <c r="DI43" s="205">
        <v>62</v>
      </c>
      <c r="DJ43" s="205">
        <v>62</v>
      </c>
      <c r="DL43" s="343">
        <v>10064</v>
      </c>
      <c r="DM43" s="204"/>
      <c r="DN43" t="s">
        <v>1071</v>
      </c>
      <c r="DO43" t="s">
        <v>1031</v>
      </c>
      <c r="DP43" s="208"/>
      <c r="DQ43" s="206"/>
      <c r="DR43" s="367" t="s">
        <v>1276</v>
      </c>
      <c r="DS43" s="204" t="s">
        <v>964</v>
      </c>
      <c r="DT43" s="227">
        <v>44013</v>
      </c>
      <c r="DU43" s="227">
        <v>44377</v>
      </c>
      <c r="DV43" t="s">
        <v>1206</v>
      </c>
      <c r="DW43" s="109">
        <f t="shared" si="61"/>
        <v>1.5529681236877266</v>
      </c>
      <c r="DX43" s="109">
        <f t="shared" si="62"/>
        <v>0</v>
      </c>
      <c r="DY43" s="109">
        <f t="shared" si="63"/>
        <v>3.4602023286886809</v>
      </c>
      <c r="DZ43" s="109">
        <f t="shared" si="64"/>
        <v>0.67073869058980717</v>
      </c>
      <c r="EA43" s="110">
        <f t="shared" si="68"/>
        <v>0.47765001522997258</v>
      </c>
      <c r="EB43" s="199">
        <f t="shared" si="43"/>
        <v>5.4069436539556062</v>
      </c>
    </row>
    <row r="44" spans="1:132" ht="16.5" x14ac:dyDescent="0.3">
      <c r="A44" s="216" t="s">
        <v>995</v>
      </c>
      <c r="B44" t="s">
        <v>1207</v>
      </c>
      <c r="C44" s="352">
        <v>63092</v>
      </c>
      <c r="D44"/>
      <c r="E44"/>
      <c r="F44" s="221">
        <v>34328</v>
      </c>
      <c r="H44" s="108">
        <f t="shared" si="0"/>
        <v>34328</v>
      </c>
      <c r="I44" s="109">
        <v>1.0945</v>
      </c>
      <c r="J44" s="220">
        <v>635879</v>
      </c>
      <c r="K44" s="220">
        <v>354809</v>
      </c>
      <c r="L44" s="115">
        <f t="shared" si="31"/>
        <v>990688</v>
      </c>
      <c r="M44" s="110">
        <f t="shared" si="46"/>
        <v>15.702276041336461</v>
      </c>
      <c r="N44" s="220">
        <v>58206</v>
      </c>
      <c r="O44" s="220">
        <v>23951</v>
      </c>
      <c r="P44" s="220">
        <v>20525</v>
      </c>
      <c r="Q44" s="220">
        <v>102682</v>
      </c>
      <c r="R44" s="110">
        <f t="shared" si="47"/>
        <v>1.6274963545298928</v>
      </c>
      <c r="S44" s="220">
        <v>166621</v>
      </c>
      <c r="T44" s="220">
        <v>1259991</v>
      </c>
      <c r="U44" s="207">
        <v>0</v>
      </c>
      <c r="V44" s="220">
        <v>1259991</v>
      </c>
      <c r="W44" s="110">
        <f t="shared" si="48"/>
        <v>19.97069359031256</v>
      </c>
      <c r="X44" s="111">
        <f t="shared" si="32"/>
        <v>0.78626593364555775</v>
      </c>
      <c r="Y44" s="111">
        <f t="shared" si="33"/>
        <v>8.1494232895314336E-2</v>
      </c>
      <c r="Z44" s="111">
        <f t="shared" si="34"/>
        <v>0.13223983345912788</v>
      </c>
      <c r="AA44" s="111">
        <f t="shared" si="35"/>
        <v>0</v>
      </c>
      <c r="AB44" s="220">
        <v>0</v>
      </c>
      <c r="AE44" s="207"/>
      <c r="AF44" s="353">
        <v>2749</v>
      </c>
      <c r="AG44" s="353">
        <v>1493300</v>
      </c>
      <c r="AH44" s="207"/>
      <c r="AI44" s="115">
        <f t="shared" si="49"/>
        <v>1496049</v>
      </c>
      <c r="AJ44" s="110">
        <f t="shared" si="50"/>
        <v>23.712182210105876</v>
      </c>
      <c r="AK44" s="353">
        <v>105082</v>
      </c>
      <c r="AL44" s="207">
        <v>3628</v>
      </c>
      <c r="AM44" s="353"/>
      <c r="AN44" s="353">
        <v>0</v>
      </c>
      <c r="AO44" s="115">
        <f t="shared" si="36"/>
        <v>0</v>
      </c>
      <c r="AP44" s="353">
        <v>1609734</v>
      </c>
      <c r="AQ44" s="112">
        <f t="shared" si="51"/>
        <v>25.514074684587587</v>
      </c>
      <c r="AR44" s="207"/>
      <c r="AS44" s="220">
        <v>126780</v>
      </c>
      <c r="AT44" s="207">
        <v>0</v>
      </c>
      <c r="AU44" s="220">
        <v>0</v>
      </c>
      <c r="AV44" s="220">
        <v>0</v>
      </c>
      <c r="AW44" s="207"/>
      <c r="AX44" s="220">
        <v>0</v>
      </c>
      <c r="AY44" s="115">
        <f t="shared" si="37"/>
        <v>126780</v>
      </c>
      <c r="AZ44" s="352">
        <v>109011</v>
      </c>
      <c r="BA44" s="109">
        <f t="shared" si="52"/>
        <v>1.7278101819565079</v>
      </c>
      <c r="BB44" s="352">
        <v>6143</v>
      </c>
      <c r="BC44" s="352">
        <v>52863</v>
      </c>
      <c r="BD44" s="352">
        <v>8575</v>
      </c>
      <c r="BE44" s="352">
        <v>2613</v>
      </c>
      <c r="BF44" s="352">
        <v>207000</v>
      </c>
      <c r="BG44" s="221">
        <v>6</v>
      </c>
      <c r="BH44" s="221">
        <v>89</v>
      </c>
      <c r="BI44" s="205">
        <v>0</v>
      </c>
      <c r="BJ44">
        <v>96</v>
      </c>
      <c r="BK44" s="352">
        <v>390567</v>
      </c>
      <c r="BL44" s="109">
        <f t="shared" si="53"/>
        <v>6.1904361884232548</v>
      </c>
      <c r="BM44">
        <v>105</v>
      </c>
      <c r="BN44" s="352">
        <v>2848</v>
      </c>
      <c r="BO44" s="109">
        <f t="shared" si="54"/>
        <v>4.5140429848475244E-2</v>
      </c>
      <c r="BP44" s="352">
        <v>32455</v>
      </c>
      <c r="BQ44" s="205">
        <v>0</v>
      </c>
      <c r="BR44" s="356">
        <f t="shared" si="38"/>
        <v>118525</v>
      </c>
      <c r="BS44" s="352">
        <v>103685</v>
      </c>
      <c r="BT44" s="352">
        <v>222210</v>
      </c>
      <c r="BU44" s="109">
        <f t="shared" si="55"/>
        <v>3.5219996196031191</v>
      </c>
      <c r="BV44" s="108">
        <f t="shared" si="66"/>
        <v>13071.176470588236</v>
      </c>
      <c r="BW44" s="109">
        <f t="shared" si="56"/>
        <v>44.981781376518221</v>
      </c>
      <c r="BX44" s="109">
        <f t="shared" si="57"/>
        <v>3.17715184443809</v>
      </c>
      <c r="BY44" s="109">
        <f t="shared" si="65"/>
        <v>0.56894207651952167</v>
      </c>
      <c r="BZ44">
        <v>5</v>
      </c>
      <c r="CA44">
        <v>0</v>
      </c>
      <c r="CB44">
        <v>11</v>
      </c>
      <c r="CC44" s="113">
        <f t="shared" si="41"/>
        <v>16</v>
      </c>
      <c r="CD44" s="352">
        <v>2203</v>
      </c>
      <c r="CE44">
        <v>0</v>
      </c>
      <c r="CF44">
        <v>698</v>
      </c>
      <c r="CG44" s="116">
        <f t="shared" si="42"/>
        <v>2901</v>
      </c>
      <c r="CH44" s="109">
        <f t="shared" si="58"/>
        <v>4.5980472960121727E-2</v>
      </c>
      <c r="CI44" s="352">
        <v>69940</v>
      </c>
      <c r="CJ44" s="109">
        <f t="shared" si="59"/>
        <v>1.1085399099727382</v>
      </c>
      <c r="CK44" s="352">
        <v>29022</v>
      </c>
      <c r="CL44" s="208" t="s">
        <v>7</v>
      </c>
      <c r="CM44" s="208" t="s">
        <v>7</v>
      </c>
      <c r="CN44" s="208" t="s">
        <v>7</v>
      </c>
      <c r="CO44">
        <v>5</v>
      </c>
      <c r="CP44" s="209">
        <v>0</v>
      </c>
      <c r="CQ44">
        <v>1</v>
      </c>
      <c r="CR44">
        <v>11</v>
      </c>
      <c r="CS44">
        <v>17</v>
      </c>
      <c r="CT44" s="108">
        <f t="shared" si="67"/>
        <v>3711.294117647059</v>
      </c>
      <c r="CU44">
        <v>395</v>
      </c>
      <c r="CV44" s="353">
        <v>73570</v>
      </c>
      <c r="CW44" s="209">
        <v>40</v>
      </c>
      <c r="CX44" s="208" t="s">
        <v>7</v>
      </c>
      <c r="CY44" s="208" t="s">
        <v>7</v>
      </c>
      <c r="CZ44" s="352">
        <v>25818</v>
      </c>
      <c r="DA44" s="352">
        <v>25845</v>
      </c>
      <c r="DB44">
        <v>46</v>
      </c>
      <c r="DC44">
        <v>928</v>
      </c>
      <c r="DD44" s="352">
        <v>12419</v>
      </c>
      <c r="DE44" s="352">
        <v>48383</v>
      </c>
      <c r="DF44" s="205">
        <v>6656</v>
      </c>
      <c r="DG44" s="205">
        <v>51</v>
      </c>
      <c r="DH44" s="209">
        <f t="shared" si="60"/>
        <v>0.1054967349267736</v>
      </c>
      <c r="DI44" s="205">
        <v>45</v>
      </c>
      <c r="DJ44" s="205">
        <v>45</v>
      </c>
      <c r="DL44" s="343">
        <v>4940</v>
      </c>
      <c r="DM44" s="204"/>
      <c r="DN44" t="s">
        <v>1072</v>
      </c>
      <c r="DO44" t="s">
        <v>125</v>
      </c>
      <c r="DP44" s="208"/>
      <c r="DQ44" s="206"/>
      <c r="DR44" s="368" t="s">
        <v>995</v>
      </c>
      <c r="DS44" s="204" t="s">
        <v>995</v>
      </c>
      <c r="DT44" s="227">
        <v>44013</v>
      </c>
      <c r="DU44" s="227">
        <v>44377</v>
      </c>
      <c r="DV44" t="s">
        <v>1207</v>
      </c>
      <c r="DW44" s="109">
        <f t="shared" si="61"/>
        <v>0.51440753185823873</v>
      </c>
      <c r="DX44" s="109">
        <f t="shared" si="62"/>
        <v>0</v>
      </c>
      <c r="DY44" s="109">
        <f t="shared" si="63"/>
        <v>1.8786058454320675</v>
      </c>
      <c r="DZ44" s="109">
        <f t="shared" si="64"/>
        <v>1.6433937741710518</v>
      </c>
      <c r="EA44" s="110">
        <f t="shared" si="68"/>
        <v>0.38552126109418466</v>
      </c>
      <c r="EB44" s="199">
        <f t="shared" si="43"/>
        <v>0.23099773351979552</v>
      </c>
    </row>
    <row r="45" spans="1:132" ht="16.5" x14ac:dyDescent="0.3">
      <c r="A45" s="216" t="s">
        <v>996</v>
      </c>
      <c r="B45" t="s">
        <v>1208</v>
      </c>
      <c r="C45" s="352">
        <v>117425</v>
      </c>
      <c r="D45">
        <v>5</v>
      </c>
      <c r="E45"/>
      <c r="F45" s="221">
        <v>61790</v>
      </c>
      <c r="H45" s="108">
        <f t="shared" si="0"/>
        <v>61790</v>
      </c>
      <c r="I45" s="109">
        <v>0.73836999999999997</v>
      </c>
      <c r="J45" s="220">
        <v>1578671</v>
      </c>
      <c r="K45" s="220">
        <v>869265</v>
      </c>
      <c r="L45" s="115">
        <f t="shared" si="31"/>
        <v>2447936</v>
      </c>
      <c r="M45" s="110">
        <f t="shared" si="46"/>
        <v>20.846804343197785</v>
      </c>
      <c r="N45" s="220">
        <v>306683</v>
      </c>
      <c r="O45" s="220">
        <v>120804</v>
      </c>
      <c r="P45" s="220">
        <v>32223</v>
      </c>
      <c r="Q45" s="220">
        <v>459710</v>
      </c>
      <c r="R45" s="110">
        <f t="shared" si="47"/>
        <v>3.9149244198424524</v>
      </c>
      <c r="S45" s="220">
        <v>171723</v>
      </c>
      <c r="T45" s="220">
        <v>3079369</v>
      </c>
      <c r="U45" s="207">
        <v>0</v>
      </c>
      <c r="V45" s="220">
        <v>3079369</v>
      </c>
      <c r="W45" s="110">
        <f t="shared" si="48"/>
        <v>26.224134553970618</v>
      </c>
      <c r="X45" s="111">
        <f t="shared" si="32"/>
        <v>0.79494727653619945</v>
      </c>
      <c r="Y45" s="111">
        <f t="shared" si="33"/>
        <v>0.14928707796954505</v>
      </c>
      <c r="Z45" s="111">
        <f t="shared" si="34"/>
        <v>5.5765645494255479E-2</v>
      </c>
      <c r="AA45" s="111">
        <f t="shared" si="35"/>
        <v>0</v>
      </c>
      <c r="AB45" s="220">
        <v>0</v>
      </c>
      <c r="AE45" s="207"/>
      <c r="AF45" s="353">
        <v>0</v>
      </c>
      <c r="AG45" s="353">
        <v>3241495</v>
      </c>
      <c r="AH45" s="207"/>
      <c r="AI45" s="115">
        <f t="shared" si="49"/>
        <v>3241495</v>
      </c>
      <c r="AJ45" s="110">
        <f t="shared" si="50"/>
        <v>27.604811581860762</v>
      </c>
      <c r="AK45" s="353">
        <v>139707</v>
      </c>
      <c r="AL45" s="207">
        <v>12622</v>
      </c>
      <c r="AM45" s="353"/>
      <c r="AN45" s="353">
        <v>71563</v>
      </c>
      <c r="AO45" s="115">
        <f t="shared" si="36"/>
        <v>71563</v>
      </c>
      <c r="AP45" s="353">
        <v>3452765</v>
      </c>
      <c r="AQ45" s="112">
        <f t="shared" si="51"/>
        <v>29.404002554822227</v>
      </c>
      <c r="AR45" s="207"/>
      <c r="AS45" s="220">
        <v>119317</v>
      </c>
      <c r="AT45" s="207">
        <v>0</v>
      </c>
      <c r="AU45" s="220">
        <v>50000</v>
      </c>
      <c r="AV45" s="220">
        <v>0</v>
      </c>
      <c r="AW45" s="207"/>
      <c r="AX45" s="220">
        <v>0</v>
      </c>
      <c r="AY45" s="115">
        <f t="shared" si="37"/>
        <v>169317</v>
      </c>
      <c r="AZ45" s="352">
        <v>259005</v>
      </c>
      <c r="BA45" s="109">
        <f t="shared" si="52"/>
        <v>2.205705769640196</v>
      </c>
      <c r="BB45" s="352">
        <v>15057</v>
      </c>
      <c r="BC45" s="352">
        <v>52716</v>
      </c>
      <c r="BD45" s="352">
        <v>21340</v>
      </c>
      <c r="BE45" s="352">
        <v>2613</v>
      </c>
      <c r="BF45" s="352">
        <v>206483</v>
      </c>
      <c r="BG45" s="221">
        <v>17</v>
      </c>
      <c r="BH45" s="221">
        <v>89</v>
      </c>
      <c r="BI45" s="205">
        <v>0</v>
      </c>
      <c r="BJ45">
        <v>94</v>
      </c>
      <c r="BK45" s="352">
        <v>561894</v>
      </c>
      <c r="BL45" s="109">
        <f t="shared" si="53"/>
        <v>4.7851309346391311</v>
      </c>
      <c r="BM45">
        <v>5</v>
      </c>
      <c r="BN45" s="352">
        <v>36766</v>
      </c>
      <c r="BO45" s="109">
        <f t="shared" si="54"/>
        <v>0.31310197998722589</v>
      </c>
      <c r="BP45" s="352">
        <v>246223</v>
      </c>
      <c r="BQ45" s="205">
        <v>0</v>
      </c>
      <c r="BR45" s="356">
        <f t="shared" si="38"/>
        <v>563820</v>
      </c>
      <c r="BS45" s="352">
        <v>263474</v>
      </c>
      <c r="BT45" s="352">
        <v>827294</v>
      </c>
      <c r="BU45" s="109">
        <f t="shared" si="55"/>
        <v>7.0452969980838835</v>
      </c>
      <c r="BV45" s="108">
        <f t="shared" si="66"/>
        <v>20713.420130195293</v>
      </c>
      <c r="BW45" s="109">
        <f t="shared" si="56"/>
        <v>286.95594866458549</v>
      </c>
      <c r="BX45" s="109">
        <f t="shared" si="57"/>
        <v>5.1011166673860364</v>
      </c>
      <c r="BY45" s="109">
        <f t="shared" si="65"/>
        <v>1.4723310802393335</v>
      </c>
      <c r="BZ45">
        <v>48</v>
      </c>
      <c r="CA45">
        <v>8</v>
      </c>
      <c r="CB45">
        <v>23</v>
      </c>
      <c r="CC45" s="113">
        <f t="shared" si="41"/>
        <v>79</v>
      </c>
      <c r="CD45">
        <v>345</v>
      </c>
      <c r="CE45">
        <v>240</v>
      </c>
      <c r="CF45">
        <v>378</v>
      </c>
      <c r="CG45" s="116">
        <f t="shared" si="42"/>
        <v>963</v>
      </c>
      <c r="CH45" s="109">
        <f t="shared" si="58"/>
        <v>8.200979348520333E-3</v>
      </c>
      <c r="CI45" s="352">
        <v>162179</v>
      </c>
      <c r="CJ45" s="109">
        <f t="shared" si="59"/>
        <v>1.3811283798169045</v>
      </c>
      <c r="CK45" s="352">
        <v>61662</v>
      </c>
      <c r="CL45" s="208" t="s">
        <v>7</v>
      </c>
      <c r="CM45" s="208" t="s">
        <v>7</v>
      </c>
      <c r="CN45" s="208" t="s">
        <v>7</v>
      </c>
      <c r="CO45">
        <v>9.3800000000000008</v>
      </c>
      <c r="CP45" s="108">
        <f>C45/CO45</f>
        <v>12518.656716417909</v>
      </c>
      <c r="CQ45">
        <v>0</v>
      </c>
      <c r="CR45">
        <v>30.56</v>
      </c>
      <c r="CS45">
        <v>39.94</v>
      </c>
      <c r="CT45" s="108">
        <f t="shared" si="67"/>
        <v>2940.0350525788685</v>
      </c>
      <c r="CU45" s="352">
        <v>2063</v>
      </c>
      <c r="CV45" s="353">
        <v>95614</v>
      </c>
      <c r="CW45" s="209">
        <v>40</v>
      </c>
      <c r="CX45" s="208" t="s">
        <v>7</v>
      </c>
      <c r="CY45" s="208" t="s">
        <v>7</v>
      </c>
      <c r="CZ45" s="352">
        <v>27562</v>
      </c>
      <c r="DA45" s="352">
        <v>40749</v>
      </c>
      <c r="DB45">
        <v>56</v>
      </c>
      <c r="DC45" s="352">
        <v>10761</v>
      </c>
      <c r="DD45" s="352">
        <v>7950</v>
      </c>
      <c r="DE45" s="352">
        <v>182180</v>
      </c>
      <c r="DF45" s="205">
        <v>3429</v>
      </c>
      <c r="DG45" s="205">
        <v>52</v>
      </c>
      <c r="DH45" s="209">
        <f t="shared" si="60"/>
        <v>2.9201618054077071E-2</v>
      </c>
      <c r="DI45" s="205">
        <v>45</v>
      </c>
      <c r="DJ45" s="205">
        <v>45</v>
      </c>
      <c r="DL45" s="343">
        <v>2883</v>
      </c>
      <c r="DM45" s="204"/>
      <c r="DN45" t="s">
        <v>1073</v>
      </c>
      <c r="DO45" t="s">
        <v>125</v>
      </c>
      <c r="DP45" s="208"/>
      <c r="DQ45" s="206"/>
      <c r="DR45" s="368" t="s">
        <v>996</v>
      </c>
      <c r="DS45" s="204" t="s">
        <v>996</v>
      </c>
      <c r="DT45" s="227">
        <v>44013</v>
      </c>
      <c r="DU45" s="227">
        <v>44377</v>
      </c>
      <c r="DV45" t="s">
        <v>1208</v>
      </c>
      <c r="DW45" s="109">
        <f t="shared" si="61"/>
        <v>2.0968533106238025</v>
      </c>
      <c r="DX45" s="109">
        <f t="shared" si="62"/>
        <v>0</v>
      </c>
      <c r="DY45" s="109">
        <f t="shared" si="63"/>
        <v>4.8015328933361721</v>
      </c>
      <c r="DZ45" s="109">
        <f t="shared" si="64"/>
        <v>2.2437641047477115</v>
      </c>
      <c r="EA45" s="110">
        <f t="shared" si="68"/>
        <v>0.37860088908860395</v>
      </c>
      <c r="EB45" s="199">
        <v>0</v>
      </c>
    </row>
    <row r="46" spans="1:132" ht="16.5" x14ac:dyDescent="0.3">
      <c r="A46" s="216" t="s">
        <v>1136</v>
      </c>
      <c r="B46" t="s">
        <v>1209</v>
      </c>
      <c r="C46" s="352">
        <v>41409</v>
      </c>
      <c r="D46">
        <v>1</v>
      </c>
      <c r="E46"/>
      <c r="F46" s="221">
        <v>44800</v>
      </c>
      <c r="H46" s="108">
        <f t="shared" si="0"/>
        <v>44800</v>
      </c>
      <c r="I46" s="109">
        <v>0.42064000000000001</v>
      </c>
      <c r="J46" s="220">
        <v>887854</v>
      </c>
      <c r="K46" s="220">
        <v>250513</v>
      </c>
      <c r="L46" s="115">
        <f t="shared" si="31"/>
        <v>1138367</v>
      </c>
      <c r="M46" s="110">
        <f t="shared" si="46"/>
        <v>27.490811176314327</v>
      </c>
      <c r="N46" s="220">
        <v>137486</v>
      </c>
      <c r="O46" s="220">
        <v>46440</v>
      </c>
      <c r="P46" s="220">
        <v>39122</v>
      </c>
      <c r="Q46" s="220">
        <v>223048</v>
      </c>
      <c r="R46" s="110">
        <f t="shared" si="47"/>
        <v>5.386461880267575</v>
      </c>
      <c r="S46" s="220">
        <v>368072</v>
      </c>
      <c r="T46" s="220">
        <v>1729487</v>
      </c>
      <c r="U46" s="207">
        <v>0</v>
      </c>
      <c r="V46" s="220">
        <v>1729487</v>
      </c>
      <c r="W46" s="110">
        <f t="shared" si="48"/>
        <v>41.765968750754666</v>
      </c>
      <c r="X46" s="111">
        <f t="shared" si="32"/>
        <v>0.65821078736064509</v>
      </c>
      <c r="Y46" s="111">
        <f t="shared" si="33"/>
        <v>0.12896772279872587</v>
      </c>
      <c r="Z46" s="111">
        <f t="shared" si="34"/>
        <v>0.21282148984062904</v>
      </c>
      <c r="AA46" s="111">
        <f t="shared" si="35"/>
        <v>0</v>
      </c>
      <c r="AB46" s="220">
        <v>5695</v>
      </c>
      <c r="AE46" s="207"/>
      <c r="AF46" s="353">
        <v>1497476</v>
      </c>
      <c r="AG46" s="353">
        <v>225289</v>
      </c>
      <c r="AH46" s="207"/>
      <c r="AI46" s="115">
        <f t="shared" si="49"/>
        <v>1722765</v>
      </c>
      <c r="AJ46" s="110">
        <f t="shared" si="50"/>
        <v>41.603636890531043</v>
      </c>
      <c r="AK46" s="353">
        <v>27340</v>
      </c>
      <c r="AL46" s="207">
        <v>5832</v>
      </c>
      <c r="AM46" s="353"/>
      <c r="AN46" s="353">
        <v>10825</v>
      </c>
      <c r="AO46" s="115">
        <f t="shared" si="36"/>
        <v>10825</v>
      </c>
      <c r="AP46" s="353">
        <v>1762430</v>
      </c>
      <c r="AQ46" s="112">
        <f t="shared" si="51"/>
        <v>42.561520442415897</v>
      </c>
      <c r="AR46" s="207"/>
      <c r="AS46" s="220">
        <v>0</v>
      </c>
      <c r="AT46" s="207">
        <v>0</v>
      </c>
      <c r="AU46" s="220">
        <v>0</v>
      </c>
      <c r="AV46" s="220">
        <v>0</v>
      </c>
      <c r="AW46" s="207"/>
      <c r="AX46" s="220">
        <v>0</v>
      </c>
      <c r="AY46" s="115">
        <f t="shared" si="37"/>
        <v>0</v>
      </c>
      <c r="AZ46" s="352">
        <v>115905</v>
      </c>
      <c r="BA46" s="109">
        <f t="shared" si="52"/>
        <v>2.7990291965514742</v>
      </c>
      <c r="BB46" s="352">
        <v>7959</v>
      </c>
      <c r="BC46" s="352">
        <v>57820</v>
      </c>
      <c r="BD46" s="352">
        <v>14696</v>
      </c>
      <c r="BE46" s="352">
        <v>4820</v>
      </c>
      <c r="BF46" s="352">
        <v>210278</v>
      </c>
      <c r="BG46" s="221">
        <v>0</v>
      </c>
      <c r="BH46" s="221">
        <v>89</v>
      </c>
      <c r="BI46" s="205">
        <v>0</v>
      </c>
      <c r="BJ46">
        <v>92</v>
      </c>
      <c r="BK46" s="352">
        <v>415423</v>
      </c>
      <c r="BL46" s="109">
        <f t="shared" si="53"/>
        <v>10.032191069574248</v>
      </c>
      <c r="BM46">
        <v>170</v>
      </c>
      <c r="BN46" s="352">
        <v>47208</v>
      </c>
      <c r="BO46" s="109">
        <f t="shared" si="54"/>
        <v>1.140042019850757</v>
      </c>
      <c r="BP46" s="352">
        <v>78401</v>
      </c>
      <c r="BQ46" s="205">
        <v>0</v>
      </c>
      <c r="BR46" s="356">
        <f t="shared" si="38"/>
        <v>165443</v>
      </c>
      <c r="BS46" s="352">
        <v>53700</v>
      </c>
      <c r="BT46" s="352">
        <v>219143</v>
      </c>
      <c r="BU46" s="109">
        <f t="shared" si="55"/>
        <v>5.2921587094592963</v>
      </c>
      <c r="BV46" s="108">
        <f t="shared" si="66"/>
        <v>8800.9236947791178</v>
      </c>
      <c r="BW46" s="109">
        <f t="shared" si="56"/>
        <v>119.75027322404371</v>
      </c>
      <c r="BX46" s="109">
        <f t="shared" si="57"/>
        <v>1.4659179086506302</v>
      </c>
      <c r="BY46" s="109">
        <f t="shared" si="65"/>
        <v>0.52751773493523468</v>
      </c>
      <c r="BZ46">
        <v>13</v>
      </c>
      <c r="CA46">
        <v>0</v>
      </c>
      <c r="CB46">
        <v>3</v>
      </c>
      <c r="CC46" s="113">
        <f t="shared" si="41"/>
        <v>16</v>
      </c>
      <c r="CD46" s="352">
        <v>6858</v>
      </c>
      <c r="CE46">
        <v>0</v>
      </c>
      <c r="CF46" s="352">
        <v>22087</v>
      </c>
      <c r="CG46" s="116">
        <f t="shared" si="42"/>
        <v>28945</v>
      </c>
      <c r="CH46" s="109">
        <f t="shared" si="58"/>
        <v>0.69900263227800719</v>
      </c>
      <c r="CI46" s="352">
        <v>149492</v>
      </c>
      <c r="CJ46" s="109">
        <f t="shared" si="59"/>
        <v>3.6101330628607307</v>
      </c>
      <c r="CK46" s="352">
        <v>34679</v>
      </c>
      <c r="CL46" s="208" t="s">
        <v>7</v>
      </c>
      <c r="CM46" s="208" t="s">
        <v>7</v>
      </c>
      <c r="CN46" s="208" t="s">
        <v>7</v>
      </c>
      <c r="CO46">
        <v>6.56</v>
      </c>
      <c r="CP46" s="108">
        <f>C46/CO46</f>
        <v>6312.3475609756106</v>
      </c>
      <c r="CQ46">
        <v>0.94</v>
      </c>
      <c r="CR46">
        <v>17.399999999999999</v>
      </c>
      <c r="CS46">
        <v>24.9</v>
      </c>
      <c r="CT46" s="108">
        <f t="shared" si="67"/>
        <v>1663.0120481927711</v>
      </c>
      <c r="CU46">
        <v>0</v>
      </c>
      <c r="CV46" s="353">
        <v>90955</v>
      </c>
      <c r="CW46" s="209">
        <v>40</v>
      </c>
      <c r="CX46" s="208" t="s">
        <v>7</v>
      </c>
      <c r="CY46" s="208" t="s">
        <v>7</v>
      </c>
      <c r="CZ46">
        <v>248</v>
      </c>
      <c r="DA46">
        <v>69</v>
      </c>
      <c r="DB46">
        <v>44</v>
      </c>
      <c r="DC46" s="352">
        <v>12000</v>
      </c>
      <c r="DD46" s="352">
        <v>10982</v>
      </c>
      <c r="DE46">
        <v>-1</v>
      </c>
      <c r="DF46" s="205">
        <v>2582</v>
      </c>
      <c r="DG46" s="205">
        <v>51</v>
      </c>
      <c r="DH46" s="209">
        <f t="shared" si="60"/>
        <v>6.2353594629186888E-2</v>
      </c>
      <c r="DI46" s="205">
        <v>44</v>
      </c>
      <c r="DJ46" s="205">
        <v>44</v>
      </c>
      <c r="DL46" s="343">
        <v>1830</v>
      </c>
      <c r="DM46" s="204"/>
      <c r="DN46" t="s">
        <v>1074</v>
      </c>
      <c r="DO46" t="s">
        <v>1031</v>
      </c>
      <c r="DP46" s="208"/>
      <c r="DQ46" s="206"/>
      <c r="DR46" s="367" t="s">
        <v>1136</v>
      </c>
      <c r="DS46" s="204" t="s">
        <v>971</v>
      </c>
      <c r="DT46" s="227">
        <v>44013</v>
      </c>
      <c r="DU46" s="227">
        <v>44377</v>
      </c>
      <c r="DV46" t="s">
        <v>1209</v>
      </c>
      <c r="DW46" s="109">
        <f t="shared" si="61"/>
        <v>1.8933323673597526</v>
      </c>
      <c r="DX46" s="109">
        <f t="shared" si="62"/>
        <v>0</v>
      </c>
      <c r="DY46" s="109">
        <f t="shared" si="63"/>
        <v>3.9953391774734963</v>
      </c>
      <c r="DZ46" s="109">
        <f t="shared" si="64"/>
        <v>1.2968195319858002</v>
      </c>
      <c r="EA46" s="110">
        <f t="shared" si="68"/>
        <v>0.56382769311527037</v>
      </c>
      <c r="EB46" s="199">
        <f t="shared" si="43"/>
        <v>0.86480446927374299</v>
      </c>
    </row>
    <row r="47" spans="1:132" ht="16.5" x14ac:dyDescent="0.3">
      <c r="A47" s="216" t="s">
        <v>1137</v>
      </c>
      <c r="B47" t="s">
        <v>1210</v>
      </c>
      <c r="C47" s="352">
        <v>113457</v>
      </c>
      <c r="D47"/>
      <c r="E47"/>
      <c r="F47" s="221">
        <v>83450</v>
      </c>
      <c r="H47" s="108">
        <f t="shared" si="0"/>
        <v>83450</v>
      </c>
      <c r="I47" s="109">
        <v>0.46351999999999999</v>
      </c>
      <c r="J47" s="220">
        <v>2712891</v>
      </c>
      <c r="K47" s="220">
        <v>1119300</v>
      </c>
      <c r="L47" s="115">
        <f t="shared" si="31"/>
        <v>3832191</v>
      </c>
      <c r="M47" s="110">
        <f t="shared" si="46"/>
        <v>33.776593775615432</v>
      </c>
      <c r="N47" s="220">
        <v>164278</v>
      </c>
      <c r="O47" s="220">
        <v>99586</v>
      </c>
      <c r="P47" s="220">
        <v>87236</v>
      </c>
      <c r="Q47" s="220">
        <v>351100</v>
      </c>
      <c r="R47" s="110">
        <f t="shared" si="47"/>
        <v>3.0945644605445235</v>
      </c>
      <c r="S47" s="220">
        <v>801546</v>
      </c>
      <c r="T47" s="220">
        <v>4984837</v>
      </c>
      <c r="U47" s="207">
        <v>0</v>
      </c>
      <c r="V47" s="220">
        <v>4984837</v>
      </c>
      <c r="W47" s="110">
        <f t="shared" si="48"/>
        <v>43.935914046731362</v>
      </c>
      <c r="X47" s="111">
        <f t="shared" si="32"/>
        <v>0.768769570599801</v>
      </c>
      <c r="Y47" s="111">
        <f t="shared" si="33"/>
        <v>7.04335969260379E-2</v>
      </c>
      <c r="Z47" s="111">
        <f t="shared" si="34"/>
        <v>0.16079683247416113</v>
      </c>
      <c r="AA47" s="111">
        <f t="shared" si="35"/>
        <v>0</v>
      </c>
      <c r="AB47" s="220">
        <v>68391</v>
      </c>
      <c r="AE47" s="207"/>
      <c r="AF47" s="353">
        <v>4747091</v>
      </c>
      <c r="AG47" s="353">
        <v>359960</v>
      </c>
      <c r="AH47" s="207"/>
      <c r="AI47" s="115">
        <f t="shared" si="49"/>
        <v>5107051</v>
      </c>
      <c r="AJ47" s="110">
        <f t="shared" si="50"/>
        <v>45.013097473051467</v>
      </c>
      <c r="AK47" s="353">
        <v>86312</v>
      </c>
      <c r="AL47" s="207">
        <v>16225</v>
      </c>
      <c r="AM47" s="353"/>
      <c r="AN47" s="353">
        <v>0</v>
      </c>
      <c r="AO47" s="115">
        <f t="shared" si="36"/>
        <v>0</v>
      </c>
      <c r="AP47" s="353">
        <v>5261754</v>
      </c>
      <c r="AQ47" s="112">
        <f t="shared" si="51"/>
        <v>46.376636082392451</v>
      </c>
      <c r="AR47" s="207"/>
      <c r="AS47" s="220">
        <v>251973</v>
      </c>
      <c r="AT47" s="207">
        <v>0</v>
      </c>
      <c r="AU47" s="220">
        <v>0</v>
      </c>
      <c r="AV47" s="220">
        <v>0</v>
      </c>
      <c r="AW47" s="207"/>
      <c r="AX47" s="220">
        <v>0</v>
      </c>
      <c r="AY47" s="115">
        <f t="shared" si="37"/>
        <v>251973</v>
      </c>
      <c r="AZ47" s="352">
        <v>241327</v>
      </c>
      <c r="BA47" s="109">
        <f t="shared" si="52"/>
        <v>2.1270349119049508</v>
      </c>
      <c r="BB47" s="352">
        <v>6244</v>
      </c>
      <c r="BC47" s="352">
        <v>198718</v>
      </c>
      <c r="BD47" s="352">
        <v>22400</v>
      </c>
      <c r="BE47" s="352">
        <v>63293</v>
      </c>
      <c r="BF47" s="352">
        <v>997665</v>
      </c>
      <c r="BG47" s="221">
        <v>6</v>
      </c>
      <c r="BH47" s="221">
        <v>89</v>
      </c>
      <c r="BI47" s="205">
        <v>0</v>
      </c>
      <c r="BJ47">
        <v>106</v>
      </c>
      <c r="BK47" s="352">
        <v>1606557</v>
      </c>
      <c r="BL47" s="109">
        <f t="shared" si="53"/>
        <v>14.160051825801846</v>
      </c>
      <c r="BM47">
        <v>229</v>
      </c>
      <c r="BN47" s="352">
        <v>36772</v>
      </c>
      <c r="BO47" s="109">
        <f t="shared" si="54"/>
        <v>0.32410516759653435</v>
      </c>
      <c r="BP47" s="352">
        <v>56633</v>
      </c>
      <c r="BQ47" s="205">
        <v>0</v>
      </c>
      <c r="BR47" s="356">
        <f t="shared" si="38"/>
        <v>186405</v>
      </c>
      <c r="BS47" s="352">
        <v>550834</v>
      </c>
      <c r="BT47" s="352">
        <v>737239</v>
      </c>
      <c r="BU47" s="109">
        <f t="shared" si="55"/>
        <v>6.497959579400125</v>
      </c>
      <c r="BV47" s="108">
        <f t="shared" si="66"/>
        <v>13283.585585585586</v>
      </c>
      <c r="BW47" s="109">
        <f t="shared" si="56"/>
        <v>86.713596800752768</v>
      </c>
      <c r="BX47" s="109">
        <f t="shared" si="57"/>
        <v>10.042896647550029</v>
      </c>
      <c r="BY47" s="109">
        <f t="shared" si="65"/>
        <v>0.45889377096486461</v>
      </c>
      <c r="BZ47">
        <v>496</v>
      </c>
      <c r="CA47">
        <v>27</v>
      </c>
      <c r="CB47">
        <v>712</v>
      </c>
      <c r="CC47" s="113">
        <f t="shared" si="41"/>
        <v>1235</v>
      </c>
      <c r="CD47">
        <v>496</v>
      </c>
      <c r="CE47">
        <v>362</v>
      </c>
      <c r="CF47">
        <v>38</v>
      </c>
      <c r="CG47" s="116">
        <f t="shared" si="42"/>
        <v>896</v>
      </c>
      <c r="CH47" s="109">
        <f t="shared" si="58"/>
        <v>7.8972650431440982E-3</v>
      </c>
      <c r="CI47" s="352">
        <v>73409</v>
      </c>
      <c r="CJ47" s="109">
        <f t="shared" si="59"/>
        <v>0.64702045708946998</v>
      </c>
      <c r="CK47" s="352">
        <v>171123</v>
      </c>
      <c r="CL47" s="208" t="s">
        <v>7</v>
      </c>
      <c r="CM47" s="208" t="s">
        <v>7</v>
      </c>
      <c r="CN47" s="208" t="s">
        <v>7</v>
      </c>
      <c r="CO47">
        <v>17.75</v>
      </c>
      <c r="CP47" s="108">
        <f>C47/CO47</f>
        <v>6391.9436619718308</v>
      </c>
      <c r="CQ47">
        <v>0</v>
      </c>
      <c r="CR47">
        <v>37.75</v>
      </c>
      <c r="CS47">
        <v>55.5</v>
      </c>
      <c r="CT47" s="108">
        <f t="shared" si="67"/>
        <v>2044.2702702702702</v>
      </c>
      <c r="CU47">
        <v>382</v>
      </c>
      <c r="CV47" s="353">
        <v>126990</v>
      </c>
      <c r="CW47" s="209">
        <v>40</v>
      </c>
      <c r="CX47" s="208" t="s">
        <v>7</v>
      </c>
      <c r="CY47" s="208" t="s">
        <v>7</v>
      </c>
      <c r="CZ47">
        <v>613</v>
      </c>
      <c r="DA47">
        <v>823</v>
      </c>
      <c r="DB47">
        <v>117</v>
      </c>
      <c r="DC47" s="352">
        <v>4674</v>
      </c>
      <c r="DD47" s="352">
        <v>3927</v>
      </c>
      <c r="DE47" s="352">
        <v>88645</v>
      </c>
      <c r="DF47" s="205">
        <v>9048</v>
      </c>
      <c r="DG47" s="205">
        <v>52</v>
      </c>
      <c r="DH47" s="209">
        <f t="shared" si="60"/>
        <v>7.9748274676749775E-2</v>
      </c>
      <c r="DI47" s="205">
        <v>55</v>
      </c>
      <c r="DJ47" s="205">
        <v>55</v>
      </c>
      <c r="DL47" s="343">
        <v>8502</v>
      </c>
      <c r="DM47" s="204"/>
      <c r="DN47" t="s">
        <v>1075</v>
      </c>
      <c r="DO47" t="s">
        <v>1031</v>
      </c>
      <c r="DP47" s="208"/>
      <c r="DQ47" s="206"/>
      <c r="DR47" s="367" t="s">
        <v>1137</v>
      </c>
      <c r="DS47" s="204" t="s">
        <v>992</v>
      </c>
      <c r="DT47" s="227">
        <v>44013</v>
      </c>
      <c r="DU47" s="227">
        <v>44377</v>
      </c>
      <c r="DV47" t="s">
        <v>1210</v>
      </c>
      <c r="DW47" s="109">
        <f t="shared" si="61"/>
        <v>0.49915827141560237</v>
      </c>
      <c r="DX47" s="109">
        <f t="shared" si="62"/>
        <v>0</v>
      </c>
      <c r="DY47" s="109">
        <f t="shared" si="63"/>
        <v>1.6429572437134774</v>
      </c>
      <c r="DZ47" s="109">
        <f t="shared" si="64"/>
        <v>4.8550023356866481</v>
      </c>
      <c r="EA47" s="110">
        <f t="shared" si="68"/>
        <v>0.67593545042339054</v>
      </c>
      <c r="EB47" s="199">
        <f t="shared" si="43"/>
        <v>0.18079130917844577</v>
      </c>
    </row>
    <row r="48" spans="1:132" ht="30.75" x14ac:dyDescent="0.3">
      <c r="A48" s="216" t="s">
        <v>1138</v>
      </c>
      <c r="B48" t="s">
        <v>1211</v>
      </c>
      <c r="C48" s="352">
        <v>23775</v>
      </c>
      <c r="D48"/>
      <c r="E48"/>
      <c r="F48" s="221">
        <v>8900</v>
      </c>
      <c r="H48" s="108">
        <f t="shared" si="0"/>
        <v>8900</v>
      </c>
      <c r="I48" s="109">
        <v>1.2422200000000001</v>
      </c>
      <c r="J48" s="220">
        <v>358226</v>
      </c>
      <c r="K48" s="220">
        <v>137259</v>
      </c>
      <c r="L48" s="115">
        <f t="shared" si="31"/>
        <v>495485</v>
      </c>
      <c r="M48" s="110">
        <f t="shared" si="46"/>
        <v>20.840588853838064</v>
      </c>
      <c r="N48" s="220">
        <v>27352</v>
      </c>
      <c r="O48" s="220">
        <v>13012</v>
      </c>
      <c r="P48" s="220">
        <v>2352</v>
      </c>
      <c r="Q48" s="220">
        <v>42716</v>
      </c>
      <c r="R48" s="110">
        <f t="shared" si="47"/>
        <v>1.796677181913775</v>
      </c>
      <c r="S48" s="220">
        <v>102605</v>
      </c>
      <c r="T48" s="220">
        <v>640806</v>
      </c>
      <c r="U48" s="207">
        <v>0</v>
      </c>
      <c r="V48" s="220">
        <v>640806</v>
      </c>
      <c r="W48" s="110">
        <f t="shared" si="48"/>
        <v>26.952933753943217</v>
      </c>
      <c r="X48" s="111">
        <f t="shared" si="32"/>
        <v>0.77322153662730997</v>
      </c>
      <c r="Y48" s="111">
        <f t="shared" si="33"/>
        <v>6.6659800313979584E-2</v>
      </c>
      <c r="Z48" s="111">
        <f t="shared" si="34"/>
        <v>0.16011866305871045</v>
      </c>
      <c r="AA48" s="111">
        <f t="shared" si="35"/>
        <v>0</v>
      </c>
      <c r="AB48" s="220">
        <v>0</v>
      </c>
      <c r="AE48" s="207"/>
      <c r="AF48" s="353">
        <v>705677</v>
      </c>
      <c r="AG48" s="353">
        <v>0</v>
      </c>
      <c r="AH48" s="207"/>
      <c r="AI48" s="115">
        <f t="shared" si="49"/>
        <v>705677</v>
      </c>
      <c r="AJ48" s="110">
        <f t="shared" si="50"/>
        <v>29.681472134595165</v>
      </c>
      <c r="AK48" s="353">
        <v>16522</v>
      </c>
      <c r="AL48" s="207">
        <v>0</v>
      </c>
      <c r="AM48" s="353"/>
      <c r="AN48" s="353">
        <v>36010</v>
      </c>
      <c r="AO48" s="115">
        <f t="shared" si="36"/>
        <v>36010</v>
      </c>
      <c r="AP48" s="353">
        <v>763943</v>
      </c>
      <c r="AQ48" s="112">
        <f t="shared" si="51"/>
        <v>32.13219768664564</v>
      </c>
      <c r="AR48" s="207"/>
      <c r="AS48" s="220">
        <v>0</v>
      </c>
      <c r="AT48" s="207">
        <v>0</v>
      </c>
      <c r="AU48" s="220">
        <v>0</v>
      </c>
      <c r="AV48" s="220">
        <v>0</v>
      </c>
      <c r="AW48" s="207"/>
      <c r="AX48" s="220">
        <v>0</v>
      </c>
      <c r="AY48" s="115">
        <f t="shared" si="37"/>
        <v>0</v>
      </c>
      <c r="AZ48" s="352">
        <v>32117</v>
      </c>
      <c r="BA48" s="109">
        <f t="shared" si="52"/>
        <v>1.3508727655099895</v>
      </c>
      <c r="BB48" s="352">
        <v>1612</v>
      </c>
      <c r="BC48" s="352">
        <v>30563</v>
      </c>
      <c r="BD48">
        <v>281</v>
      </c>
      <c r="BE48" s="352">
        <v>2457</v>
      </c>
      <c r="BF48" s="352">
        <v>173579</v>
      </c>
      <c r="BG48" s="221">
        <v>2</v>
      </c>
      <c r="BH48" s="221">
        <v>89</v>
      </c>
      <c r="BI48" s="205">
        <v>0</v>
      </c>
      <c r="BJ48">
        <v>86</v>
      </c>
      <c r="BK48" s="352">
        <v>244272</v>
      </c>
      <c r="BL48" s="109">
        <f t="shared" si="53"/>
        <v>10.274321766561513</v>
      </c>
      <c r="BM48">
        <v>9</v>
      </c>
      <c r="BN48">
        <v>0</v>
      </c>
      <c r="BO48" s="109">
        <f t="shared" si="54"/>
        <v>0</v>
      </c>
      <c r="BP48" s="352">
        <v>20777</v>
      </c>
      <c r="BQ48" s="205">
        <v>0</v>
      </c>
      <c r="BR48" s="356">
        <f t="shared" si="38"/>
        <v>35360</v>
      </c>
      <c r="BS48" s="352">
        <v>50071</v>
      </c>
      <c r="BT48" s="352">
        <v>85431</v>
      </c>
      <c r="BU48" s="109">
        <f t="shared" si="55"/>
        <v>3.5933123028391165</v>
      </c>
      <c r="BV48" s="108">
        <f t="shared" si="66"/>
        <v>9186.1290322580644</v>
      </c>
      <c r="BW48" s="109">
        <f t="shared" si="56"/>
        <v>44.402806652806653</v>
      </c>
      <c r="BX48" s="109">
        <f t="shared" si="57"/>
        <v>27.11234528721041</v>
      </c>
      <c r="BY48" s="109">
        <f t="shared" si="65"/>
        <v>0.34973717822754963</v>
      </c>
      <c r="BZ48">
        <v>17</v>
      </c>
      <c r="CA48">
        <v>1</v>
      </c>
      <c r="CB48">
        <v>4</v>
      </c>
      <c r="CC48" s="113">
        <f t="shared" si="41"/>
        <v>22</v>
      </c>
      <c r="CD48">
        <v>250</v>
      </c>
      <c r="CE48">
        <v>5</v>
      </c>
      <c r="CF48">
        <v>0</v>
      </c>
      <c r="CG48" s="116">
        <f t="shared" si="42"/>
        <v>255</v>
      </c>
      <c r="CH48" s="109">
        <f t="shared" si="58"/>
        <v>1.0725552050473186E-2</v>
      </c>
      <c r="CI48" s="352">
        <v>3151</v>
      </c>
      <c r="CJ48" s="109">
        <f t="shared" si="59"/>
        <v>0.13253417455310199</v>
      </c>
      <c r="CK48" s="352">
        <v>4514</v>
      </c>
      <c r="CL48" s="208" t="s">
        <v>7</v>
      </c>
      <c r="CM48" s="208" t="s">
        <v>7</v>
      </c>
      <c r="CN48" s="208" t="s">
        <v>7</v>
      </c>
      <c r="CO48">
        <v>2</v>
      </c>
      <c r="CP48" s="209">
        <v>0</v>
      </c>
      <c r="CQ48">
        <v>0</v>
      </c>
      <c r="CR48">
        <v>7.3</v>
      </c>
      <c r="CS48">
        <v>9.3000000000000007</v>
      </c>
      <c r="CT48" s="108">
        <f t="shared" si="67"/>
        <v>2556.4516129032254</v>
      </c>
      <c r="CU48">
        <v>0</v>
      </c>
      <c r="CV48" s="353">
        <v>69038</v>
      </c>
      <c r="CW48" s="209">
        <v>40</v>
      </c>
      <c r="CX48" s="208" t="s">
        <v>7</v>
      </c>
      <c r="CY48" s="208" t="s">
        <v>7</v>
      </c>
      <c r="CZ48">
        <v>86</v>
      </c>
      <c r="DA48">
        <v>0</v>
      </c>
      <c r="DB48">
        <v>7</v>
      </c>
      <c r="DC48">
        <v>274</v>
      </c>
      <c r="DD48" s="352">
        <v>8076</v>
      </c>
      <c r="DE48" s="352">
        <v>24765</v>
      </c>
      <c r="DF48" s="205">
        <v>2704</v>
      </c>
      <c r="DG48" s="205">
        <v>52</v>
      </c>
      <c r="DH48" s="209">
        <f t="shared" si="60"/>
        <v>0.113732912723449</v>
      </c>
      <c r="DI48" s="205">
        <v>53</v>
      </c>
      <c r="DJ48" s="205">
        <v>53</v>
      </c>
      <c r="DL48" s="343">
        <v>1924</v>
      </c>
      <c r="DM48" s="204"/>
      <c r="DN48" t="s">
        <v>1076</v>
      </c>
      <c r="DO48" t="s">
        <v>1031</v>
      </c>
      <c r="DP48" s="208"/>
      <c r="DQ48" s="206"/>
      <c r="DR48" s="367" t="s">
        <v>1277</v>
      </c>
      <c r="DS48" s="204" t="s">
        <v>997</v>
      </c>
      <c r="DT48" s="227">
        <v>44013</v>
      </c>
      <c r="DU48" s="227">
        <v>44377</v>
      </c>
      <c r="DV48" t="s">
        <v>1211</v>
      </c>
      <c r="DW48" s="109">
        <f t="shared" si="61"/>
        <v>0.87390115667718193</v>
      </c>
      <c r="DX48" s="109">
        <f t="shared" si="62"/>
        <v>0</v>
      </c>
      <c r="DY48" s="109">
        <f t="shared" si="63"/>
        <v>1.4872765509989485</v>
      </c>
      <c r="DZ48" s="109">
        <f t="shared" si="64"/>
        <v>2.1060357518401682</v>
      </c>
      <c r="EA48" s="110">
        <f t="shared" si="68"/>
        <v>0.48723658193348418</v>
      </c>
      <c r="EB48" s="199">
        <f t="shared" si="43"/>
        <v>0.25987098320385055</v>
      </c>
    </row>
    <row r="49" spans="1:132" ht="16.5" x14ac:dyDescent="0.3">
      <c r="A49" s="216" t="s">
        <v>998</v>
      </c>
      <c r="B49" t="s">
        <v>1212</v>
      </c>
      <c r="C49" s="352">
        <v>138477</v>
      </c>
      <c r="D49"/>
      <c r="E49"/>
      <c r="F49" s="221">
        <v>64000</v>
      </c>
      <c r="H49" s="108">
        <f t="shared" si="0"/>
        <v>64000</v>
      </c>
      <c r="I49" s="109">
        <v>0.32577</v>
      </c>
      <c r="J49" s="220">
        <v>1286528</v>
      </c>
      <c r="K49" s="220">
        <v>564314</v>
      </c>
      <c r="L49" s="115">
        <f t="shared" si="31"/>
        <v>1850842</v>
      </c>
      <c r="M49" s="110">
        <f t="shared" si="46"/>
        <v>13.365699719086924</v>
      </c>
      <c r="N49" s="220">
        <v>176785</v>
      </c>
      <c r="O49" s="220">
        <v>149077</v>
      </c>
      <c r="P49" s="220">
        <v>17036</v>
      </c>
      <c r="Q49" s="220">
        <v>342898</v>
      </c>
      <c r="R49" s="110">
        <f t="shared" si="47"/>
        <v>2.4762090455454695</v>
      </c>
      <c r="S49" s="220">
        <v>144943</v>
      </c>
      <c r="T49" s="220">
        <v>2338683</v>
      </c>
      <c r="U49" s="207">
        <v>0</v>
      </c>
      <c r="V49" s="220">
        <v>2338683</v>
      </c>
      <c r="W49" s="110">
        <f t="shared" si="48"/>
        <v>16.888602439394269</v>
      </c>
      <c r="X49" s="111">
        <f t="shared" si="32"/>
        <v>0.79140353780311401</v>
      </c>
      <c r="Y49" s="111">
        <f t="shared" si="33"/>
        <v>0.14662012765304233</v>
      </c>
      <c r="Z49" s="111">
        <f t="shared" si="34"/>
        <v>6.1976334543843693E-2</v>
      </c>
      <c r="AA49" s="111">
        <f t="shared" si="35"/>
        <v>0</v>
      </c>
      <c r="AB49" s="220">
        <v>42000</v>
      </c>
      <c r="AE49" s="207"/>
      <c r="AF49" s="353">
        <v>0</v>
      </c>
      <c r="AG49" s="353">
        <v>2294960</v>
      </c>
      <c r="AH49" s="207"/>
      <c r="AI49" s="115">
        <f t="shared" si="49"/>
        <v>2294960</v>
      </c>
      <c r="AJ49" s="110">
        <f t="shared" si="50"/>
        <v>16.572860475024733</v>
      </c>
      <c r="AK49" s="353">
        <v>147328</v>
      </c>
      <c r="AL49" s="207">
        <v>4626</v>
      </c>
      <c r="AM49" s="353"/>
      <c r="AN49" s="353">
        <v>0</v>
      </c>
      <c r="AO49" s="115">
        <f t="shared" si="36"/>
        <v>0</v>
      </c>
      <c r="AP49" s="353">
        <v>2465354</v>
      </c>
      <c r="AQ49" s="112">
        <f t="shared" si="51"/>
        <v>17.803346404095986</v>
      </c>
      <c r="AR49" s="207"/>
      <c r="AS49" s="220">
        <v>18148</v>
      </c>
      <c r="AT49" s="207">
        <v>0</v>
      </c>
      <c r="AU49" s="220">
        <v>0</v>
      </c>
      <c r="AV49" s="220">
        <v>0</v>
      </c>
      <c r="AW49" s="207"/>
      <c r="AX49" s="220">
        <v>0</v>
      </c>
      <c r="AY49" s="115">
        <f t="shared" si="37"/>
        <v>18148</v>
      </c>
      <c r="AZ49" s="352">
        <v>190038</v>
      </c>
      <c r="BA49" s="109">
        <f t="shared" si="52"/>
        <v>1.3723434216512489</v>
      </c>
      <c r="BB49" s="352">
        <v>6678</v>
      </c>
      <c r="BC49" s="352">
        <v>30379</v>
      </c>
      <c r="BD49">
        <v>132</v>
      </c>
      <c r="BE49" s="352">
        <v>2416</v>
      </c>
      <c r="BF49" s="352">
        <v>148801</v>
      </c>
      <c r="BG49" s="221">
        <v>0</v>
      </c>
      <c r="BH49" s="221">
        <v>89</v>
      </c>
      <c r="BI49" s="205">
        <v>0</v>
      </c>
      <c r="BJ49">
        <v>92</v>
      </c>
      <c r="BK49" s="352">
        <v>383550</v>
      </c>
      <c r="BL49" s="109">
        <f t="shared" si="53"/>
        <v>2.7697740418986547</v>
      </c>
      <c r="BM49">
        <v>22</v>
      </c>
      <c r="BN49" s="352">
        <v>51145</v>
      </c>
      <c r="BO49" s="109">
        <f t="shared" si="54"/>
        <v>0.36933931266564124</v>
      </c>
      <c r="BP49" s="352">
        <v>97628</v>
      </c>
      <c r="BQ49" s="205">
        <v>0</v>
      </c>
      <c r="BR49" s="356">
        <f t="shared" si="38"/>
        <v>241897</v>
      </c>
      <c r="BS49" s="352">
        <v>135819</v>
      </c>
      <c r="BT49" s="352">
        <v>377716</v>
      </c>
      <c r="BU49" s="109">
        <f t="shared" si="55"/>
        <v>2.7276443019418388</v>
      </c>
      <c r="BV49" s="108">
        <f t="shared" si="66"/>
        <v>12243.630470016207</v>
      </c>
      <c r="BW49" s="109">
        <f t="shared" si="56"/>
        <v>131.60836236933798</v>
      </c>
      <c r="BX49" s="109">
        <f t="shared" si="57"/>
        <v>4.0136865482907753</v>
      </c>
      <c r="BY49" s="109">
        <f t="shared" si="65"/>
        <v>0.98478946682309998</v>
      </c>
      <c r="BZ49">
        <v>1</v>
      </c>
      <c r="CA49">
        <v>0</v>
      </c>
      <c r="CB49">
        <v>0</v>
      </c>
      <c r="CC49" s="113">
        <f t="shared" si="41"/>
        <v>1</v>
      </c>
      <c r="CD49">
        <v>240</v>
      </c>
      <c r="CE49">
        <v>0</v>
      </c>
      <c r="CF49">
        <v>83</v>
      </c>
      <c r="CG49" s="116">
        <f t="shared" si="42"/>
        <v>323</v>
      </c>
      <c r="CH49" s="109">
        <f t="shared" si="58"/>
        <v>2.3325173133444542E-3</v>
      </c>
      <c r="CI49" s="352">
        <v>94107</v>
      </c>
      <c r="CJ49" s="109">
        <f t="shared" si="59"/>
        <v>0.67958577958794597</v>
      </c>
      <c r="CK49" s="352">
        <v>69090</v>
      </c>
      <c r="CL49" s="208" t="s">
        <v>7</v>
      </c>
      <c r="CM49" s="208" t="s">
        <v>7</v>
      </c>
      <c r="CN49" s="208" t="s">
        <v>7</v>
      </c>
      <c r="CO49">
        <v>6</v>
      </c>
      <c r="CP49" s="209">
        <v>0</v>
      </c>
      <c r="CQ49">
        <v>1</v>
      </c>
      <c r="CR49">
        <v>23.85</v>
      </c>
      <c r="CS49">
        <v>30.85</v>
      </c>
      <c r="CT49" s="108">
        <f t="shared" si="67"/>
        <v>4488.7196110210698</v>
      </c>
      <c r="CU49">
        <v>165</v>
      </c>
      <c r="CV49" s="353">
        <v>71988</v>
      </c>
      <c r="CW49" s="209">
        <v>21</v>
      </c>
      <c r="CX49" s="208" t="s">
        <v>7</v>
      </c>
      <c r="CY49" s="208" t="s">
        <v>7</v>
      </c>
      <c r="CZ49" s="352">
        <v>15778</v>
      </c>
      <c r="DA49" s="352">
        <v>18606</v>
      </c>
      <c r="DB49">
        <v>61</v>
      </c>
      <c r="DC49" s="352">
        <v>8232</v>
      </c>
      <c r="DD49" s="352">
        <v>15655</v>
      </c>
      <c r="DE49" s="352">
        <v>86660</v>
      </c>
      <c r="DF49" s="205">
        <v>3949</v>
      </c>
      <c r="DG49" s="205">
        <v>49</v>
      </c>
      <c r="DH49" s="209">
        <f t="shared" si="60"/>
        <v>2.8517371115780961E-2</v>
      </c>
      <c r="DI49" s="205">
        <v>42</v>
      </c>
      <c r="DJ49" s="205">
        <v>20</v>
      </c>
      <c r="DL49" s="343">
        <v>2870</v>
      </c>
      <c r="DM49" s="204"/>
      <c r="DN49" t="s">
        <v>1077</v>
      </c>
      <c r="DO49" t="s">
        <v>125</v>
      </c>
      <c r="DP49" s="208"/>
      <c r="DQ49" s="206"/>
      <c r="DR49" s="368" t="s">
        <v>998</v>
      </c>
      <c r="DS49" s="204" t="s">
        <v>998</v>
      </c>
      <c r="DT49" s="227">
        <v>44013</v>
      </c>
      <c r="DU49" s="227">
        <v>44377</v>
      </c>
      <c r="DV49" t="s">
        <v>1212</v>
      </c>
      <c r="DW49" s="109">
        <f t="shared" si="61"/>
        <v>0.70501238472814975</v>
      </c>
      <c r="DX49" s="109">
        <f t="shared" si="62"/>
        <v>0</v>
      </c>
      <c r="DY49" s="109">
        <f t="shared" si="63"/>
        <v>1.7468388252200726</v>
      </c>
      <c r="DZ49" s="109">
        <f t="shared" si="64"/>
        <v>0.9808054767217661</v>
      </c>
      <c r="EA49" s="110">
        <f t="shared" si="68"/>
        <v>0.52068330756203518</v>
      </c>
      <c r="EB49" s="199">
        <f t="shared" si="43"/>
        <v>1.0976152084759865</v>
      </c>
    </row>
    <row r="50" spans="1:132" ht="30.75" x14ac:dyDescent="0.3">
      <c r="A50" s="216" t="s">
        <v>1139</v>
      </c>
      <c r="B50" t="s">
        <v>1213</v>
      </c>
      <c r="C50" s="352">
        <v>10965</v>
      </c>
      <c r="D50"/>
      <c r="E50"/>
      <c r="F50" s="221">
        <v>13457</v>
      </c>
      <c r="H50" s="108">
        <f t="shared" si="0"/>
        <v>13457</v>
      </c>
      <c r="I50" s="109">
        <v>0.4037</v>
      </c>
      <c r="J50" s="220">
        <v>311710</v>
      </c>
      <c r="K50" s="220">
        <v>157400</v>
      </c>
      <c r="L50" s="115">
        <f t="shared" si="31"/>
        <v>469110</v>
      </c>
      <c r="M50" s="110">
        <f t="shared" si="46"/>
        <v>42.782489740082077</v>
      </c>
      <c r="N50" s="220">
        <v>60694</v>
      </c>
      <c r="O50" s="220">
        <v>43700</v>
      </c>
      <c r="P50" s="220">
        <v>0</v>
      </c>
      <c r="Q50" s="220">
        <v>104394</v>
      </c>
      <c r="R50" s="110">
        <f t="shared" si="47"/>
        <v>9.5206566347469224</v>
      </c>
      <c r="S50" s="220">
        <v>134000</v>
      </c>
      <c r="T50" s="220">
        <v>707504</v>
      </c>
      <c r="U50" s="207">
        <v>0</v>
      </c>
      <c r="V50" s="220">
        <v>707504</v>
      </c>
      <c r="W50" s="110">
        <f t="shared" si="48"/>
        <v>64.523848609211129</v>
      </c>
      <c r="X50" s="111">
        <f t="shared" si="32"/>
        <v>0.66304925484520227</v>
      </c>
      <c r="Y50" s="111">
        <f t="shared" si="33"/>
        <v>0.14755252267124991</v>
      </c>
      <c r="Z50" s="111">
        <f t="shared" si="34"/>
        <v>0.18939822248354779</v>
      </c>
      <c r="AA50" s="111">
        <f t="shared" si="35"/>
        <v>0</v>
      </c>
      <c r="AB50" s="220">
        <v>176000</v>
      </c>
      <c r="AE50" s="207"/>
      <c r="AF50" s="353">
        <v>683123</v>
      </c>
      <c r="AG50" s="353">
        <v>67500</v>
      </c>
      <c r="AH50" s="207"/>
      <c r="AI50" s="115">
        <f t="shared" si="49"/>
        <v>750623</v>
      </c>
      <c r="AJ50" s="110">
        <f t="shared" si="50"/>
        <v>68.456269949840404</v>
      </c>
      <c r="AK50" s="353">
        <v>10794</v>
      </c>
      <c r="AL50" s="207">
        <v>0</v>
      </c>
      <c r="AM50" s="353"/>
      <c r="AN50" s="353">
        <v>0</v>
      </c>
      <c r="AO50" s="115">
        <f t="shared" si="36"/>
        <v>0</v>
      </c>
      <c r="AP50" s="353">
        <v>761417</v>
      </c>
      <c r="AQ50" s="112">
        <f t="shared" si="51"/>
        <v>69.440674874601001</v>
      </c>
      <c r="AR50" s="207"/>
      <c r="AS50" s="220">
        <v>0</v>
      </c>
      <c r="AT50" s="207">
        <v>0</v>
      </c>
      <c r="AU50" s="220">
        <v>400000</v>
      </c>
      <c r="AV50" s="220">
        <v>0</v>
      </c>
      <c r="AW50" s="207"/>
      <c r="AX50" s="220">
        <v>0</v>
      </c>
      <c r="AY50" s="115">
        <f t="shared" si="37"/>
        <v>400000</v>
      </c>
      <c r="AZ50" s="352">
        <v>40554</v>
      </c>
      <c r="BA50" s="109">
        <f t="shared" si="52"/>
        <v>3.6984952120383037</v>
      </c>
      <c r="BB50">
        <v>605</v>
      </c>
      <c r="BC50" s="352">
        <v>30111</v>
      </c>
      <c r="BD50" s="352">
        <v>3099</v>
      </c>
      <c r="BE50" s="352">
        <v>2443</v>
      </c>
      <c r="BF50" s="352">
        <v>166680</v>
      </c>
      <c r="BG50" s="221">
        <v>6</v>
      </c>
      <c r="BH50" s="221">
        <v>89</v>
      </c>
      <c r="BI50" s="205">
        <v>0</v>
      </c>
      <c r="BJ50">
        <v>88</v>
      </c>
      <c r="BK50" s="352">
        <v>250503</v>
      </c>
      <c r="BL50" s="109">
        <f t="shared" si="53"/>
        <v>22.845690834473324</v>
      </c>
      <c r="BM50">
        <v>68</v>
      </c>
      <c r="BN50">
        <v>-1</v>
      </c>
      <c r="BO50" s="109">
        <f t="shared" si="54"/>
        <v>-9.1199270405836752E-5</v>
      </c>
      <c r="BP50" s="352">
        <v>14040</v>
      </c>
      <c r="BQ50" s="205">
        <v>0</v>
      </c>
      <c r="BR50" s="356">
        <f t="shared" si="38"/>
        <v>35149</v>
      </c>
      <c r="BS50" s="352">
        <v>22327</v>
      </c>
      <c r="BT50" s="352">
        <v>57476</v>
      </c>
      <c r="BU50" s="109">
        <f t="shared" si="55"/>
        <v>5.241769265845873</v>
      </c>
      <c r="BV50" s="108">
        <f t="shared" si="66"/>
        <v>7916.8044077134991</v>
      </c>
      <c r="BW50" s="109">
        <f t="shared" si="56"/>
        <v>10.465404224326292</v>
      </c>
      <c r="BX50" s="109">
        <f t="shared" si="57"/>
        <v>1.9274312541918175</v>
      </c>
      <c r="BY50" s="109">
        <f t="shared" si="65"/>
        <v>0.22944236196772094</v>
      </c>
      <c r="BZ50">
        <v>3</v>
      </c>
      <c r="CA50">
        <v>0</v>
      </c>
      <c r="CB50">
        <v>2</v>
      </c>
      <c r="CC50" s="113">
        <f t="shared" si="41"/>
        <v>5</v>
      </c>
      <c r="CD50" s="352">
        <v>2594</v>
      </c>
      <c r="CE50">
        <v>0</v>
      </c>
      <c r="CF50">
        <v>70</v>
      </c>
      <c r="CG50" s="116">
        <f t="shared" si="42"/>
        <v>2664</v>
      </c>
      <c r="CH50" s="109">
        <f t="shared" si="58"/>
        <v>0.24295485636114911</v>
      </c>
      <c r="CI50" s="352">
        <v>29820</v>
      </c>
      <c r="CJ50" s="109">
        <f t="shared" si="59"/>
        <v>2.7195622435020521</v>
      </c>
      <c r="CK50" s="352">
        <v>8473</v>
      </c>
      <c r="CL50" s="208" t="s">
        <v>7</v>
      </c>
      <c r="CM50" s="208" t="s">
        <v>7</v>
      </c>
      <c r="CN50" s="208" t="s">
        <v>7</v>
      </c>
      <c r="CO50">
        <v>1</v>
      </c>
      <c r="CP50" s="209">
        <v>0</v>
      </c>
      <c r="CQ50">
        <v>0</v>
      </c>
      <c r="CR50">
        <v>6.26</v>
      </c>
      <c r="CS50">
        <v>7.26</v>
      </c>
      <c r="CT50" s="108">
        <f t="shared" si="67"/>
        <v>1510.3305785123966</v>
      </c>
      <c r="CU50">
        <v>0</v>
      </c>
      <c r="CV50" s="353">
        <v>58000</v>
      </c>
      <c r="CW50" s="209">
        <v>40</v>
      </c>
      <c r="CX50" s="208" t="s">
        <v>7</v>
      </c>
      <c r="CY50" s="208" t="s">
        <v>7</v>
      </c>
      <c r="CZ50" s="352">
        <v>4580</v>
      </c>
      <c r="DA50" s="352">
        <v>3987</v>
      </c>
      <c r="DB50">
        <v>29</v>
      </c>
      <c r="DC50" s="352">
        <v>5400</v>
      </c>
      <c r="DD50" s="352">
        <v>26810</v>
      </c>
      <c r="DE50" s="352">
        <v>39962</v>
      </c>
      <c r="DF50" s="205">
        <v>7735</v>
      </c>
      <c r="DG50" s="205">
        <v>51</v>
      </c>
      <c r="DH50" s="209">
        <f t="shared" si="60"/>
        <v>0.70542635658914732</v>
      </c>
      <c r="DI50" s="205">
        <v>50</v>
      </c>
      <c r="DJ50" s="205">
        <v>50</v>
      </c>
      <c r="DK50" s="108">
        <v>3533</v>
      </c>
      <c r="DL50" s="343">
        <v>5492</v>
      </c>
      <c r="DM50" s="204"/>
      <c r="DN50" t="s">
        <v>1078</v>
      </c>
      <c r="DO50" t="s">
        <v>1031</v>
      </c>
      <c r="DP50" s="208"/>
      <c r="DQ50" s="206"/>
      <c r="DR50" s="367" t="s">
        <v>1278</v>
      </c>
      <c r="DS50" s="204" t="s">
        <v>975</v>
      </c>
      <c r="DT50" s="227">
        <v>44013</v>
      </c>
      <c r="DU50" s="227">
        <v>44377</v>
      </c>
      <c r="DV50" t="s">
        <v>1213</v>
      </c>
      <c r="DW50" s="109">
        <f t="shared" si="61"/>
        <v>1.2804377564979481</v>
      </c>
      <c r="DX50" s="109">
        <f t="shared" si="62"/>
        <v>0</v>
      </c>
      <c r="DY50" s="109">
        <f t="shared" si="63"/>
        <v>3.2055631554947559</v>
      </c>
      <c r="DZ50" s="109">
        <f t="shared" si="64"/>
        <v>2.0362061103511171</v>
      </c>
      <c r="EA50" s="110">
        <f t="shared" si="68"/>
        <v>1.2338937567342292</v>
      </c>
      <c r="EB50" s="199">
        <f t="shared" si="43"/>
        <v>1.9572714650423255</v>
      </c>
    </row>
    <row r="51" spans="1:132" ht="16.5" x14ac:dyDescent="0.3">
      <c r="A51" s="216" t="s">
        <v>999</v>
      </c>
      <c r="B51" t="s">
        <v>1214</v>
      </c>
      <c r="C51" s="352">
        <v>61141</v>
      </c>
      <c r="D51">
        <v>1</v>
      </c>
      <c r="E51"/>
      <c r="F51" s="221">
        <v>19578</v>
      </c>
      <c r="H51" s="108">
        <f t="shared" si="0"/>
        <v>19578</v>
      </c>
      <c r="I51" s="109">
        <v>0.95728999999999997</v>
      </c>
      <c r="J51" s="220">
        <v>378222</v>
      </c>
      <c r="K51" s="220">
        <v>109334</v>
      </c>
      <c r="L51" s="115">
        <f t="shared" si="31"/>
        <v>487556</v>
      </c>
      <c r="M51" s="110">
        <f t="shared" si="46"/>
        <v>7.9742889386827169</v>
      </c>
      <c r="N51" s="220">
        <v>40755</v>
      </c>
      <c r="O51" s="220">
        <v>8700</v>
      </c>
      <c r="P51" s="220">
        <v>8614</v>
      </c>
      <c r="Q51" s="220">
        <v>58069</v>
      </c>
      <c r="R51" s="110">
        <f t="shared" si="47"/>
        <v>0.94975548322729431</v>
      </c>
      <c r="S51" s="220">
        <v>98892</v>
      </c>
      <c r="T51" s="220">
        <v>644517</v>
      </c>
      <c r="U51" s="207">
        <v>0</v>
      </c>
      <c r="V51" s="220">
        <v>644517</v>
      </c>
      <c r="W51" s="110">
        <f t="shared" si="48"/>
        <v>10.54148607317512</v>
      </c>
      <c r="X51" s="111">
        <f t="shared" si="32"/>
        <v>0.75646724601523307</v>
      </c>
      <c r="Y51" s="111">
        <f t="shared" si="33"/>
        <v>9.0096925294445296E-2</v>
      </c>
      <c r="Z51" s="111">
        <f t="shared" si="34"/>
        <v>0.1534358286903216</v>
      </c>
      <c r="AA51" s="111">
        <f t="shared" si="35"/>
        <v>0</v>
      </c>
      <c r="AB51" s="220">
        <v>4875</v>
      </c>
      <c r="AE51" s="207"/>
      <c r="AF51" s="353">
        <v>0</v>
      </c>
      <c r="AG51" s="353">
        <v>514878</v>
      </c>
      <c r="AH51" s="207"/>
      <c r="AI51" s="115">
        <f t="shared" si="49"/>
        <v>514878</v>
      </c>
      <c r="AJ51" s="110">
        <f t="shared" si="50"/>
        <v>8.4211576519847569</v>
      </c>
      <c r="AK51" s="353">
        <v>113249</v>
      </c>
      <c r="AL51" s="207">
        <v>14941</v>
      </c>
      <c r="AM51" s="353"/>
      <c r="AN51" s="353">
        <v>5384</v>
      </c>
      <c r="AO51" s="115">
        <f t="shared" si="36"/>
        <v>5384</v>
      </c>
      <c r="AP51" s="353">
        <v>644517</v>
      </c>
      <c r="AQ51" s="112">
        <f t="shared" si="51"/>
        <v>10.54148607317512</v>
      </c>
      <c r="AR51" s="207"/>
      <c r="AS51" s="220">
        <v>13235</v>
      </c>
      <c r="AT51" s="207">
        <v>0</v>
      </c>
      <c r="AU51" s="220">
        <v>0</v>
      </c>
      <c r="AV51" s="220">
        <v>0</v>
      </c>
      <c r="AW51" s="207"/>
      <c r="AX51" s="220">
        <v>0</v>
      </c>
      <c r="AY51" s="115">
        <f t="shared" si="37"/>
        <v>13235</v>
      </c>
      <c r="AZ51" s="352">
        <v>108707</v>
      </c>
      <c r="BA51" s="109">
        <f t="shared" si="52"/>
        <v>1.7779722281284245</v>
      </c>
      <c r="BB51" s="352">
        <v>3526</v>
      </c>
      <c r="BC51" s="352">
        <v>30111</v>
      </c>
      <c r="BD51" s="352">
        <v>7084</v>
      </c>
      <c r="BE51" s="352">
        <v>2443</v>
      </c>
      <c r="BF51" s="352">
        <v>166680</v>
      </c>
      <c r="BG51" s="221">
        <v>1</v>
      </c>
      <c r="BH51" s="221">
        <v>89</v>
      </c>
      <c r="BI51" s="205">
        <v>0</v>
      </c>
      <c r="BJ51">
        <v>86</v>
      </c>
      <c r="BK51" s="352">
        <v>322616</v>
      </c>
      <c r="BL51" s="109">
        <f t="shared" si="53"/>
        <v>5.2765901768044357</v>
      </c>
      <c r="BM51">
        <v>73</v>
      </c>
      <c r="BN51" s="352">
        <v>19786</v>
      </c>
      <c r="BO51" s="109">
        <f t="shared" si="54"/>
        <v>0.32361263309399585</v>
      </c>
      <c r="BP51" s="352">
        <v>28664</v>
      </c>
      <c r="BQ51" s="205">
        <v>0</v>
      </c>
      <c r="BR51" s="356">
        <f t="shared" si="38"/>
        <v>56312</v>
      </c>
      <c r="BS51" s="352">
        <v>84395</v>
      </c>
      <c r="BT51" s="352">
        <v>140707</v>
      </c>
      <c r="BU51" s="109">
        <f t="shared" si="55"/>
        <v>2.3013526111774425</v>
      </c>
      <c r="BV51" s="108">
        <f t="shared" si="66"/>
        <v>17588.375</v>
      </c>
      <c r="BW51" s="109">
        <f t="shared" si="56"/>
        <v>21.835350713842335</v>
      </c>
      <c r="BX51" s="109">
        <f t="shared" si="57"/>
        <v>9.2109845509295631</v>
      </c>
      <c r="BY51" s="109">
        <f t="shared" si="65"/>
        <v>0.43614389862871028</v>
      </c>
      <c r="BZ51">
        <v>63</v>
      </c>
      <c r="CA51">
        <v>0</v>
      </c>
      <c r="CB51">
        <v>10</v>
      </c>
      <c r="CC51" s="113">
        <f t="shared" si="41"/>
        <v>73</v>
      </c>
      <c r="CD51" s="352">
        <v>5449</v>
      </c>
      <c r="CE51">
        <v>0</v>
      </c>
      <c r="CF51">
        <v>57</v>
      </c>
      <c r="CG51" s="116">
        <f t="shared" si="42"/>
        <v>5506</v>
      </c>
      <c r="CH51" s="109">
        <f t="shared" si="58"/>
        <v>9.0054137158371628E-2</v>
      </c>
      <c r="CI51" s="352">
        <v>15276</v>
      </c>
      <c r="CJ51" s="109">
        <f t="shared" si="59"/>
        <v>0.24984871035802489</v>
      </c>
      <c r="CK51" s="352">
        <v>23308</v>
      </c>
      <c r="CL51" s="208" t="s">
        <v>7</v>
      </c>
      <c r="CM51" s="208" t="s">
        <v>7</v>
      </c>
      <c r="CN51" s="208" t="s">
        <v>7</v>
      </c>
      <c r="CO51">
        <v>3</v>
      </c>
      <c r="CP51" s="209">
        <v>0</v>
      </c>
      <c r="CQ51">
        <v>0</v>
      </c>
      <c r="CR51">
        <v>5</v>
      </c>
      <c r="CS51">
        <v>8</v>
      </c>
      <c r="CT51" s="108">
        <f t="shared" si="67"/>
        <v>7642.625</v>
      </c>
      <c r="CU51">
        <v>245</v>
      </c>
      <c r="CV51" s="353">
        <v>82053</v>
      </c>
      <c r="CW51" s="209">
        <v>40</v>
      </c>
      <c r="CX51" s="208" t="s">
        <v>7</v>
      </c>
      <c r="CY51" s="208" t="s">
        <v>7</v>
      </c>
      <c r="CZ51" s="352">
        <v>8233</v>
      </c>
      <c r="DA51" s="352">
        <v>4990</v>
      </c>
      <c r="DB51">
        <v>15</v>
      </c>
      <c r="DC51" s="352">
        <v>2998</v>
      </c>
      <c r="DD51" s="352">
        <v>4192</v>
      </c>
      <c r="DE51" s="352">
        <v>37588</v>
      </c>
      <c r="DF51" s="205">
        <v>7272</v>
      </c>
      <c r="DG51" s="205">
        <v>52</v>
      </c>
      <c r="DH51" s="209">
        <f t="shared" si="60"/>
        <v>0.1189381920478893</v>
      </c>
      <c r="DI51" s="205">
        <v>39</v>
      </c>
      <c r="DJ51" s="205">
        <v>39</v>
      </c>
      <c r="DL51" s="343">
        <v>6444</v>
      </c>
      <c r="DM51" s="204"/>
      <c r="DN51" t="s">
        <v>1079</v>
      </c>
      <c r="DO51" t="s">
        <v>125</v>
      </c>
      <c r="DP51" s="208"/>
      <c r="DQ51" s="206"/>
      <c r="DR51" s="368" t="s">
        <v>999</v>
      </c>
      <c r="DS51" s="204" t="s">
        <v>999</v>
      </c>
      <c r="DT51" s="227">
        <v>44013</v>
      </c>
      <c r="DU51" s="227">
        <v>44377</v>
      </c>
      <c r="DV51" t="s">
        <v>1214</v>
      </c>
      <c r="DW51" s="109">
        <f t="shared" si="61"/>
        <v>0.46881797811615772</v>
      </c>
      <c r="DX51" s="109">
        <f t="shared" si="62"/>
        <v>0</v>
      </c>
      <c r="DY51" s="109">
        <f t="shared" si="63"/>
        <v>0.92101862907050913</v>
      </c>
      <c r="DZ51" s="109">
        <f t="shared" si="64"/>
        <v>1.3803339821069331</v>
      </c>
      <c r="EA51" s="110">
        <f t="shared" si="68"/>
        <v>0.47960600640180756</v>
      </c>
      <c r="EB51" s="199">
        <f t="shared" si="43"/>
        <v>0.10308667575093311</v>
      </c>
    </row>
    <row r="52" spans="1:132" ht="16.5" x14ac:dyDescent="0.3">
      <c r="A52" s="216" t="s">
        <v>1000</v>
      </c>
      <c r="B52" t="s">
        <v>1215</v>
      </c>
      <c r="C52" s="352">
        <v>86909</v>
      </c>
      <c r="D52">
        <v>2</v>
      </c>
      <c r="E52"/>
      <c r="F52" s="221">
        <v>34156</v>
      </c>
      <c r="H52" s="108">
        <f t="shared" si="0"/>
        <v>34156</v>
      </c>
      <c r="I52" s="109">
        <v>0.48082000000000003</v>
      </c>
      <c r="J52" s="220">
        <v>836260</v>
      </c>
      <c r="K52" s="220">
        <v>359031</v>
      </c>
      <c r="L52" s="115">
        <f t="shared" si="31"/>
        <v>1195291</v>
      </c>
      <c r="M52" s="110">
        <f t="shared" si="46"/>
        <v>13.753362712722502</v>
      </c>
      <c r="N52" s="220">
        <v>184767</v>
      </c>
      <c r="O52" s="220">
        <v>121999</v>
      </c>
      <c r="P52" s="220">
        <v>18998</v>
      </c>
      <c r="Q52" s="220">
        <v>325764</v>
      </c>
      <c r="R52" s="110">
        <f t="shared" si="47"/>
        <v>3.748334464785005</v>
      </c>
      <c r="S52" s="220">
        <v>526174</v>
      </c>
      <c r="T52" s="220">
        <v>2047229</v>
      </c>
      <c r="U52" s="207">
        <v>0</v>
      </c>
      <c r="V52" s="220">
        <v>2047229</v>
      </c>
      <c r="W52" s="110">
        <f t="shared" si="48"/>
        <v>23.556006857747761</v>
      </c>
      <c r="X52" s="111">
        <f t="shared" si="32"/>
        <v>0.58385798559907076</v>
      </c>
      <c r="Y52" s="111">
        <f t="shared" si="33"/>
        <v>0.15912435785151538</v>
      </c>
      <c r="Z52" s="111">
        <f t="shared" si="34"/>
        <v>0.25701765654941389</v>
      </c>
      <c r="AA52" s="111">
        <f t="shared" si="35"/>
        <v>0</v>
      </c>
      <c r="AB52" s="220">
        <v>0</v>
      </c>
      <c r="AE52" s="207"/>
      <c r="AF52" s="353">
        <v>0</v>
      </c>
      <c r="AG52" s="353">
        <v>1989149</v>
      </c>
      <c r="AH52" s="207"/>
      <c r="AI52" s="115">
        <f t="shared" si="49"/>
        <v>1989149</v>
      </c>
      <c r="AJ52" s="110">
        <f t="shared" si="50"/>
        <v>22.887721639876194</v>
      </c>
      <c r="AK52" s="353">
        <v>121434</v>
      </c>
      <c r="AL52" s="207">
        <v>5919</v>
      </c>
      <c r="AM52" s="353"/>
      <c r="AN52" s="353">
        <v>0</v>
      </c>
      <c r="AO52" s="115">
        <f t="shared" si="36"/>
        <v>0</v>
      </c>
      <c r="AP52" s="353">
        <v>2162849</v>
      </c>
      <c r="AQ52" s="112">
        <f t="shared" si="51"/>
        <v>24.886363897870186</v>
      </c>
      <c r="AR52" s="207"/>
      <c r="AS52" s="220">
        <v>0</v>
      </c>
      <c r="AT52" s="207">
        <v>0</v>
      </c>
      <c r="AU52" s="220">
        <v>0</v>
      </c>
      <c r="AV52" s="220">
        <v>0</v>
      </c>
      <c r="AW52" s="207"/>
      <c r="AX52" s="220">
        <v>0</v>
      </c>
      <c r="AY52" s="115">
        <f t="shared" si="37"/>
        <v>0</v>
      </c>
      <c r="AZ52" s="352">
        <v>125990</v>
      </c>
      <c r="BA52" s="109">
        <f t="shared" si="52"/>
        <v>1.4496772486163689</v>
      </c>
      <c r="BB52" s="352">
        <v>6493</v>
      </c>
      <c r="BC52" s="352">
        <v>52716</v>
      </c>
      <c r="BD52" s="352">
        <v>11091</v>
      </c>
      <c r="BE52" s="352">
        <v>2613</v>
      </c>
      <c r="BF52" s="352">
        <v>208355</v>
      </c>
      <c r="BG52" s="221">
        <v>4</v>
      </c>
      <c r="BH52" s="221">
        <v>89</v>
      </c>
      <c r="BI52" s="205">
        <v>0</v>
      </c>
      <c r="BJ52">
        <v>90</v>
      </c>
      <c r="BK52" s="352">
        <v>412125</v>
      </c>
      <c r="BL52" s="109">
        <f t="shared" si="53"/>
        <v>4.7420290188588066</v>
      </c>
      <c r="BM52">
        <v>87</v>
      </c>
      <c r="BN52" s="352">
        <v>29587</v>
      </c>
      <c r="BO52" s="109">
        <f t="shared" si="54"/>
        <v>0.34043654857379557</v>
      </c>
      <c r="BP52" s="352">
        <v>54491</v>
      </c>
      <c r="BQ52" s="205">
        <v>0</v>
      </c>
      <c r="BR52" s="356">
        <f t="shared" si="38"/>
        <v>126195</v>
      </c>
      <c r="BS52" s="352">
        <v>82920</v>
      </c>
      <c r="BT52" s="352">
        <v>209115</v>
      </c>
      <c r="BU52" s="109">
        <f t="shared" si="55"/>
        <v>2.4061374541186757</v>
      </c>
      <c r="BV52" s="108">
        <f t="shared" si="66"/>
        <v>7604.181818181818</v>
      </c>
      <c r="BW52" s="109">
        <f t="shared" si="56"/>
        <v>68.004878048780483</v>
      </c>
      <c r="BX52" s="109">
        <f t="shared" si="57"/>
        <v>5.5957987690660955</v>
      </c>
      <c r="BY52" s="109">
        <f t="shared" si="65"/>
        <v>0.50740673339399456</v>
      </c>
      <c r="BZ52">
        <v>158</v>
      </c>
      <c r="CA52">
        <v>17</v>
      </c>
      <c r="CB52">
        <v>34</v>
      </c>
      <c r="CC52" s="113">
        <f t="shared" si="41"/>
        <v>209</v>
      </c>
      <c r="CD52">
        <v>494</v>
      </c>
      <c r="CE52">
        <v>446</v>
      </c>
      <c r="CF52">
        <v>609</v>
      </c>
      <c r="CG52" s="116">
        <f t="shared" si="42"/>
        <v>1549</v>
      </c>
      <c r="CH52" s="109">
        <f t="shared" si="58"/>
        <v>1.7823240400879081E-2</v>
      </c>
      <c r="CI52" s="352">
        <v>37370</v>
      </c>
      <c r="CJ52" s="109">
        <f t="shared" si="59"/>
        <v>0.42998998952927775</v>
      </c>
      <c r="CK52" s="352">
        <v>53867</v>
      </c>
      <c r="CL52" s="208" t="s">
        <v>7</v>
      </c>
      <c r="CM52" s="208" t="s">
        <v>7</v>
      </c>
      <c r="CN52" s="208" t="s">
        <v>7</v>
      </c>
      <c r="CO52">
        <v>4</v>
      </c>
      <c r="CP52" s="209">
        <v>0</v>
      </c>
      <c r="CQ52">
        <v>3</v>
      </c>
      <c r="CR52">
        <v>20.5</v>
      </c>
      <c r="CS52">
        <v>27.5</v>
      </c>
      <c r="CT52" s="108">
        <f t="shared" si="67"/>
        <v>3160.3272727272729</v>
      </c>
      <c r="CU52">
        <v>0</v>
      </c>
      <c r="CV52" s="353">
        <v>93995</v>
      </c>
      <c r="CW52" s="209">
        <v>40</v>
      </c>
      <c r="CX52" s="208" t="s">
        <v>7</v>
      </c>
      <c r="CY52" s="208" t="s">
        <v>7</v>
      </c>
      <c r="CZ52">
        <v>0</v>
      </c>
      <c r="DA52">
        <v>0</v>
      </c>
      <c r="DB52">
        <v>56</v>
      </c>
      <c r="DC52" s="352">
        <v>4273</v>
      </c>
      <c r="DD52" s="352">
        <v>4159</v>
      </c>
      <c r="DE52" s="352">
        <v>32480</v>
      </c>
      <c r="DF52" s="205">
        <v>4186</v>
      </c>
      <c r="DG52" s="205">
        <v>52</v>
      </c>
      <c r="DH52" s="209">
        <f t="shared" si="60"/>
        <v>4.8165322348663546E-2</v>
      </c>
      <c r="DI52" s="205">
        <v>40</v>
      </c>
      <c r="DJ52" s="205">
        <v>40</v>
      </c>
      <c r="DL52" s="343">
        <v>3075</v>
      </c>
      <c r="DM52" s="204"/>
      <c r="DN52" t="s">
        <v>1080</v>
      </c>
      <c r="DO52" t="s">
        <v>125</v>
      </c>
      <c r="DP52" s="208"/>
      <c r="DQ52" s="206"/>
      <c r="DR52" s="368" t="s">
        <v>1000</v>
      </c>
      <c r="DS52" s="204" t="s">
        <v>1000</v>
      </c>
      <c r="DT52" s="227">
        <v>44013</v>
      </c>
      <c r="DU52" s="227">
        <v>44377</v>
      </c>
      <c r="DV52" t="s">
        <v>1215</v>
      </c>
      <c r="DW52" s="109">
        <f t="shared" si="61"/>
        <v>0.6269891495702401</v>
      </c>
      <c r="DX52" s="109">
        <f t="shared" si="62"/>
        <v>0</v>
      </c>
      <c r="DY52" s="109">
        <f t="shared" si="63"/>
        <v>1.4520360376946</v>
      </c>
      <c r="DZ52" s="109">
        <f t="shared" si="64"/>
        <v>0.95410141642407575</v>
      </c>
      <c r="EA52" s="110">
        <f t="shared" si="68"/>
        <v>1.0225861439181785</v>
      </c>
      <c r="EB52" s="199">
        <f t="shared" si="43"/>
        <v>1.4712855764592379</v>
      </c>
    </row>
    <row r="53" spans="1:132" ht="16.5" x14ac:dyDescent="0.3">
      <c r="A53" s="216" t="s">
        <v>1001</v>
      </c>
      <c r="B53" t="s">
        <v>1216</v>
      </c>
      <c r="C53" s="352">
        <v>22381</v>
      </c>
      <c r="D53"/>
      <c r="E53"/>
      <c r="F53" s="221">
        <v>21561</v>
      </c>
      <c r="H53" s="108">
        <f t="shared" si="0"/>
        <v>21561</v>
      </c>
      <c r="I53" s="109">
        <v>0.82413999999999998</v>
      </c>
      <c r="J53" s="220">
        <v>275939</v>
      </c>
      <c r="K53" s="220">
        <v>99178</v>
      </c>
      <c r="L53" s="115">
        <f t="shared" si="31"/>
        <v>375117</v>
      </c>
      <c r="M53" s="110">
        <f t="shared" si="46"/>
        <v>16.760511147848622</v>
      </c>
      <c r="N53" s="220">
        <v>34422</v>
      </c>
      <c r="O53" s="220">
        <v>8634</v>
      </c>
      <c r="P53" s="220">
        <v>7159</v>
      </c>
      <c r="Q53" s="220">
        <v>50215</v>
      </c>
      <c r="R53" s="110">
        <f t="shared" si="47"/>
        <v>2.2436441624592289</v>
      </c>
      <c r="S53" s="220">
        <v>79100</v>
      </c>
      <c r="T53" s="220">
        <v>504432</v>
      </c>
      <c r="U53" s="207">
        <v>0</v>
      </c>
      <c r="V53" s="220">
        <v>504432</v>
      </c>
      <c r="W53" s="110">
        <f t="shared" si="48"/>
        <v>22.538403109780617</v>
      </c>
      <c r="X53" s="111">
        <f t="shared" si="32"/>
        <v>0.74364235417261393</v>
      </c>
      <c r="Y53" s="111">
        <f t="shared" si="33"/>
        <v>9.9547609985092142E-2</v>
      </c>
      <c r="Z53" s="111">
        <f t="shared" si="34"/>
        <v>0.15681003584229392</v>
      </c>
      <c r="AA53" s="111">
        <f t="shared" si="35"/>
        <v>0</v>
      </c>
      <c r="AB53" s="220">
        <v>5172</v>
      </c>
      <c r="AE53" s="207"/>
      <c r="AF53" s="353">
        <v>16000</v>
      </c>
      <c r="AG53" s="353">
        <v>382565</v>
      </c>
      <c r="AH53" s="207"/>
      <c r="AI53" s="115">
        <f t="shared" si="49"/>
        <v>398565</v>
      </c>
      <c r="AJ53" s="110">
        <f t="shared" si="50"/>
        <v>17.808185514498906</v>
      </c>
      <c r="AK53" s="353">
        <v>80746</v>
      </c>
      <c r="AL53" s="207">
        <v>2239</v>
      </c>
      <c r="AM53" s="353"/>
      <c r="AN53" s="353">
        <v>21077</v>
      </c>
      <c r="AO53" s="115">
        <f t="shared" si="36"/>
        <v>21077</v>
      </c>
      <c r="AP53" s="353">
        <v>504432</v>
      </c>
      <c r="AQ53" s="112">
        <f t="shared" si="51"/>
        <v>22.538403109780617</v>
      </c>
      <c r="AR53" s="207"/>
      <c r="AS53" s="220">
        <v>558409</v>
      </c>
      <c r="AT53" s="207">
        <v>0</v>
      </c>
      <c r="AU53" s="220">
        <v>0</v>
      </c>
      <c r="AV53" s="220">
        <v>0</v>
      </c>
      <c r="AW53" s="207"/>
      <c r="AX53" s="220">
        <v>0</v>
      </c>
      <c r="AY53" s="115">
        <f t="shared" si="37"/>
        <v>558409</v>
      </c>
      <c r="AZ53" s="352">
        <v>48041</v>
      </c>
      <c r="BA53" s="109">
        <f t="shared" si="52"/>
        <v>2.1465081989187258</v>
      </c>
      <c r="BB53" s="352">
        <v>3308</v>
      </c>
      <c r="BC53" s="352">
        <v>30111</v>
      </c>
      <c r="BD53" s="352">
        <v>6670</v>
      </c>
      <c r="BE53" s="352">
        <v>2443</v>
      </c>
      <c r="BF53" s="352">
        <v>166680</v>
      </c>
      <c r="BG53" s="221">
        <v>12</v>
      </c>
      <c r="BH53" s="221">
        <v>89</v>
      </c>
      <c r="BI53" s="205">
        <v>0</v>
      </c>
      <c r="BJ53">
        <v>87</v>
      </c>
      <c r="BK53" s="352">
        <v>261264</v>
      </c>
      <c r="BL53" s="109">
        <f t="shared" si="53"/>
        <v>11.673473035163754</v>
      </c>
      <c r="BM53">
        <v>28</v>
      </c>
      <c r="BN53" s="352">
        <v>7991</v>
      </c>
      <c r="BO53" s="109">
        <f t="shared" si="54"/>
        <v>0.35704392118314643</v>
      </c>
      <c r="BP53" s="352">
        <v>36856</v>
      </c>
      <c r="BQ53" s="205">
        <v>0</v>
      </c>
      <c r="BR53" s="356">
        <f t="shared" si="38"/>
        <v>87054</v>
      </c>
      <c r="BS53" s="352">
        <v>32404</v>
      </c>
      <c r="BT53" s="352">
        <v>119458</v>
      </c>
      <c r="BU53" s="109">
        <f t="shared" si="55"/>
        <v>5.3374737500558513</v>
      </c>
      <c r="BV53" s="108">
        <f t="shared" si="66"/>
        <v>12115.415821501016</v>
      </c>
      <c r="BW53" s="109">
        <f t="shared" si="56"/>
        <v>49.383216205043404</v>
      </c>
      <c r="BX53" s="109">
        <f t="shared" si="57"/>
        <v>1.9978258688162691</v>
      </c>
      <c r="BY53" s="109">
        <f t="shared" si="65"/>
        <v>0.45723100006124073</v>
      </c>
      <c r="BZ53">
        <v>28</v>
      </c>
      <c r="CA53">
        <v>11</v>
      </c>
      <c r="CB53">
        <v>46</v>
      </c>
      <c r="CC53" s="113">
        <f t="shared" si="41"/>
        <v>85</v>
      </c>
      <c r="CD53" s="352">
        <v>1964</v>
      </c>
      <c r="CE53">
        <v>105</v>
      </c>
      <c r="CF53">
        <v>0</v>
      </c>
      <c r="CG53" s="116">
        <f t="shared" si="42"/>
        <v>2069</v>
      </c>
      <c r="CH53" s="109">
        <f t="shared" si="58"/>
        <v>9.2444484160671997E-2</v>
      </c>
      <c r="CI53" s="352">
        <v>59794</v>
      </c>
      <c r="CJ53" s="109">
        <f t="shared" si="59"/>
        <v>2.6716411241678211</v>
      </c>
      <c r="CK53" s="352">
        <v>11591</v>
      </c>
      <c r="CL53" s="208" t="s">
        <v>7</v>
      </c>
      <c r="CM53" s="208" t="s">
        <v>7</v>
      </c>
      <c r="CN53" s="208" t="s">
        <v>7</v>
      </c>
      <c r="CO53">
        <v>2.73</v>
      </c>
      <c r="CP53" s="209">
        <v>0</v>
      </c>
      <c r="CQ53">
        <v>0</v>
      </c>
      <c r="CR53">
        <v>7.13</v>
      </c>
      <c r="CS53">
        <v>9.86</v>
      </c>
      <c r="CT53" s="108">
        <f t="shared" si="67"/>
        <v>2269.8782961460447</v>
      </c>
      <c r="CU53" s="352">
        <v>3526</v>
      </c>
      <c r="CV53" s="353">
        <v>56000</v>
      </c>
      <c r="CW53" s="209">
        <v>30</v>
      </c>
      <c r="CX53" s="208" t="s">
        <v>7</v>
      </c>
      <c r="CY53" s="208" t="s">
        <v>7</v>
      </c>
      <c r="CZ53" s="352">
        <v>6665</v>
      </c>
      <c r="DA53" s="352">
        <v>6565</v>
      </c>
      <c r="DB53">
        <v>60</v>
      </c>
      <c r="DC53" s="352">
        <v>3888</v>
      </c>
      <c r="DD53" s="352">
        <v>30765</v>
      </c>
      <c r="DE53" s="352">
        <v>21066</v>
      </c>
      <c r="DF53" s="205">
        <v>3055</v>
      </c>
      <c r="DG53" s="205">
        <v>50</v>
      </c>
      <c r="DH53" s="209">
        <f t="shared" si="60"/>
        <v>0.136499709575086</v>
      </c>
      <c r="DI53" s="205">
        <v>24</v>
      </c>
      <c r="DJ53" s="205">
        <v>24</v>
      </c>
      <c r="DL53" s="343">
        <v>2419</v>
      </c>
      <c r="DM53" s="204"/>
      <c r="DN53" t="s">
        <v>1081</v>
      </c>
      <c r="DO53" t="s">
        <v>125</v>
      </c>
      <c r="DP53" s="208"/>
      <c r="DQ53" s="206"/>
      <c r="DR53" s="368" t="s">
        <v>1001</v>
      </c>
      <c r="DS53" s="204" t="s">
        <v>1001</v>
      </c>
      <c r="DT53" s="227">
        <v>44013</v>
      </c>
      <c r="DU53" s="227">
        <v>44377</v>
      </c>
      <c r="DV53" t="s">
        <v>1216</v>
      </c>
      <c r="DW53" s="109">
        <f t="shared" si="61"/>
        <v>1.6467539430767169</v>
      </c>
      <c r="DX53" s="109">
        <f t="shared" si="62"/>
        <v>0</v>
      </c>
      <c r="DY53" s="109">
        <f t="shared" si="63"/>
        <v>3.8896385326839731</v>
      </c>
      <c r="DZ53" s="109">
        <f t="shared" si="64"/>
        <v>1.447835217371878</v>
      </c>
      <c r="EA53" s="110">
        <f t="shared" si="68"/>
        <v>0.27779840206601564</v>
      </c>
      <c r="EB53" s="199">
        <f t="shared" si="43"/>
        <v>0.26644858659424764</v>
      </c>
    </row>
    <row r="54" spans="1:132" ht="16.5" x14ac:dyDescent="0.3">
      <c r="A54" s="216" t="s">
        <v>1140</v>
      </c>
      <c r="B54" t="s">
        <v>1217</v>
      </c>
      <c r="C54" s="352">
        <v>46427</v>
      </c>
      <c r="D54">
        <v>1</v>
      </c>
      <c r="E54"/>
      <c r="F54" s="221">
        <v>22290</v>
      </c>
      <c r="H54" s="108">
        <f t="shared" si="0"/>
        <v>22290</v>
      </c>
      <c r="I54" s="109">
        <v>0.76259999999999994</v>
      </c>
      <c r="J54" s="220">
        <v>363051</v>
      </c>
      <c r="K54" s="220">
        <v>139662</v>
      </c>
      <c r="L54" s="115">
        <f t="shared" si="31"/>
        <v>502713</v>
      </c>
      <c r="M54" s="110">
        <f t="shared" si="46"/>
        <v>10.828031102591165</v>
      </c>
      <c r="N54" s="220">
        <v>55415</v>
      </c>
      <c r="O54" s="220">
        <v>9652</v>
      </c>
      <c r="P54" s="220">
        <v>5280</v>
      </c>
      <c r="Q54" s="220">
        <v>70347</v>
      </c>
      <c r="R54" s="110">
        <f t="shared" si="47"/>
        <v>1.5152174381286752</v>
      </c>
      <c r="S54" s="220">
        <v>154322</v>
      </c>
      <c r="T54" s="220">
        <v>727382</v>
      </c>
      <c r="U54" s="207">
        <v>0</v>
      </c>
      <c r="V54" s="220">
        <v>727382</v>
      </c>
      <c r="W54" s="110">
        <f t="shared" si="48"/>
        <v>15.667219505890969</v>
      </c>
      <c r="X54" s="111">
        <f t="shared" si="32"/>
        <v>0.69112653323838091</v>
      </c>
      <c r="Y54" s="111">
        <f t="shared" si="33"/>
        <v>9.6712593932761604E-2</v>
      </c>
      <c r="Z54" s="111">
        <f t="shared" si="34"/>
        <v>0.21216087282885746</v>
      </c>
      <c r="AA54" s="111">
        <f t="shared" si="35"/>
        <v>0</v>
      </c>
      <c r="AB54" s="220">
        <v>0</v>
      </c>
      <c r="AE54" s="207"/>
      <c r="AF54" s="353">
        <v>0</v>
      </c>
      <c r="AG54" s="353">
        <v>731600</v>
      </c>
      <c r="AH54" s="207"/>
      <c r="AI54" s="115">
        <f t="shared" si="49"/>
        <v>731600</v>
      </c>
      <c r="AJ54" s="110">
        <f t="shared" si="50"/>
        <v>15.758071811661317</v>
      </c>
      <c r="AK54" s="353">
        <v>103165</v>
      </c>
      <c r="AL54" s="207">
        <v>19099</v>
      </c>
      <c r="AM54" s="353"/>
      <c r="AN54" s="353">
        <v>6442</v>
      </c>
      <c r="AO54" s="115">
        <f t="shared" si="36"/>
        <v>6442</v>
      </c>
      <c r="AP54" s="353">
        <v>842707</v>
      </c>
      <c r="AQ54" s="112">
        <f t="shared" si="51"/>
        <v>18.151226656902235</v>
      </c>
      <c r="AR54" s="207"/>
      <c r="AS54" s="220">
        <v>18557</v>
      </c>
      <c r="AT54" s="207">
        <v>0</v>
      </c>
      <c r="AU54" s="220">
        <v>0</v>
      </c>
      <c r="AV54" s="220">
        <v>0</v>
      </c>
      <c r="AW54" s="207"/>
      <c r="AX54" s="220">
        <v>0</v>
      </c>
      <c r="AY54" s="115">
        <f t="shared" si="37"/>
        <v>18557</v>
      </c>
      <c r="AZ54" s="352">
        <v>72223</v>
      </c>
      <c r="BA54" s="109">
        <f t="shared" si="52"/>
        <v>1.5556249596140177</v>
      </c>
      <c r="BB54" s="352">
        <v>4713</v>
      </c>
      <c r="BC54" s="352">
        <v>30111</v>
      </c>
      <c r="BD54" s="352">
        <v>7888</v>
      </c>
      <c r="BE54" s="352">
        <v>2443</v>
      </c>
      <c r="BF54" s="352">
        <v>166680</v>
      </c>
      <c r="BG54" s="221">
        <v>4</v>
      </c>
      <c r="BH54" s="221">
        <v>89</v>
      </c>
      <c r="BI54" s="205">
        <v>0</v>
      </c>
      <c r="BJ54">
        <v>91</v>
      </c>
      <c r="BK54" s="352">
        <v>288087</v>
      </c>
      <c r="BL54" s="109">
        <f t="shared" si="53"/>
        <v>6.2051607900575094</v>
      </c>
      <c r="BM54">
        <v>94</v>
      </c>
      <c r="BN54" s="352">
        <v>12466</v>
      </c>
      <c r="BO54" s="109">
        <f t="shared" si="54"/>
        <v>0.2685075494862903</v>
      </c>
      <c r="BP54" s="352">
        <v>21274</v>
      </c>
      <c r="BQ54" s="205">
        <v>0</v>
      </c>
      <c r="BR54" s="356">
        <f t="shared" si="38"/>
        <v>80987</v>
      </c>
      <c r="BS54" s="352">
        <v>32881</v>
      </c>
      <c r="BT54" s="352">
        <v>113868</v>
      </c>
      <c r="BU54" s="109">
        <f t="shared" si="55"/>
        <v>2.4526245503693973</v>
      </c>
      <c r="BV54" s="108">
        <f t="shared" si="66"/>
        <v>7719.8644067796613</v>
      </c>
      <c r="BW54" s="109">
        <f t="shared" si="56"/>
        <v>13.179166666666667</v>
      </c>
      <c r="BX54" s="109">
        <f t="shared" si="57"/>
        <v>1.8359587881524</v>
      </c>
      <c r="BY54" s="109">
        <f t="shared" si="65"/>
        <v>0.39525559987087233</v>
      </c>
      <c r="BZ54">
        <v>48</v>
      </c>
      <c r="CA54">
        <v>13</v>
      </c>
      <c r="CB54">
        <v>0</v>
      </c>
      <c r="CC54" s="113">
        <f t="shared" si="41"/>
        <v>61</v>
      </c>
      <c r="CD54" s="352">
        <v>1141</v>
      </c>
      <c r="CE54">
        <v>218</v>
      </c>
      <c r="CF54">
        <v>264</v>
      </c>
      <c r="CG54" s="116">
        <f t="shared" si="42"/>
        <v>1623</v>
      </c>
      <c r="CH54" s="109">
        <f t="shared" si="58"/>
        <v>3.4958106274366206E-2</v>
      </c>
      <c r="CI54" s="352">
        <v>62021</v>
      </c>
      <c r="CJ54" s="109">
        <f t="shared" si="59"/>
        <v>1.3358821375492709</v>
      </c>
      <c r="CK54" s="352">
        <v>17278</v>
      </c>
      <c r="CL54" s="208" t="s">
        <v>7</v>
      </c>
      <c r="CM54" s="208" t="s">
        <v>7</v>
      </c>
      <c r="CN54" s="208" t="s">
        <v>7</v>
      </c>
      <c r="CO54">
        <v>4</v>
      </c>
      <c r="CP54" s="209">
        <v>0</v>
      </c>
      <c r="CQ54">
        <v>0</v>
      </c>
      <c r="CR54">
        <v>10.75</v>
      </c>
      <c r="CS54">
        <v>14.75</v>
      </c>
      <c r="CT54" s="108">
        <f t="shared" si="67"/>
        <v>3147.593220338983</v>
      </c>
      <c r="CU54">
        <v>0</v>
      </c>
      <c r="CV54" s="353">
        <v>66696</v>
      </c>
      <c r="CW54" s="209">
        <v>30</v>
      </c>
      <c r="CX54" s="208" t="s">
        <v>7</v>
      </c>
      <c r="CY54" s="208" t="s">
        <v>7</v>
      </c>
      <c r="CZ54" s="352">
        <v>6468</v>
      </c>
      <c r="DA54" s="352">
        <v>6940</v>
      </c>
      <c r="DB54">
        <v>38</v>
      </c>
      <c r="DC54" s="352">
        <v>15963</v>
      </c>
      <c r="DD54" s="352">
        <v>7131</v>
      </c>
      <c r="DE54" s="352">
        <v>49479</v>
      </c>
      <c r="DF54" s="205">
        <v>11986</v>
      </c>
      <c r="DG54" s="205">
        <v>52</v>
      </c>
      <c r="DH54" s="209">
        <f t="shared" si="60"/>
        <v>0.25816873801882523</v>
      </c>
      <c r="DI54" s="205">
        <v>32</v>
      </c>
      <c r="DJ54" s="205">
        <v>32</v>
      </c>
      <c r="DL54" s="343">
        <v>8640</v>
      </c>
      <c r="DM54" s="204"/>
      <c r="DN54" t="s">
        <v>1082</v>
      </c>
      <c r="DO54" t="s">
        <v>125</v>
      </c>
      <c r="DP54" s="208"/>
      <c r="DQ54" s="206"/>
      <c r="DR54" s="368" t="s">
        <v>1002</v>
      </c>
      <c r="DS54" s="204" t="s">
        <v>1002</v>
      </c>
      <c r="DT54" s="227">
        <v>44013</v>
      </c>
      <c r="DU54" s="227">
        <v>44377</v>
      </c>
      <c r="DV54" t="s">
        <v>1217</v>
      </c>
      <c r="DW54" s="109">
        <f t="shared" si="61"/>
        <v>0.45822473991427404</v>
      </c>
      <c r="DX54" s="109">
        <f t="shared" si="62"/>
        <v>0</v>
      </c>
      <c r="DY54" s="109">
        <f t="shared" si="63"/>
        <v>1.7443944256574837</v>
      </c>
      <c r="DZ54" s="109">
        <f t="shared" si="64"/>
        <v>0.70823012471191338</v>
      </c>
      <c r="EA54" s="110">
        <f t="shared" si="68"/>
        <v>0.54189769315770431</v>
      </c>
      <c r="EB54" s="199">
        <v>0</v>
      </c>
    </row>
    <row r="55" spans="1:132" ht="16.5" x14ac:dyDescent="0.3">
      <c r="A55" s="216" t="s">
        <v>1141</v>
      </c>
      <c r="B55" t="s">
        <v>1218</v>
      </c>
      <c r="C55" s="352">
        <v>42594</v>
      </c>
      <c r="D55"/>
      <c r="E55"/>
      <c r="F55" s="221">
        <v>34000</v>
      </c>
      <c r="H55" s="108">
        <f t="shared" si="0"/>
        <v>34000</v>
      </c>
      <c r="I55" s="109">
        <v>0.68757999999999997</v>
      </c>
      <c r="J55" s="220">
        <v>1308063</v>
      </c>
      <c r="K55" s="220">
        <v>515385</v>
      </c>
      <c r="L55" s="115">
        <f t="shared" si="31"/>
        <v>1823448</v>
      </c>
      <c r="M55" s="110">
        <f t="shared" si="46"/>
        <v>42.809973235666995</v>
      </c>
      <c r="N55" s="220">
        <v>182874</v>
      </c>
      <c r="O55" s="220">
        <v>77470</v>
      </c>
      <c r="P55" s="220">
        <v>81609</v>
      </c>
      <c r="Q55" s="220">
        <v>341953</v>
      </c>
      <c r="R55" s="110">
        <f t="shared" si="47"/>
        <v>8.0281964595952484</v>
      </c>
      <c r="S55" s="220">
        <v>368703</v>
      </c>
      <c r="T55" s="220">
        <v>2534104</v>
      </c>
      <c r="U55" s="207">
        <v>0</v>
      </c>
      <c r="V55" s="220">
        <v>2534104</v>
      </c>
      <c r="W55" s="110">
        <f t="shared" si="48"/>
        <v>59.49438888106306</v>
      </c>
      <c r="X55" s="111">
        <f t="shared" si="32"/>
        <v>0.7195632065613724</v>
      </c>
      <c r="Y55" s="111">
        <f t="shared" si="33"/>
        <v>0.13494039707920433</v>
      </c>
      <c r="Z55" s="111">
        <f t="shared" si="34"/>
        <v>0.1454963963594233</v>
      </c>
      <c r="AA55" s="111">
        <f t="shared" si="35"/>
        <v>0</v>
      </c>
      <c r="AB55" s="220">
        <v>442497</v>
      </c>
      <c r="AE55" s="207"/>
      <c r="AF55" s="353">
        <v>1572205</v>
      </c>
      <c r="AG55" s="353">
        <v>1375245</v>
      </c>
      <c r="AH55" s="207"/>
      <c r="AI55" s="115">
        <f t="shared" si="49"/>
        <v>2947450</v>
      </c>
      <c r="AJ55" s="110">
        <f t="shared" si="50"/>
        <v>69.198713433816962</v>
      </c>
      <c r="AK55" s="353">
        <v>25747</v>
      </c>
      <c r="AL55" s="207">
        <v>38194</v>
      </c>
      <c r="AM55" s="353"/>
      <c r="AN55" s="353">
        <v>22981</v>
      </c>
      <c r="AO55" s="115">
        <f t="shared" si="36"/>
        <v>22981</v>
      </c>
      <c r="AP55" s="353">
        <v>2996178</v>
      </c>
      <c r="AQ55" s="112">
        <f t="shared" si="51"/>
        <v>70.34272432737005</v>
      </c>
      <c r="AR55" s="207"/>
      <c r="AS55" s="220">
        <v>0</v>
      </c>
      <c r="AT55" s="207">
        <v>0</v>
      </c>
      <c r="AU55" s="220">
        <v>0</v>
      </c>
      <c r="AV55" s="220">
        <v>0</v>
      </c>
      <c r="AW55" s="207"/>
      <c r="AX55" s="220">
        <v>0</v>
      </c>
      <c r="AY55" s="115">
        <f t="shared" si="37"/>
        <v>0</v>
      </c>
      <c r="AZ55" s="352">
        <v>100312</v>
      </c>
      <c r="BA55" s="109">
        <f t="shared" si="52"/>
        <v>2.3550734845283374</v>
      </c>
      <c r="BB55" s="352">
        <v>5425</v>
      </c>
      <c r="BC55" s="352">
        <v>54432</v>
      </c>
      <c r="BD55" s="352">
        <v>10480</v>
      </c>
      <c r="BE55" s="352">
        <v>2775</v>
      </c>
      <c r="BF55" s="352">
        <v>211566</v>
      </c>
      <c r="BG55" s="221">
        <v>3</v>
      </c>
      <c r="BH55" s="221">
        <v>89</v>
      </c>
      <c r="BI55" s="205">
        <v>0</v>
      </c>
      <c r="BJ55">
        <v>95</v>
      </c>
      <c r="BK55" s="352">
        <v>390433</v>
      </c>
      <c r="BL55" s="109">
        <f t="shared" si="53"/>
        <v>9.1663849368455654</v>
      </c>
      <c r="BM55">
        <v>84</v>
      </c>
      <c r="BN55" s="352">
        <v>15172</v>
      </c>
      <c r="BO55" s="109">
        <f t="shared" si="54"/>
        <v>0.35620040381274359</v>
      </c>
      <c r="BP55" s="352">
        <v>201446</v>
      </c>
      <c r="BQ55" s="205">
        <v>0</v>
      </c>
      <c r="BR55" s="356">
        <f t="shared" si="38"/>
        <v>288397</v>
      </c>
      <c r="BS55" s="352">
        <v>215496</v>
      </c>
      <c r="BT55" s="352">
        <v>503893</v>
      </c>
      <c r="BU55" s="109">
        <f t="shared" si="55"/>
        <v>11.830140395360848</v>
      </c>
      <c r="BV55" s="108">
        <f t="shared" si="66"/>
        <v>14930.162962962962</v>
      </c>
      <c r="BW55" s="109">
        <f t="shared" si="56"/>
        <v>35.661217268223638</v>
      </c>
      <c r="BX55" s="109">
        <f t="shared" si="57"/>
        <v>6.1152805252490925</v>
      </c>
      <c r="BY55" s="109">
        <f t="shared" si="65"/>
        <v>1.2906004359262664</v>
      </c>
      <c r="BZ55">
        <v>18</v>
      </c>
      <c r="CA55">
        <v>9</v>
      </c>
      <c r="CB55">
        <v>17</v>
      </c>
      <c r="CC55" s="113">
        <f t="shared" si="41"/>
        <v>44</v>
      </c>
      <c r="CD55" s="352">
        <v>1143</v>
      </c>
      <c r="CE55">
        <v>324</v>
      </c>
      <c r="CF55">
        <v>600</v>
      </c>
      <c r="CG55" s="116">
        <f t="shared" si="42"/>
        <v>2067</v>
      </c>
      <c r="CH55" s="109">
        <f t="shared" si="58"/>
        <v>4.8527961684744332E-2</v>
      </c>
      <c r="CI55" s="352">
        <v>82399</v>
      </c>
      <c r="CJ55" s="109">
        <f t="shared" si="59"/>
        <v>1.9345212940789782</v>
      </c>
      <c r="CK55" s="352">
        <v>79023</v>
      </c>
      <c r="CL55" s="208" t="s">
        <v>7</v>
      </c>
      <c r="CM55" s="208" t="s">
        <v>7</v>
      </c>
      <c r="CN55" s="208" t="s">
        <v>7</v>
      </c>
      <c r="CO55">
        <v>7.5</v>
      </c>
      <c r="CP55" s="108">
        <f>C55/CO55</f>
        <v>5679.2</v>
      </c>
      <c r="CQ55">
        <v>0</v>
      </c>
      <c r="CR55">
        <v>26.25</v>
      </c>
      <c r="CS55">
        <v>33.75</v>
      </c>
      <c r="CT55" s="108">
        <f t="shared" si="67"/>
        <v>1262.0444444444445</v>
      </c>
      <c r="CU55">
        <v>109</v>
      </c>
      <c r="CV55" s="353">
        <v>103210</v>
      </c>
      <c r="CW55" s="209">
        <v>40</v>
      </c>
      <c r="CX55" s="208" t="s">
        <v>7</v>
      </c>
      <c r="CY55" s="208" t="s">
        <v>7</v>
      </c>
      <c r="CZ55">
        <v>395</v>
      </c>
      <c r="DA55">
        <v>412</v>
      </c>
      <c r="DB55">
        <v>28</v>
      </c>
      <c r="DC55" s="352">
        <v>7212</v>
      </c>
      <c r="DD55" s="352">
        <v>17212</v>
      </c>
      <c r="DE55" s="352">
        <v>62091</v>
      </c>
      <c r="DF55" s="205">
        <v>17368</v>
      </c>
      <c r="DG55" s="205">
        <v>52</v>
      </c>
      <c r="DH55" s="209">
        <f t="shared" si="60"/>
        <v>0.40775696107432974</v>
      </c>
      <c r="DI55" s="205">
        <v>54</v>
      </c>
      <c r="DJ55" s="205">
        <v>54</v>
      </c>
      <c r="DL55" s="343">
        <v>14130</v>
      </c>
      <c r="DM55" s="204"/>
      <c r="DN55" t="s">
        <v>1083</v>
      </c>
      <c r="DO55" t="s">
        <v>1031</v>
      </c>
      <c r="DP55" s="208"/>
      <c r="DQ55" s="206"/>
      <c r="DR55" s="367" t="s">
        <v>1141</v>
      </c>
      <c r="DS55" s="204" t="s">
        <v>998</v>
      </c>
      <c r="DT55" s="227">
        <v>44013</v>
      </c>
      <c r="DU55" s="227">
        <v>44377</v>
      </c>
      <c r="DV55" t="s">
        <v>1218</v>
      </c>
      <c r="DW55" s="109">
        <f t="shared" si="61"/>
        <v>4.7294454618021318</v>
      </c>
      <c r="DX55" s="109">
        <f t="shared" si="62"/>
        <v>0</v>
      </c>
      <c r="DY55" s="109">
        <f t="shared" si="63"/>
        <v>6.7708362680189698</v>
      </c>
      <c r="DZ55" s="109">
        <f t="shared" si="64"/>
        <v>5.0593041273418793</v>
      </c>
      <c r="EA55" s="110">
        <f t="shared" si="68"/>
        <v>0.37333186347462349</v>
      </c>
      <c r="EB55" s="199">
        <f t="shared" si="43"/>
        <v>0.35949623194862085</v>
      </c>
    </row>
    <row r="56" spans="1:132" ht="16.5" x14ac:dyDescent="0.3">
      <c r="A56" s="216" t="s">
        <v>1142</v>
      </c>
      <c r="B56" t="s">
        <v>1219</v>
      </c>
      <c r="C56" s="352">
        <v>49721</v>
      </c>
      <c r="D56">
        <v>4</v>
      </c>
      <c r="E56">
        <v>1</v>
      </c>
      <c r="F56" s="221">
        <v>37865</v>
      </c>
      <c r="H56" s="108">
        <f t="shared" si="0"/>
        <v>37865</v>
      </c>
      <c r="I56" s="109">
        <v>0.60887000000000002</v>
      </c>
      <c r="J56" s="220">
        <v>516174</v>
      </c>
      <c r="K56" s="220">
        <v>252553</v>
      </c>
      <c r="L56" s="115">
        <f t="shared" si="31"/>
        <v>768727</v>
      </c>
      <c r="M56" s="110">
        <f t="shared" si="46"/>
        <v>15.460811327205809</v>
      </c>
      <c r="N56" s="220">
        <v>76730</v>
      </c>
      <c r="O56" s="220">
        <v>18942</v>
      </c>
      <c r="P56" s="220">
        <v>14061</v>
      </c>
      <c r="Q56" s="220">
        <v>109733</v>
      </c>
      <c r="R56" s="110">
        <f t="shared" si="47"/>
        <v>2.2069749200539008</v>
      </c>
      <c r="S56" s="220">
        <v>270130</v>
      </c>
      <c r="T56" s="220">
        <v>1148590</v>
      </c>
      <c r="U56" s="207">
        <v>0</v>
      </c>
      <c r="V56" s="220">
        <v>1148590</v>
      </c>
      <c r="W56" s="110">
        <f t="shared" si="48"/>
        <v>23.100701916695158</v>
      </c>
      <c r="X56" s="111">
        <f t="shared" si="32"/>
        <v>0.66927885494388772</v>
      </c>
      <c r="Y56" s="111">
        <f t="shared" si="33"/>
        <v>9.5537136837339692E-2</v>
      </c>
      <c r="Z56" s="111">
        <f t="shared" si="34"/>
        <v>0.23518400821877258</v>
      </c>
      <c r="AA56" s="111">
        <f t="shared" si="35"/>
        <v>0</v>
      </c>
      <c r="AB56" s="220">
        <v>18261</v>
      </c>
      <c r="AE56" s="207"/>
      <c r="AF56" s="353">
        <v>289383</v>
      </c>
      <c r="AG56" s="353">
        <v>472277</v>
      </c>
      <c r="AH56" s="207"/>
      <c r="AI56" s="115">
        <f t="shared" si="49"/>
        <v>761660</v>
      </c>
      <c r="AJ56" s="110">
        <f t="shared" si="50"/>
        <v>15.318678224492668</v>
      </c>
      <c r="AK56" s="353">
        <v>288671</v>
      </c>
      <c r="AL56" s="207">
        <v>24531</v>
      </c>
      <c r="AM56" s="353"/>
      <c r="AN56" s="353">
        <v>69926</v>
      </c>
      <c r="AO56" s="115">
        <f t="shared" si="36"/>
        <v>69926</v>
      </c>
      <c r="AP56" s="353">
        <v>1128471</v>
      </c>
      <c r="AQ56" s="112">
        <f t="shared" si="51"/>
        <v>22.696064037328291</v>
      </c>
      <c r="AR56" s="207"/>
      <c r="AS56" s="220">
        <v>0</v>
      </c>
      <c r="AT56" s="207">
        <v>0</v>
      </c>
      <c r="AU56" s="220">
        <v>0</v>
      </c>
      <c r="AV56" s="220">
        <v>0</v>
      </c>
      <c r="AW56" s="207"/>
      <c r="AX56" s="220">
        <v>0</v>
      </c>
      <c r="AY56" s="115">
        <f t="shared" si="37"/>
        <v>0</v>
      </c>
      <c r="AZ56" s="352">
        <v>129539</v>
      </c>
      <c r="BA56" s="109">
        <f t="shared" si="52"/>
        <v>2.6053176726131815</v>
      </c>
      <c r="BB56" s="352">
        <v>7158</v>
      </c>
      <c r="BC56" s="352">
        <v>24727</v>
      </c>
      <c r="BD56" s="352">
        <v>11151</v>
      </c>
      <c r="BE56" s="352">
        <v>2130</v>
      </c>
      <c r="BF56" s="352">
        <v>130988</v>
      </c>
      <c r="BG56" s="221">
        <v>43</v>
      </c>
      <c r="BH56" s="221">
        <v>89</v>
      </c>
      <c r="BI56" s="205">
        <v>0</v>
      </c>
      <c r="BJ56">
        <v>89</v>
      </c>
      <c r="BK56" s="352">
        <v>305792</v>
      </c>
      <c r="BL56" s="109">
        <f t="shared" si="53"/>
        <v>6.1501578809758453</v>
      </c>
      <c r="BM56">
        <v>10</v>
      </c>
      <c r="BN56" s="352">
        <v>43624</v>
      </c>
      <c r="BO56" s="109">
        <f t="shared" si="54"/>
        <v>0.87737575672251167</v>
      </c>
      <c r="BP56" s="352">
        <v>36107</v>
      </c>
      <c r="BQ56" s="205">
        <v>0</v>
      </c>
      <c r="BR56" s="356">
        <f t="shared" si="38"/>
        <v>127107</v>
      </c>
      <c r="BS56" s="352">
        <v>11040</v>
      </c>
      <c r="BT56" s="352">
        <v>138147</v>
      </c>
      <c r="BU56" s="109">
        <f t="shared" si="55"/>
        <v>2.7784437159349169</v>
      </c>
      <c r="BV56" s="108">
        <f t="shared" si="66"/>
        <v>10843.563579277865</v>
      </c>
      <c r="BW56" s="109">
        <f t="shared" si="56"/>
        <v>16.446071428571429</v>
      </c>
      <c r="BX56" s="109">
        <f t="shared" si="57"/>
        <v>3.0261549582703555</v>
      </c>
      <c r="BY56" s="109">
        <f t="shared" si="65"/>
        <v>0.45176786835496024</v>
      </c>
      <c r="BZ56">
        <v>64</v>
      </c>
      <c r="CA56">
        <v>2</v>
      </c>
      <c r="CB56">
        <v>21</v>
      </c>
      <c r="CC56" s="113">
        <f t="shared" si="41"/>
        <v>87</v>
      </c>
      <c r="CD56" s="352">
        <v>15699</v>
      </c>
      <c r="CE56">
        <v>16</v>
      </c>
      <c r="CF56" s="352">
        <v>9868</v>
      </c>
      <c r="CG56" s="116">
        <f t="shared" si="42"/>
        <v>25583</v>
      </c>
      <c r="CH56" s="109">
        <f t="shared" si="58"/>
        <v>0.51453108344562659</v>
      </c>
      <c r="CI56" s="352">
        <v>45651</v>
      </c>
      <c r="CJ56" s="109">
        <f t="shared" si="59"/>
        <v>0.9181432392751554</v>
      </c>
      <c r="CK56" s="352">
        <v>6972</v>
      </c>
      <c r="CL56" s="208" t="s">
        <v>7</v>
      </c>
      <c r="CM56" s="208" t="s">
        <v>7</v>
      </c>
      <c r="CN56" s="208" t="s">
        <v>7</v>
      </c>
      <c r="CO56">
        <v>1.88</v>
      </c>
      <c r="CP56" s="209">
        <v>0</v>
      </c>
      <c r="CQ56">
        <v>0</v>
      </c>
      <c r="CR56">
        <v>10.86</v>
      </c>
      <c r="CS56">
        <v>12.74</v>
      </c>
      <c r="CT56" s="108">
        <f t="shared" si="67"/>
        <v>3902.7472527472528</v>
      </c>
      <c r="CU56">
        <v>200</v>
      </c>
      <c r="CV56" s="353">
        <v>54075</v>
      </c>
      <c r="CW56" s="209">
        <v>35</v>
      </c>
      <c r="CX56" s="208" t="s">
        <v>7</v>
      </c>
      <c r="CY56" s="208" t="s">
        <v>7</v>
      </c>
      <c r="CZ56">
        <v>11</v>
      </c>
      <c r="DA56">
        <v>0</v>
      </c>
      <c r="DB56">
        <v>84</v>
      </c>
      <c r="DC56" s="352">
        <v>5506</v>
      </c>
      <c r="DD56"/>
      <c r="DE56">
        <v>-1</v>
      </c>
      <c r="DF56" s="205">
        <v>11759</v>
      </c>
      <c r="DG56" s="205">
        <v>30</v>
      </c>
      <c r="DH56" s="209">
        <f t="shared" si="60"/>
        <v>0.23649966814826734</v>
      </c>
      <c r="DI56" s="205">
        <v>35</v>
      </c>
      <c r="DJ56" s="205">
        <v>35</v>
      </c>
      <c r="DL56" s="343">
        <v>8400</v>
      </c>
      <c r="DM56" s="204"/>
      <c r="DN56" t="s">
        <v>1084</v>
      </c>
      <c r="DO56" t="s">
        <v>1030</v>
      </c>
      <c r="DP56" s="208"/>
      <c r="DQ56" s="206"/>
      <c r="DR56" s="367" t="s">
        <v>1142</v>
      </c>
      <c r="DS56" s="204" t="s">
        <v>1003</v>
      </c>
      <c r="DT56" s="227">
        <v>44013</v>
      </c>
      <c r="DU56" s="227">
        <v>44377</v>
      </c>
      <c r="DV56" t="s">
        <v>1219</v>
      </c>
      <c r="DW56" s="109">
        <f t="shared" si="61"/>
        <v>0.72619215220932809</v>
      </c>
      <c r="DX56" s="109">
        <f t="shared" si="62"/>
        <v>0</v>
      </c>
      <c r="DY56" s="109">
        <f t="shared" si="63"/>
        <v>2.5564047384404978</v>
      </c>
      <c r="DZ56" s="109">
        <f t="shared" si="64"/>
        <v>0.22203897749441887</v>
      </c>
      <c r="EA56" s="110">
        <f t="shared" si="68"/>
        <v>0.47011898489100201</v>
      </c>
      <c r="EB56" s="199">
        <f t="shared" si="43"/>
        <v>1.7157608695652173</v>
      </c>
    </row>
    <row r="57" spans="1:132" ht="16.5" x14ac:dyDescent="0.3">
      <c r="A57" s="216" t="s">
        <v>1143</v>
      </c>
      <c r="B57" t="s">
        <v>1220</v>
      </c>
      <c r="C57" s="352">
        <v>88028</v>
      </c>
      <c r="D57">
        <v>7</v>
      </c>
      <c r="E57"/>
      <c r="F57" s="221">
        <v>60942</v>
      </c>
      <c r="H57" s="108">
        <f t="shared" si="0"/>
        <v>60942</v>
      </c>
      <c r="I57" s="109">
        <v>0.61075000000000002</v>
      </c>
      <c r="J57" s="220">
        <v>945181</v>
      </c>
      <c r="K57" s="220">
        <v>270120</v>
      </c>
      <c r="L57" s="115">
        <f t="shared" si="31"/>
        <v>1215301</v>
      </c>
      <c r="M57" s="110">
        <f t="shared" si="46"/>
        <v>13.805845867224065</v>
      </c>
      <c r="N57" s="220">
        <v>110891</v>
      </c>
      <c r="O57" s="220">
        <v>25630</v>
      </c>
      <c r="P57" s="220">
        <v>17702</v>
      </c>
      <c r="Q57" s="220">
        <v>154223</v>
      </c>
      <c r="R57" s="110">
        <f t="shared" si="47"/>
        <v>1.7519766437951561</v>
      </c>
      <c r="S57" s="220">
        <v>538471</v>
      </c>
      <c r="T57" s="220">
        <v>1907995</v>
      </c>
      <c r="U57" s="207">
        <v>19008</v>
      </c>
      <c r="V57" s="220">
        <v>1907995</v>
      </c>
      <c r="W57" s="110">
        <f t="shared" si="48"/>
        <v>21.674864815740445</v>
      </c>
      <c r="X57" s="111">
        <f t="shared" si="32"/>
        <v>0.63695187880471382</v>
      </c>
      <c r="Y57" s="111">
        <f t="shared" si="33"/>
        <v>8.0829876388564953E-2</v>
      </c>
      <c r="Z57" s="111">
        <f t="shared" si="34"/>
        <v>0.2822182448067212</v>
      </c>
      <c r="AA57" s="111">
        <f t="shared" si="35"/>
        <v>9.962290257574051E-3</v>
      </c>
      <c r="AB57" s="220">
        <v>0</v>
      </c>
      <c r="AE57" s="207"/>
      <c r="AF57" s="353">
        <v>205500</v>
      </c>
      <c r="AG57" s="353">
        <v>942305</v>
      </c>
      <c r="AH57" s="207"/>
      <c r="AI57" s="115">
        <f t="shared" si="49"/>
        <v>1147805</v>
      </c>
      <c r="AJ57" s="110">
        <f t="shared" si="50"/>
        <v>13.039089835052483</v>
      </c>
      <c r="AK57" s="353">
        <v>334515</v>
      </c>
      <c r="AL57" s="207">
        <v>4000</v>
      </c>
      <c r="AM57" s="353"/>
      <c r="AN57" s="353">
        <v>538626</v>
      </c>
      <c r="AO57" s="115">
        <f t="shared" si="36"/>
        <v>538626</v>
      </c>
      <c r="AP57" s="353">
        <v>2163403</v>
      </c>
      <c r="AQ57" s="112">
        <f t="shared" si="51"/>
        <v>24.576305266506111</v>
      </c>
      <c r="AR57" s="207"/>
      <c r="AS57" s="220">
        <v>0</v>
      </c>
      <c r="AT57" s="207">
        <v>0</v>
      </c>
      <c r="AU57" s="220">
        <v>0</v>
      </c>
      <c r="AV57" s="220">
        <v>0</v>
      </c>
      <c r="AW57" s="207"/>
      <c r="AX57" s="220">
        <v>0</v>
      </c>
      <c r="AY57" s="115">
        <f t="shared" si="37"/>
        <v>0</v>
      </c>
      <c r="AZ57" s="352">
        <v>104141</v>
      </c>
      <c r="BA57" s="109">
        <f t="shared" si="52"/>
        <v>1.1830440314445403</v>
      </c>
      <c r="BB57" s="352">
        <v>3607</v>
      </c>
      <c r="BC57" s="352">
        <v>30337</v>
      </c>
      <c r="BD57" s="352">
        <v>7471</v>
      </c>
      <c r="BE57" s="352">
        <v>2443</v>
      </c>
      <c r="BF57" s="352">
        <v>167160</v>
      </c>
      <c r="BG57" s="221">
        <v>1</v>
      </c>
      <c r="BH57" s="221">
        <v>89</v>
      </c>
      <c r="BI57" s="205">
        <v>0</v>
      </c>
      <c r="BJ57">
        <v>88</v>
      </c>
      <c r="BK57" s="352">
        <v>321589</v>
      </c>
      <c r="BL57" s="109">
        <f t="shared" si="53"/>
        <v>3.6532580542554642</v>
      </c>
      <c r="BM57">
        <v>227</v>
      </c>
      <c r="BN57" s="352">
        <v>59862</v>
      </c>
      <c r="BO57" s="109">
        <f t="shared" si="54"/>
        <v>0.68003362566456127</v>
      </c>
      <c r="BP57" s="352">
        <v>49616</v>
      </c>
      <c r="BQ57" s="205">
        <v>0</v>
      </c>
      <c r="BR57" s="356">
        <f t="shared" si="38"/>
        <v>119756</v>
      </c>
      <c r="BS57" s="352">
        <v>118145</v>
      </c>
      <c r="BT57" s="352">
        <v>237901</v>
      </c>
      <c r="BU57" s="109">
        <f t="shared" si="55"/>
        <v>2.7025605489162539</v>
      </c>
      <c r="BV57" s="108">
        <f t="shared" si="66"/>
        <v>7856.7040951122854</v>
      </c>
      <c r="BW57" s="109">
        <f t="shared" si="56"/>
        <v>9.2897418876176339</v>
      </c>
      <c r="BX57" s="109">
        <f t="shared" si="57"/>
        <v>1.5248206949153629</v>
      </c>
      <c r="BY57" s="109">
        <f t="shared" si="65"/>
        <v>0.73976721840610216</v>
      </c>
      <c r="BZ57" s="352">
        <v>1314</v>
      </c>
      <c r="CA57">
        <v>367</v>
      </c>
      <c r="CB57">
        <v>939</v>
      </c>
      <c r="CC57" s="113">
        <f t="shared" si="41"/>
        <v>2620</v>
      </c>
      <c r="CD57" s="352">
        <v>1987</v>
      </c>
      <c r="CE57" s="352">
        <v>2176</v>
      </c>
      <c r="CF57">
        <v>50</v>
      </c>
      <c r="CG57" s="116">
        <f t="shared" si="42"/>
        <v>4213</v>
      </c>
      <c r="CH57" s="109">
        <f t="shared" si="58"/>
        <v>4.7859771890762029E-2</v>
      </c>
      <c r="CI57" s="352">
        <v>156019</v>
      </c>
      <c r="CJ57" s="109">
        <f t="shared" si="59"/>
        <v>1.7723792429681464</v>
      </c>
      <c r="CK57" s="352">
        <v>44778</v>
      </c>
      <c r="CL57" s="208" t="s">
        <v>7</v>
      </c>
      <c r="CM57" s="208" t="s">
        <v>7</v>
      </c>
      <c r="CN57" s="208" t="s">
        <v>7</v>
      </c>
      <c r="CO57">
        <v>6.73</v>
      </c>
      <c r="CP57" s="209">
        <v>0</v>
      </c>
      <c r="CQ57">
        <v>1</v>
      </c>
      <c r="CR57">
        <v>22.55</v>
      </c>
      <c r="CS57">
        <v>30.28</v>
      </c>
      <c r="CT57" s="108">
        <f t="shared" si="67"/>
        <v>2907.1334214002641</v>
      </c>
      <c r="CU57">
        <v>837</v>
      </c>
      <c r="CV57" s="353">
        <v>98256</v>
      </c>
      <c r="CW57" s="209">
        <v>40</v>
      </c>
      <c r="CX57" s="208" t="s">
        <v>7</v>
      </c>
      <c r="CY57" s="208" t="s">
        <v>7</v>
      </c>
      <c r="CZ57" s="352">
        <v>11978</v>
      </c>
      <c r="DA57" s="352">
        <v>5334</v>
      </c>
      <c r="DB57">
        <v>139</v>
      </c>
      <c r="DC57" s="352">
        <v>31031</v>
      </c>
      <c r="DD57" s="352">
        <v>358180</v>
      </c>
      <c r="DE57" s="352">
        <v>131191</v>
      </c>
      <c r="DF57" s="205">
        <v>33258</v>
      </c>
      <c r="DG57" s="205">
        <v>52</v>
      </c>
      <c r="DH57" s="209">
        <f t="shared" si="60"/>
        <v>0.37781160539828235</v>
      </c>
      <c r="DI57" s="205">
        <v>46</v>
      </c>
      <c r="DJ57" s="205">
        <v>46</v>
      </c>
      <c r="DL57" s="343">
        <v>25609</v>
      </c>
      <c r="DM57" s="204"/>
      <c r="DN57" t="s">
        <v>1085</v>
      </c>
      <c r="DO57" t="s">
        <v>1030</v>
      </c>
      <c r="DP57" s="208"/>
      <c r="DQ57" s="206"/>
      <c r="DR57" s="367" t="s">
        <v>1279</v>
      </c>
      <c r="DS57" s="204" t="s">
        <v>1004</v>
      </c>
      <c r="DT57" s="227">
        <v>44013</v>
      </c>
      <c r="DU57" s="227">
        <v>44377</v>
      </c>
      <c r="DV57" t="s">
        <v>1220</v>
      </c>
      <c r="DW57" s="109">
        <f t="shared" si="61"/>
        <v>0.563638842186577</v>
      </c>
      <c r="DX57" s="109">
        <f t="shared" si="62"/>
        <v>0</v>
      </c>
      <c r="DY57" s="109">
        <f t="shared" si="63"/>
        <v>1.3604307720270823</v>
      </c>
      <c r="DZ57" s="109">
        <f t="shared" si="64"/>
        <v>1.3421297768891716</v>
      </c>
      <c r="EA57" s="110">
        <f t="shared" si="68"/>
        <v>0.6547186075620528</v>
      </c>
      <c r="EB57" s="199">
        <f t="shared" si="43"/>
        <v>0.21693681493080536</v>
      </c>
    </row>
    <row r="58" spans="1:132" ht="16.5" x14ac:dyDescent="0.3">
      <c r="A58" s="216" t="s">
        <v>1005</v>
      </c>
      <c r="B58" t="s">
        <v>1221</v>
      </c>
      <c r="C58" s="352">
        <v>233062</v>
      </c>
      <c r="D58">
        <v>3</v>
      </c>
      <c r="E58"/>
      <c r="F58" s="221">
        <v>135241</v>
      </c>
      <c r="H58" s="108">
        <f t="shared" si="0"/>
        <v>135241</v>
      </c>
      <c r="I58" s="109">
        <v>0.17172000000000001</v>
      </c>
      <c r="J58" s="220">
        <v>2494656</v>
      </c>
      <c r="K58" s="220">
        <v>863227</v>
      </c>
      <c r="L58" s="115">
        <f t="shared" si="31"/>
        <v>3357883</v>
      </c>
      <c r="M58" s="110">
        <f t="shared" si="46"/>
        <v>14.407681217873355</v>
      </c>
      <c r="N58" s="220">
        <v>317273</v>
      </c>
      <c r="O58" s="220">
        <v>267143</v>
      </c>
      <c r="P58" s="220">
        <v>50063</v>
      </c>
      <c r="Q58" s="220">
        <v>634479</v>
      </c>
      <c r="R58" s="110">
        <f t="shared" si="47"/>
        <v>2.7223614317220313</v>
      </c>
      <c r="S58" s="220">
        <v>390615</v>
      </c>
      <c r="T58" s="220">
        <v>4382977</v>
      </c>
      <c r="U58" s="207">
        <v>0</v>
      </c>
      <c r="V58" s="220">
        <v>4382977</v>
      </c>
      <c r="W58" s="110">
        <f t="shared" si="48"/>
        <v>18.806055899288602</v>
      </c>
      <c r="X58" s="111">
        <f t="shared" si="32"/>
        <v>0.76611923813426352</v>
      </c>
      <c r="Y58" s="111">
        <f t="shared" si="33"/>
        <v>0.14475982876478705</v>
      </c>
      <c r="Z58" s="111">
        <f t="shared" si="34"/>
        <v>8.9120933100949429E-2</v>
      </c>
      <c r="AA58" s="111">
        <f t="shared" si="35"/>
        <v>0</v>
      </c>
      <c r="AB58" s="220">
        <v>0</v>
      </c>
      <c r="AE58" s="207"/>
      <c r="AF58" s="353">
        <v>0</v>
      </c>
      <c r="AG58" s="353">
        <v>4056466</v>
      </c>
      <c r="AH58" s="207"/>
      <c r="AI58" s="115">
        <f t="shared" si="49"/>
        <v>4056466</v>
      </c>
      <c r="AJ58" s="110">
        <f t="shared" si="50"/>
        <v>17.405093923505333</v>
      </c>
      <c r="AK58" s="353">
        <v>201789</v>
      </c>
      <c r="AL58" s="207">
        <v>9490</v>
      </c>
      <c r="AM58" s="353"/>
      <c r="AN58" s="353">
        <v>243500</v>
      </c>
      <c r="AO58" s="115">
        <f t="shared" si="36"/>
        <v>243500</v>
      </c>
      <c r="AP58" s="353">
        <v>4501755</v>
      </c>
      <c r="AQ58" s="112">
        <f t="shared" si="51"/>
        <v>19.315697110640087</v>
      </c>
      <c r="AR58" s="207"/>
      <c r="AS58" s="220">
        <v>0</v>
      </c>
      <c r="AT58" s="207">
        <v>0</v>
      </c>
      <c r="AU58" s="220">
        <v>0</v>
      </c>
      <c r="AV58" s="220">
        <v>0</v>
      </c>
      <c r="AW58" s="207"/>
      <c r="AX58" s="220">
        <v>0</v>
      </c>
      <c r="AY58" s="115">
        <f t="shared" si="37"/>
        <v>0</v>
      </c>
      <c r="AZ58" s="352">
        <v>324306</v>
      </c>
      <c r="BA58" s="109">
        <f t="shared" si="52"/>
        <v>1.3915009739897537</v>
      </c>
      <c r="BB58" s="352">
        <v>12994</v>
      </c>
      <c r="BC58" s="352">
        <v>52716</v>
      </c>
      <c r="BD58" s="352">
        <v>20191</v>
      </c>
      <c r="BE58" s="352">
        <v>2613</v>
      </c>
      <c r="BF58" s="352">
        <v>231847</v>
      </c>
      <c r="BG58" s="221">
        <v>7</v>
      </c>
      <c r="BH58" s="221">
        <v>89</v>
      </c>
      <c r="BI58" s="205">
        <v>0</v>
      </c>
      <c r="BJ58">
        <v>140</v>
      </c>
      <c r="BK58" s="352">
        <v>649164</v>
      </c>
      <c r="BL58" s="109">
        <f t="shared" si="53"/>
        <v>2.7853704164557072</v>
      </c>
      <c r="BM58">
        <v>358</v>
      </c>
      <c r="BN58" s="352">
        <v>80270</v>
      </c>
      <c r="BO58" s="109">
        <f t="shared" si="54"/>
        <v>0.34441479091400573</v>
      </c>
      <c r="BP58" s="352">
        <v>290994</v>
      </c>
      <c r="BQ58" s="205">
        <v>0</v>
      </c>
      <c r="BR58" s="356">
        <f t="shared" si="38"/>
        <v>785996</v>
      </c>
      <c r="BS58" s="352">
        <v>848954</v>
      </c>
      <c r="BT58" s="352">
        <v>1634950</v>
      </c>
      <c r="BU58" s="109">
        <f t="shared" si="55"/>
        <v>7.0150861144244878</v>
      </c>
      <c r="BV58" s="108">
        <f t="shared" si="66"/>
        <v>33434.560327198364</v>
      </c>
      <c r="BW58" s="109">
        <f t="shared" si="56"/>
        <v>155.99179467608053</v>
      </c>
      <c r="BX58" s="109">
        <f t="shared" si="57"/>
        <v>7.0781039625606637</v>
      </c>
      <c r="BY58" s="109">
        <f t="shared" si="65"/>
        <v>2.518546931129884</v>
      </c>
      <c r="BZ58">
        <v>63</v>
      </c>
      <c r="CA58">
        <v>3</v>
      </c>
      <c r="CB58">
        <v>1</v>
      </c>
      <c r="CC58" s="113">
        <f t="shared" si="41"/>
        <v>67</v>
      </c>
      <c r="CD58" s="352">
        <v>10189</v>
      </c>
      <c r="CE58">
        <v>20</v>
      </c>
      <c r="CF58" s="352">
        <v>4506</v>
      </c>
      <c r="CG58" s="116">
        <f t="shared" si="42"/>
        <v>14715</v>
      </c>
      <c r="CH58" s="109">
        <f t="shared" si="58"/>
        <v>6.3137705846512945E-2</v>
      </c>
      <c r="CI58" s="352">
        <v>230987</v>
      </c>
      <c r="CJ58" s="109">
        <f t="shared" si="59"/>
        <v>0.9910967896954459</v>
      </c>
      <c r="CK58" s="352">
        <v>128829</v>
      </c>
      <c r="CL58" s="208" t="s">
        <v>7</v>
      </c>
      <c r="CM58" s="208" t="s">
        <v>7</v>
      </c>
      <c r="CN58" s="208" t="s">
        <v>7</v>
      </c>
      <c r="CO58">
        <v>19</v>
      </c>
      <c r="CP58" s="209">
        <v>0</v>
      </c>
      <c r="CQ58">
        <v>0</v>
      </c>
      <c r="CR58">
        <v>29.9</v>
      </c>
      <c r="CS58">
        <v>48.9</v>
      </c>
      <c r="CT58" s="108">
        <f t="shared" si="67"/>
        <v>4766.0940695296522</v>
      </c>
      <c r="CU58" s="352">
        <v>4730</v>
      </c>
      <c r="CV58" s="353">
        <v>133518</v>
      </c>
      <c r="CW58" s="209">
        <v>40</v>
      </c>
      <c r="CX58" s="208" t="s">
        <v>7</v>
      </c>
      <c r="CY58" s="208" t="s">
        <v>7</v>
      </c>
      <c r="CZ58">
        <v>412</v>
      </c>
      <c r="DA58">
        <v>899</v>
      </c>
      <c r="DB58">
        <v>103</v>
      </c>
      <c r="DC58" s="352">
        <v>24334</v>
      </c>
      <c r="DD58">
        <v>-1</v>
      </c>
      <c r="DE58" s="352">
        <v>377344</v>
      </c>
      <c r="DF58" s="205">
        <v>11125</v>
      </c>
      <c r="DG58" s="205">
        <v>52</v>
      </c>
      <c r="DH58" s="209">
        <f t="shared" si="60"/>
        <v>4.7734079343693954E-2</v>
      </c>
      <c r="DI58" s="205">
        <v>40</v>
      </c>
      <c r="DJ58" s="205">
        <v>40</v>
      </c>
      <c r="DL58" s="343">
        <v>10481</v>
      </c>
      <c r="DM58" s="204"/>
      <c r="DN58" t="s">
        <v>1086</v>
      </c>
      <c r="DO58" t="s">
        <v>125</v>
      </c>
      <c r="DP58" s="208"/>
      <c r="DQ58" s="206"/>
      <c r="DR58" s="368" t="s">
        <v>1005</v>
      </c>
      <c r="DS58" s="204" t="s">
        <v>1005</v>
      </c>
      <c r="DT58" s="227">
        <v>44013</v>
      </c>
      <c r="DU58" s="227">
        <v>44377</v>
      </c>
      <c r="DV58" t="s">
        <v>1221</v>
      </c>
      <c r="DW58" s="109">
        <f t="shared" si="61"/>
        <v>1.2485690502956295</v>
      </c>
      <c r="DX58" s="109">
        <f t="shared" si="62"/>
        <v>0</v>
      </c>
      <c r="DY58" s="109">
        <f t="shared" si="63"/>
        <v>3.372475993512456</v>
      </c>
      <c r="DZ58" s="109">
        <f t="shared" si="64"/>
        <v>3.6426101209120318</v>
      </c>
      <c r="EA58" s="110">
        <f t="shared" si="68"/>
        <v>0.29459233604768847</v>
      </c>
      <c r="EB58" s="199">
        <f t="shared" si="43"/>
        <v>0.3146731153866994</v>
      </c>
    </row>
    <row r="59" spans="1:132" ht="16.5" x14ac:dyDescent="0.3">
      <c r="A59" s="216" t="s">
        <v>1249</v>
      </c>
      <c r="B59" t="s">
        <v>1222</v>
      </c>
      <c r="C59" s="352">
        <v>169770</v>
      </c>
      <c r="D59">
        <v>13</v>
      </c>
      <c r="E59">
        <v>1</v>
      </c>
      <c r="F59" s="221">
        <v>103610</v>
      </c>
      <c r="H59" s="108">
        <f t="shared" si="0"/>
        <v>103610</v>
      </c>
      <c r="I59" s="109">
        <v>0.3735</v>
      </c>
      <c r="J59" s="220">
        <v>1321814</v>
      </c>
      <c r="K59" s="220">
        <v>465638</v>
      </c>
      <c r="L59" s="115">
        <f t="shared" si="31"/>
        <v>1787452</v>
      </c>
      <c r="M59" s="110">
        <f t="shared" si="46"/>
        <v>10.528668198150438</v>
      </c>
      <c r="N59" s="220">
        <v>84696</v>
      </c>
      <c r="O59" s="220">
        <v>16347</v>
      </c>
      <c r="P59" s="220">
        <v>1979</v>
      </c>
      <c r="Q59" s="220">
        <v>103022</v>
      </c>
      <c r="R59" s="110">
        <f t="shared" si="47"/>
        <v>0.60683277375272426</v>
      </c>
      <c r="S59" s="220">
        <v>502171</v>
      </c>
      <c r="T59" s="220">
        <v>2392645</v>
      </c>
      <c r="U59" s="207">
        <v>0</v>
      </c>
      <c r="V59" s="220">
        <v>2392645</v>
      </c>
      <c r="W59" s="110">
        <f t="shared" si="48"/>
        <v>14.093449961712906</v>
      </c>
      <c r="X59" s="111">
        <f t="shared" si="32"/>
        <v>0.74706109765552353</v>
      </c>
      <c r="Y59" s="111">
        <f t="shared" si="33"/>
        <v>4.3057787511310702E-2</v>
      </c>
      <c r="Z59" s="111">
        <f t="shared" si="34"/>
        <v>0.20988111483316579</v>
      </c>
      <c r="AA59" s="111">
        <f t="shared" si="35"/>
        <v>0</v>
      </c>
      <c r="AB59" s="220">
        <v>0</v>
      </c>
      <c r="AE59" s="207"/>
      <c r="AF59" s="353">
        <v>303650</v>
      </c>
      <c r="AG59" s="353">
        <v>1602251</v>
      </c>
      <c r="AH59" s="207"/>
      <c r="AI59" s="115">
        <f t="shared" si="49"/>
        <v>1905901</v>
      </c>
      <c r="AJ59" s="110">
        <f t="shared" si="50"/>
        <v>11.226370972492195</v>
      </c>
      <c r="AK59" s="353">
        <v>468142</v>
      </c>
      <c r="AL59" s="207">
        <v>31508</v>
      </c>
      <c r="AM59" s="353"/>
      <c r="AN59" s="353">
        <v>91069</v>
      </c>
      <c r="AO59" s="115">
        <f t="shared" si="36"/>
        <v>91069</v>
      </c>
      <c r="AP59" s="353">
        <v>2496361</v>
      </c>
      <c r="AQ59" s="112">
        <f t="shared" si="51"/>
        <v>14.704370619072863</v>
      </c>
      <c r="AR59" s="207"/>
      <c r="AS59" s="220">
        <v>0</v>
      </c>
      <c r="AT59" s="207">
        <v>0</v>
      </c>
      <c r="AU59" s="220">
        <v>0</v>
      </c>
      <c r="AV59" s="220">
        <v>0</v>
      </c>
      <c r="AW59" s="207"/>
      <c r="AX59" s="220">
        <v>6424</v>
      </c>
      <c r="AY59" s="115">
        <f t="shared" si="37"/>
        <v>6424</v>
      </c>
      <c r="AZ59" s="352">
        <v>322751</v>
      </c>
      <c r="BA59" s="109">
        <f t="shared" si="52"/>
        <v>1.9011073805737173</v>
      </c>
      <c r="BB59" s="352">
        <v>6647</v>
      </c>
      <c r="BC59" s="352">
        <v>24569</v>
      </c>
      <c r="BD59" s="352">
        <v>15097</v>
      </c>
      <c r="BE59" s="352">
        <v>2138</v>
      </c>
      <c r="BF59" s="352">
        <v>132179</v>
      </c>
      <c r="BG59" s="221">
        <v>8</v>
      </c>
      <c r="BH59" s="221">
        <v>89</v>
      </c>
      <c r="BI59" s="205">
        <v>0</v>
      </c>
      <c r="BJ59">
        <v>87</v>
      </c>
      <c r="BK59" s="352">
        <v>505200</v>
      </c>
      <c r="BL59" s="109">
        <f t="shared" si="53"/>
        <v>2.9757907757554336</v>
      </c>
      <c r="BM59">
        <v>121</v>
      </c>
      <c r="BN59" s="352">
        <v>93221</v>
      </c>
      <c r="BO59" s="109">
        <f t="shared" si="54"/>
        <v>0.54910172586440475</v>
      </c>
      <c r="BP59" s="352">
        <v>143003</v>
      </c>
      <c r="BQ59" s="205">
        <v>0</v>
      </c>
      <c r="BR59" s="356">
        <f t="shared" si="38"/>
        <v>363858</v>
      </c>
      <c r="BS59" s="352">
        <v>49165</v>
      </c>
      <c r="BT59" s="352">
        <v>413023</v>
      </c>
      <c r="BU59" s="109">
        <f t="shared" si="55"/>
        <v>2.432838546268481</v>
      </c>
      <c r="BV59" s="108">
        <f t="shared" si="66"/>
        <v>8570.7200664038191</v>
      </c>
      <c r="BW59" s="109">
        <f t="shared" si="56"/>
        <v>84.566543816543813</v>
      </c>
      <c r="BX59" s="109">
        <f t="shared" si="57"/>
        <v>2.9967639653758806</v>
      </c>
      <c r="BY59" s="109">
        <f t="shared" si="65"/>
        <v>0.81754354711005539</v>
      </c>
      <c r="BZ59">
        <v>660</v>
      </c>
      <c r="CA59">
        <v>112</v>
      </c>
      <c r="CB59">
        <v>434</v>
      </c>
      <c r="CC59" s="113">
        <f t="shared" si="41"/>
        <v>1206</v>
      </c>
      <c r="CD59" s="352">
        <v>1517</v>
      </c>
      <c r="CE59">
        <v>434</v>
      </c>
      <c r="CF59">
        <v>185</v>
      </c>
      <c r="CG59" s="116">
        <f t="shared" si="42"/>
        <v>2136</v>
      </c>
      <c r="CH59" s="109">
        <f t="shared" si="58"/>
        <v>1.2581728220533663E-2</v>
      </c>
      <c r="CI59" s="352">
        <v>137823</v>
      </c>
      <c r="CJ59" s="109">
        <f t="shared" si="59"/>
        <v>0.81182187665665317</v>
      </c>
      <c r="CK59" s="352">
        <v>70853</v>
      </c>
      <c r="CL59" s="208" t="s">
        <v>7</v>
      </c>
      <c r="CM59" s="208" t="s">
        <v>7</v>
      </c>
      <c r="CN59" s="208" t="s">
        <v>7</v>
      </c>
      <c r="CO59">
        <v>2</v>
      </c>
      <c r="CP59" s="108">
        <f>C59/CO59</f>
        <v>84885</v>
      </c>
      <c r="CQ59">
        <v>0</v>
      </c>
      <c r="CR59">
        <v>46.19</v>
      </c>
      <c r="CS59">
        <v>48.19</v>
      </c>
      <c r="CT59" s="108">
        <f t="shared" si="67"/>
        <v>3522.9300684789378</v>
      </c>
      <c r="CU59" s="352">
        <v>2918</v>
      </c>
      <c r="CV59" s="353">
        <v>67121</v>
      </c>
      <c r="CW59" s="209">
        <v>40</v>
      </c>
      <c r="CX59" s="208" t="s">
        <v>7</v>
      </c>
      <c r="CY59" s="208" t="s">
        <v>7</v>
      </c>
      <c r="CZ59" s="352">
        <v>20969</v>
      </c>
      <c r="DA59" s="352">
        <v>26866</v>
      </c>
      <c r="DB59">
        <v>141</v>
      </c>
      <c r="DC59" s="352">
        <v>24501</v>
      </c>
      <c r="DD59" s="352">
        <v>100191</v>
      </c>
      <c r="DE59" s="352">
        <v>72544</v>
      </c>
      <c r="DF59" s="205">
        <v>6916</v>
      </c>
      <c r="DG59" s="205">
        <v>52</v>
      </c>
      <c r="DH59" s="209">
        <f t="shared" si="60"/>
        <v>4.0737468339518169E-2</v>
      </c>
      <c r="DI59" s="205">
        <v>67</v>
      </c>
      <c r="DJ59" s="205">
        <v>67</v>
      </c>
      <c r="DK59" s="108">
        <v>2504</v>
      </c>
      <c r="DL59" s="343">
        <v>4884</v>
      </c>
      <c r="DM59" s="204"/>
      <c r="DN59" t="s">
        <v>1087</v>
      </c>
      <c r="DO59" t="s">
        <v>1030</v>
      </c>
      <c r="DP59" s="208"/>
      <c r="DQ59" s="206"/>
      <c r="DR59" s="367" t="s">
        <v>1280</v>
      </c>
      <c r="DS59" s="204" t="s">
        <v>1006</v>
      </c>
      <c r="DT59" s="227">
        <v>44013</v>
      </c>
      <c r="DU59" s="227">
        <v>44377</v>
      </c>
      <c r="DV59" t="s">
        <v>1222</v>
      </c>
      <c r="DW59" s="109">
        <f t="shared" si="61"/>
        <v>0.84233374565588737</v>
      </c>
      <c r="DX59" s="109">
        <f t="shared" si="62"/>
        <v>0</v>
      </c>
      <c r="DY59" s="109">
        <f t="shared" si="63"/>
        <v>2.1432408552747835</v>
      </c>
      <c r="DZ59" s="109">
        <f t="shared" si="64"/>
        <v>0.28959769099369737</v>
      </c>
      <c r="EA59" s="110">
        <f t="shared" si="68"/>
        <v>0.16709906660800494</v>
      </c>
      <c r="EB59" s="199">
        <f t="shared" si="43"/>
        <v>0.3324926268687074</v>
      </c>
    </row>
    <row r="60" spans="1:132" ht="16.5" x14ac:dyDescent="0.3">
      <c r="A60" s="216" t="s">
        <v>1007</v>
      </c>
      <c r="B60" t="s">
        <v>1223</v>
      </c>
      <c r="C60" s="352">
        <v>207252</v>
      </c>
      <c r="D60">
        <v>3</v>
      </c>
      <c r="E60"/>
      <c r="F60" s="221">
        <v>34136</v>
      </c>
      <c r="H60" s="108">
        <f t="shared" si="0"/>
        <v>34136</v>
      </c>
      <c r="I60" s="109">
        <v>0.33676</v>
      </c>
      <c r="J60" s="220">
        <v>1230246</v>
      </c>
      <c r="K60" s="220">
        <v>407410</v>
      </c>
      <c r="L60" s="115">
        <f t="shared" si="31"/>
        <v>1637656</v>
      </c>
      <c r="M60" s="110">
        <f t="shared" si="46"/>
        <v>7.9017621060351653</v>
      </c>
      <c r="N60" s="220">
        <v>101591</v>
      </c>
      <c r="O60" s="220">
        <v>45819</v>
      </c>
      <c r="P60" s="220">
        <v>25295</v>
      </c>
      <c r="Q60" s="220">
        <v>172705</v>
      </c>
      <c r="R60" s="110">
        <f t="shared" si="47"/>
        <v>0.83330920811379383</v>
      </c>
      <c r="S60" s="220">
        <v>298693</v>
      </c>
      <c r="T60" s="220">
        <v>2109054</v>
      </c>
      <c r="U60" s="207">
        <v>0</v>
      </c>
      <c r="V60" s="220">
        <v>2109054</v>
      </c>
      <c r="W60" s="110">
        <f t="shared" si="48"/>
        <v>10.176278154131202</v>
      </c>
      <c r="X60" s="111">
        <f t="shared" si="32"/>
        <v>0.77648841613348918</v>
      </c>
      <c r="Y60" s="111">
        <f t="shared" si="33"/>
        <v>8.1887424409237505E-2</v>
      </c>
      <c r="Z60" s="111">
        <f t="shared" si="34"/>
        <v>0.14162415945727327</v>
      </c>
      <c r="AA60" s="111">
        <f t="shared" si="35"/>
        <v>0</v>
      </c>
      <c r="AB60" s="220">
        <v>0</v>
      </c>
      <c r="AE60" s="207"/>
      <c r="AF60" s="353">
        <v>0</v>
      </c>
      <c r="AG60" s="353">
        <v>1786750</v>
      </c>
      <c r="AH60" s="207"/>
      <c r="AI60" s="115">
        <f t="shared" si="49"/>
        <v>1786750</v>
      </c>
      <c r="AJ60" s="110">
        <f t="shared" si="50"/>
        <v>8.621147202439543</v>
      </c>
      <c r="AK60" s="353">
        <v>232180</v>
      </c>
      <c r="AL60" s="207">
        <v>7938</v>
      </c>
      <c r="AM60" s="353"/>
      <c r="AN60" s="353">
        <v>58258</v>
      </c>
      <c r="AO60" s="115">
        <f t="shared" si="36"/>
        <v>58258</v>
      </c>
      <c r="AP60" s="353">
        <v>2104733</v>
      </c>
      <c r="AQ60" s="112">
        <f t="shared" si="51"/>
        <v>10.155429139405168</v>
      </c>
      <c r="AR60" s="207"/>
      <c r="AS60" s="220">
        <v>0</v>
      </c>
      <c r="AT60" s="207">
        <v>0</v>
      </c>
      <c r="AU60" s="220">
        <v>0</v>
      </c>
      <c r="AV60" s="220">
        <v>0</v>
      </c>
      <c r="AW60" s="207"/>
      <c r="AX60" s="220">
        <v>0</v>
      </c>
      <c r="AY60" s="115">
        <f t="shared" si="37"/>
        <v>0</v>
      </c>
      <c r="AZ60" s="352">
        <v>98471</v>
      </c>
      <c r="BA60" s="109">
        <f t="shared" si="52"/>
        <v>0.47512689865477775</v>
      </c>
      <c r="BB60" s="352">
        <v>9193</v>
      </c>
      <c r="BC60" s="352">
        <v>53381</v>
      </c>
      <c r="BD60" s="352">
        <v>11711</v>
      </c>
      <c r="BE60" s="352">
        <v>2619</v>
      </c>
      <c r="BF60" s="352">
        <v>207952</v>
      </c>
      <c r="BG60" s="221">
        <v>2</v>
      </c>
      <c r="BH60" s="221">
        <v>89</v>
      </c>
      <c r="BI60" s="205">
        <v>0</v>
      </c>
      <c r="BJ60">
        <v>94</v>
      </c>
      <c r="BK60" s="352">
        <v>389107</v>
      </c>
      <c r="BL60" s="109">
        <f t="shared" si="53"/>
        <v>1.8774583598710748</v>
      </c>
      <c r="BM60">
        <v>89</v>
      </c>
      <c r="BN60" s="352">
        <v>53585</v>
      </c>
      <c r="BO60" s="109">
        <f t="shared" si="54"/>
        <v>0.25854997780479805</v>
      </c>
      <c r="BP60" s="352">
        <v>175615</v>
      </c>
      <c r="BQ60" s="205">
        <v>0</v>
      </c>
      <c r="BR60" s="356">
        <f t="shared" si="38"/>
        <v>323525</v>
      </c>
      <c r="BS60" s="352">
        <v>353111</v>
      </c>
      <c r="BT60" s="352">
        <v>676636</v>
      </c>
      <c r="BU60" s="109">
        <f t="shared" si="55"/>
        <v>3.264798409665528</v>
      </c>
      <c r="BV60" s="108">
        <f t="shared" si="66"/>
        <v>21144.875</v>
      </c>
      <c r="BW60" s="109">
        <f t="shared" si="56"/>
        <v>151.57616487455198</v>
      </c>
      <c r="BX60" s="109">
        <f t="shared" si="57"/>
        <v>4.6033730874158936</v>
      </c>
      <c r="BY60" s="109">
        <f t="shared" si="65"/>
        <v>1.7389458426602451</v>
      </c>
      <c r="BZ60">
        <v>81</v>
      </c>
      <c r="CA60">
        <v>44</v>
      </c>
      <c r="CB60">
        <v>35</v>
      </c>
      <c r="CC60" s="113">
        <f t="shared" si="41"/>
        <v>160</v>
      </c>
      <c r="CD60">
        <v>0</v>
      </c>
      <c r="CE60">
        <v>239</v>
      </c>
      <c r="CF60">
        <v>0</v>
      </c>
      <c r="CG60" s="116">
        <f t="shared" si="42"/>
        <v>239</v>
      </c>
      <c r="CH60" s="109">
        <f t="shared" si="58"/>
        <v>1.1531854939879952E-3</v>
      </c>
      <c r="CI60" s="352">
        <v>146987</v>
      </c>
      <c r="CJ60" s="109">
        <f t="shared" si="59"/>
        <v>0.70921872889043291</v>
      </c>
      <c r="CK60" s="352">
        <v>34628</v>
      </c>
      <c r="CL60" s="208" t="s">
        <v>7</v>
      </c>
      <c r="CM60" s="208" t="s">
        <v>7</v>
      </c>
      <c r="CN60" s="208" t="s">
        <v>7</v>
      </c>
      <c r="CO60">
        <v>6</v>
      </c>
      <c r="CP60" s="108">
        <f>C60/CO60</f>
        <v>34542</v>
      </c>
      <c r="CQ60">
        <v>1</v>
      </c>
      <c r="CR60">
        <v>25</v>
      </c>
      <c r="CS60">
        <v>32</v>
      </c>
      <c r="CT60" s="108">
        <f t="shared" si="67"/>
        <v>6476.625</v>
      </c>
      <c r="CU60" s="352">
        <v>1317</v>
      </c>
      <c r="CV60" s="353">
        <v>104242</v>
      </c>
      <c r="CW60" s="209">
        <v>40</v>
      </c>
      <c r="CX60" s="208" t="s">
        <v>7</v>
      </c>
      <c r="CY60" s="208" t="s">
        <v>7</v>
      </c>
      <c r="CZ60" s="352">
        <v>4081</v>
      </c>
      <c r="DA60" s="352">
        <v>5264</v>
      </c>
      <c r="DB60">
        <v>107</v>
      </c>
      <c r="DC60" s="352">
        <v>24764</v>
      </c>
      <c r="DD60">
        <v>-1</v>
      </c>
      <c r="DE60">
        <v>-1</v>
      </c>
      <c r="DF60" s="205">
        <v>4556</v>
      </c>
      <c r="DG60" s="205">
        <v>52</v>
      </c>
      <c r="DH60" s="209">
        <f t="shared" si="60"/>
        <v>2.1982900044390404E-2</v>
      </c>
      <c r="DI60" s="205">
        <v>53</v>
      </c>
      <c r="DJ60" s="205">
        <v>53</v>
      </c>
      <c r="DK60" s="108">
        <v>1872</v>
      </c>
      <c r="DL60" s="343">
        <v>4464</v>
      </c>
      <c r="DM60" s="204"/>
      <c r="DN60" t="s">
        <v>1088</v>
      </c>
      <c r="DO60" t="s">
        <v>125</v>
      </c>
      <c r="DP60" s="208"/>
      <c r="DQ60" s="206"/>
      <c r="DR60" s="368" t="s">
        <v>1007</v>
      </c>
      <c r="DS60" s="204" t="s">
        <v>1007</v>
      </c>
      <c r="DT60" s="227">
        <v>44013</v>
      </c>
      <c r="DU60" s="227">
        <v>44377</v>
      </c>
      <c r="DV60" t="s">
        <v>1223</v>
      </c>
      <c r="DW60" s="109">
        <f t="shared" si="61"/>
        <v>0.84735008588578153</v>
      </c>
      <c r="DX60" s="109">
        <f t="shared" si="62"/>
        <v>0</v>
      </c>
      <c r="DY60" s="109">
        <f t="shared" si="63"/>
        <v>1.5610223303032058</v>
      </c>
      <c r="DZ60" s="109">
        <f t="shared" si="64"/>
        <v>1.7037760793623222</v>
      </c>
      <c r="EA60" s="110">
        <f t="shared" si="68"/>
        <v>0.20353207516929117</v>
      </c>
      <c r="EB60" s="199">
        <f t="shared" si="43"/>
        <v>0.12975806474451376</v>
      </c>
    </row>
    <row r="61" spans="1:132" ht="16.5" x14ac:dyDescent="0.3">
      <c r="A61" s="216" t="s">
        <v>972</v>
      </c>
      <c r="B61" t="s">
        <v>1245</v>
      </c>
      <c r="C61" s="352">
        <v>86257</v>
      </c>
      <c r="D61">
        <v>2</v>
      </c>
      <c r="E61"/>
      <c r="F61" s="221">
        <v>31560</v>
      </c>
      <c r="H61" s="108">
        <f t="shared" si="0"/>
        <v>31560</v>
      </c>
      <c r="I61" s="109">
        <v>0.84150999999999998</v>
      </c>
      <c r="J61" s="220">
        <v>1378008</v>
      </c>
      <c r="K61" s="220">
        <v>538631</v>
      </c>
      <c r="L61" s="115">
        <f t="shared" si="31"/>
        <v>1916639</v>
      </c>
      <c r="M61" s="110">
        <f t="shared" si="46"/>
        <v>22.220098078996486</v>
      </c>
      <c r="N61" s="220">
        <v>164728</v>
      </c>
      <c r="O61" s="220">
        <v>121084</v>
      </c>
      <c r="P61" s="220">
        <v>40000</v>
      </c>
      <c r="Q61" s="220">
        <v>325812</v>
      </c>
      <c r="R61" s="110">
        <f t="shared" si="47"/>
        <v>3.7772238774824074</v>
      </c>
      <c r="S61" s="220">
        <v>176246</v>
      </c>
      <c r="T61" s="220">
        <v>2418697</v>
      </c>
      <c r="U61" s="207">
        <v>6777</v>
      </c>
      <c r="V61" s="220">
        <v>2418697</v>
      </c>
      <c r="W61" s="110">
        <f t="shared" si="48"/>
        <v>28.040588010248445</v>
      </c>
      <c r="X61" s="111">
        <f t="shared" si="32"/>
        <v>0.79242625264760325</v>
      </c>
      <c r="Y61" s="111">
        <f t="shared" si="33"/>
        <v>0.13470558734723695</v>
      </c>
      <c r="Z61" s="111">
        <f t="shared" si="34"/>
        <v>7.2868160005159804E-2</v>
      </c>
      <c r="AA61" s="111">
        <f t="shared" si="35"/>
        <v>2.8019218612335486E-3</v>
      </c>
      <c r="AB61" s="220">
        <v>0</v>
      </c>
      <c r="AE61" s="207"/>
      <c r="AF61" s="353">
        <v>4000</v>
      </c>
      <c r="AG61" s="353">
        <v>2232871</v>
      </c>
      <c r="AH61" s="207"/>
      <c r="AI61" s="115">
        <f t="shared" si="49"/>
        <v>2236871</v>
      </c>
      <c r="AJ61" s="110">
        <f t="shared" si="50"/>
        <v>25.9326315545405</v>
      </c>
      <c r="AK61" s="353">
        <v>104692</v>
      </c>
      <c r="AL61" s="207">
        <v>0</v>
      </c>
      <c r="AM61" s="353"/>
      <c r="AN61" s="353">
        <v>5112</v>
      </c>
      <c r="AO61" s="115">
        <f t="shared" si="36"/>
        <v>5112</v>
      </c>
      <c r="AP61" s="353">
        <v>2418697</v>
      </c>
      <c r="AQ61" s="112">
        <f t="shared" si="51"/>
        <v>28.040588010248445</v>
      </c>
      <c r="AR61" s="207"/>
      <c r="AS61" s="220">
        <v>0</v>
      </c>
      <c r="AT61" s="207">
        <v>0</v>
      </c>
      <c r="AU61" s="220">
        <v>0</v>
      </c>
      <c r="AV61" s="220">
        <v>0</v>
      </c>
      <c r="AW61" s="207"/>
      <c r="AX61" s="220">
        <v>0</v>
      </c>
      <c r="AY61" s="115">
        <f t="shared" si="37"/>
        <v>0</v>
      </c>
      <c r="AZ61" s="352">
        <v>88357</v>
      </c>
      <c r="BA61" s="109">
        <f t="shared" si="52"/>
        <v>1.0243458501918685</v>
      </c>
      <c r="BB61" s="352">
        <v>3104</v>
      </c>
      <c r="BC61" s="352">
        <v>34598</v>
      </c>
      <c r="BD61" s="352">
        <v>6954</v>
      </c>
      <c r="BE61" s="352">
        <v>3373</v>
      </c>
      <c r="BF61" s="352">
        <v>139184</v>
      </c>
      <c r="BG61" s="221">
        <v>3</v>
      </c>
      <c r="BH61" s="221">
        <v>89</v>
      </c>
      <c r="BI61" s="205">
        <v>0</v>
      </c>
      <c r="BJ61">
        <v>87</v>
      </c>
      <c r="BK61" s="352">
        <v>276314</v>
      </c>
      <c r="BL61" s="109">
        <f t="shared" si="53"/>
        <v>3.2033805951980709</v>
      </c>
      <c r="BM61">
        <v>5</v>
      </c>
      <c r="BN61" s="352">
        <v>5505</v>
      </c>
      <c r="BO61" s="109">
        <f t="shared" si="54"/>
        <v>6.3820907288683823E-2</v>
      </c>
      <c r="BP61" s="352">
        <v>70242</v>
      </c>
      <c r="BQ61" s="205">
        <v>0</v>
      </c>
      <c r="BR61" s="356">
        <f t="shared" si="38"/>
        <v>117692</v>
      </c>
      <c r="BS61" s="352">
        <v>112164</v>
      </c>
      <c r="BT61" s="352">
        <v>229856</v>
      </c>
      <c r="BU61" s="109">
        <f t="shared" si="55"/>
        <v>2.664780829381963</v>
      </c>
      <c r="BV61" s="108">
        <f t="shared" si="66"/>
        <v>7267.0249762883341</v>
      </c>
      <c r="BW61" s="109">
        <f t="shared" si="56"/>
        <v>127.69777777777777</v>
      </c>
      <c r="BX61" s="109">
        <f t="shared" si="57"/>
        <v>15.567626142905519</v>
      </c>
      <c r="BY61" s="109">
        <f t="shared" si="65"/>
        <v>0.8318651968412748</v>
      </c>
      <c r="BZ61">
        <v>0</v>
      </c>
      <c r="CA61">
        <v>0</v>
      </c>
      <c r="CB61">
        <v>0</v>
      </c>
      <c r="CC61" s="113">
        <f t="shared" si="41"/>
        <v>0</v>
      </c>
      <c r="CD61">
        <v>644</v>
      </c>
      <c r="CE61">
        <v>0</v>
      </c>
      <c r="CF61">
        <v>110</v>
      </c>
      <c r="CG61" s="116">
        <f t="shared" si="42"/>
        <v>754</v>
      </c>
      <c r="CH61" s="109">
        <f t="shared" si="58"/>
        <v>8.7413195450804001E-3</v>
      </c>
      <c r="CI61" s="352">
        <v>14765</v>
      </c>
      <c r="CJ61" s="109">
        <f t="shared" si="59"/>
        <v>0.17117451337282771</v>
      </c>
      <c r="CK61" s="352">
        <v>47107</v>
      </c>
      <c r="CL61" s="208" t="s">
        <v>7</v>
      </c>
      <c r="CM61" s="208" t="s">
        <v>7</v>
      </c>
      <c r="CN61" s="208" t="s">
        <v>7</v>
      </c>
      <c r="CO61">
        <v>13</v>
      </c>
      <c r="CP61" s="108">
        <f>C61/CO61</f>
        <v>6635.1538461538457</v>
      </c>
      <c r="CQ61">
        <v>0</v>
      </c>
      <c r="CR61">
        <v>18.63</v>
      </c>
      <c r="CS61">
        <v>31.63</v>
      </c>
      <c r="CT61" s="108">
        <f t="shared" si="67"/>
        <v>2727.0629149541573</v>
      </c>
      <c r="CU61">
        <v>0</v>
      </c>
      <c r="CV61" s="353">
        <v>104887</v>
      </c>
      <c r="CW61" s="209">
        <v>40</v>
      </c>
      <c r="CX61" s="208" t="s">
        <v>7</v>
      </c>
      <c r="CY61" s="208" t="s">
        <v>7</v>
      </c>
      <c r="CZ61">
        <v>0</v>
      </c>
      <c r="DA61">
        <v>0</v>
      </c>
      <c r="DB61">
        <v>30</v>
      </c>
      <c r="DC61">
        <v>0</v>
      </c>
      <c r="DD61">
        <v>0</v>
      </c>
      <c r="DE61" s="352">
        <v>65876</v>
      </c>
      <c r="DF61" s="205">
        <v>2500</v>
      </c>
      <c r="DG61" s="205">
        <v>52</v>
      </c>
      <c r="DH61" s="209">
        <f t="shared" si="60"/>
        <v>2.8983154990319625E-2</v>
      </c>
      <c r="DI61" s="205">
        <v>56</v>
      </c>
      <c r="DJ61" s="205">
        <v>56</v>
      </c>
      <c r="DK61" s="108">
        <v>7096</v>
      </c>
      <c r="DL61" s="343">
        <v>1800</v>
      </c>
      <c r="DM61" s="204"/>
      <c r="DN61" t="s">
        <v>1089</v>
      </c>
      <c r="DO61" t="s">
        <v>125</v>
      </c>
      <c r="DP61" s="208"/>
      <c r="DQ61" s="206"/>
      <c r="DR61" s="368" t="s">
        <v>972</v>
      </c>
      <c r="DS61" s="204" t="s">
        <v>972</v>
      </c>
      <c r="DT61" s="227">
        <v>44013</v>
      </c>
      <c r="DU61" s="227">
        <v>44377</v>
      </c>
      <c r="DV61" t="s">
        <v>1245</v>
      </c>
      <c r="DW61" s="109">
        <f t="shared" si="61"/>
        <v>0.81433390913201242</v>
      </c>
      <c r="DX61" s="109">
        <f t="shared" si="62"/>
        <v>0</v>
      </c>
      <c r="DY61" s="109">
        <f t="shared" si="63"/>
        <v>1.3644341908482789</v>
      </c>
      <c r="DZ61" s="109">
        <f t="shared" si="64"/>
        <v>1.3003466385336842</v>
      </c>
      <c r="EA61" s="110">
        <f t="shared" si="68"/>
        <v>0.87652048059425114</v>
      </c>
      <c r="EB61" s="199">
        <f t="shared" si="43"/>
        <v>1.0795264077600657</v>
      </c>
    </row>
    <row r="62" spans="1:132" ht="16.5" x14ac:dyDescent="0.3">
      <c r="A62" s="216" t="s">
        <v>1008</v>
      </c>
      <c r="B62" t="s">
        <v>1224</v>
      </c>
      <c r="C62" s="352">
        <v>63153</v>
      </c>
      <c r="D62">
        <v>1</v>
      </c>
      <c r="E62"/>
      <c r="F62" s="221">
        <v>21000</v>
      </c>
      <c r="H62" s="108">
        <f t="shared" si="0"/>
        <v>21000</v>
      </c>
      <c r="I62" s="109">
        <v>0.31739000000000001</v>
      </c>
      <c r="J62" s="220">
        <v>553732</v>
      </c>
      <c r="K62" s="220">
        <v>178888</v>
      </c>
      <c r="L62" s="115">
        <f t="shared" si="31"/>
        <v>732620</v>
      </c>
      <c r="M62" s="110">
        <f t="shared" si="46"/>
        <v>11.600715722135131</v>
      </c>
      <c r="N62" s="220">
        <v>75700</v>
      </c>
      <c r="O62" s="220">
        <v>16350</v>
      </c>
      <c r="P62" s="220">
        <v>7400</v>
      </c>
      <c r="Q62" s="220">
        <v>99450</v>
      </c>
      <c r="R62" s="110">
        <f t="shared" si="47"/>
        <v>1.5747470428958243</v>
      </c>
      <c r="S62" s="220">
        <v>61331</v>
      </c>
      <c r="T62" s="220">
        <v>893401</v>
      </c>
      <c r="U62" s="207">
        <v>0</v>
      </c>
      <c r="V62" s="220">
        <v>893401</v>
      </c>
      <c r="W62" s="110">
        <f t="shared" si="48"/>
        <v>14.146612195778506</v>
      </c>
      <c r="X62" s="111">
        <f t="shared" si="32"/>
        <v>0.82003490034150395</v>
      </c>
      <c r="Y62" s="111">
        <f t="shared" si="33"/>
        <v>0.11131619507925332</v>
      </c>
      <c r="Z62" s="111">
        <f t="shared" si="34"/>
        <v>6.8648904579242692E-2</v>
      </c>
      <c r="AA62" s="111">
        <f t="shared" si="35"/>
        <v>0</v>
      </c>
      <c r="AB62" s="220">
        <v>0</v>
      </c>
      <c r="AE62" s="207"/>
      <c r="AF62" s="353">
        <v>0</v>
      </c>
      <c r="AG62" s="353">
        <v>788401</v>
      </c>
      <c r="AH62" s="207"/>
      <c r="AI62" s="115">
        <f t="shared" si="49"/>
        <v>788401</v>
      </c>
      <c r="AJ62" s="110">
        <f t="shared" si="50"/>
        <v>12.483983342042341</v>
      </c>
      <c r="AK62" s="353">
        <v>107708</v>
      </c>
      <c r="AL62" s="207">
        <v>63667</v>
      </c>
      <c r="AM62" s="353"/>
      <c r="AN62" s="353">
        <v>0</v>
      </c>
      <c r="AO62" s="115">
        <f t="shared" si="36"/>
        <v>0</v>
      </c>
      <c r="AP62" s="353">
        <v>896859</v>
      </c>
      <c r="AQ62" s="112">
        <f t="shared" si="51"/>
        <v>14.201368106028218</v>
      </c>
      <c r="AR62" s="207"/>
      <c r="AS62" s="220">
        <v>51249</v>
      </c>
      <c r="AT62" s="207">
        <v>0</v>
      </c>
      <c r="AU62" s="220">
        <v>0</v>
      </c>
      <c r="AV62" s="220">
        <v>100000</v>
      </c>
      <c r="AW62" s="207"/>
      <c r="AX62" s="220">
        <v>10764</v>
      </c>
      <c r="AY62" s="115">
        <f t="shared" si="37"/>
        <v>162013</v>
      </c>
      <c r="AZ62" s="352">
        <v>99202</v>
      </c>
      <c r="BA62" s="109">
        <f t="shared" si="52"/>
        <v>1.5708200718889047</v>
      </c>
      <c r="BB62" s="352">
        <v>2716</v>
      </c>
      <c r="BC62" s="352">
        <v>30111</v>
      </c>
      <c r="BD62" s="352">
        <v>1901</v>
      </c>
      <c r="BE62" s="352">
        <v>2443</v>
      </c>
      <c r="BF62" s="352">
        <v>166680</v>
      </c>
      <c r="BG62" s="221">
        <v>7</v>
      </c>
      <c r="BH62" s="221">
        <v>89</v>
      </c>
      <c r="BI62" s="205">
        <v>0</v>
      </c>
      <c r="BJ62">
        <v>88</v>
      </c>
      <c r="BK62" s="352">
        <v>308156</v>
      </c>
      <c r="BL62" s="109">
        <f t="shared" si="53"/>
        <v>4.8795148290659194</v>
      </c>
      <c r="BM62">
        <v>57</v>
      </c>
      <c r="BN62" s="352">
        <v>20479</v>
      </c>
      <c r="BO62" s="109">
        <f t="shared" si="54"/>
        <v>0.32427596472059916</v>
      </c>
      <c r="BP62" s="352">
        <v>112709</v>
      </c>
      <c r="BQ62" s="205">
        <v>0</v>
      </c>
      <c r="BR62" s="356">
        <f t="shared" si="38"/>
        <v>179217</v>
      </c>
      <c r="BS62" s="352">
        <v>112350</v>
      </c>
      <c r="BT62" s="352">
        <v>291567</v>
      </c>
      <c r="BU62" s="109">
        <f t="shared" si="55"/>
        <v>4.6168353047361173</v>
      </c>
      <c r="BV62" s="108">
        <f t="shared" si="66"/>
        <v>21565.606508875739</v>
      </c>
      <c r="BW62" s="109">
        <f t="shared" si="56"/>
        <v>118.04331983805668</v>
      </c>
      <c r="BX62" s="109">
        <f t="shared" si="57"/>
        <v>4.6024782951854775</v>
      </c>
      <c r="BY62" s="109">
        <f t="shared" si="65"/>
        <v>0.94616687651708875</v>
      </c>
      <c r="BZ62">
        <v>30</v>
      </c>
      <c r="CA62">
        <v>3</v>
      </c>
      <c r="CB62">
        <v>4</v>
      </c>
      <c r="CC62" s="113">
        <f t="shared" si="41"/>
        <v>37</v>
      </c>
      <c r="CD62">
        <v>130</v>
      </c>
      <c r="CE62">
        <v>23</v>
      </c>
      <c r="CF62">
        <v>0</v>
      </c>
      <c r="CG62" s="116">
        <f t="shared" si="42"/>
        <v>153</v>
      </c>
      <c r="CH62" s="109">
        <f t="shared" si="58"/>
        <v>2.4226877583012683E-3</v>
      </c>
      <c r="CI62" s="352">
        <v>63350</v>
      </c>
      <c r="CJ62" s="109">
        <f t="shared" si="59"/>
        <v>1.0031194084208193</v>
      </c>
      <c r="CK62" s="352">
        <v>12523</v>
      </c>
      <c r="CL62" s="208" t="s">
        <v>7</v>
      </c>
      <c r="CM62" s="208" t="s">
        <v>7</v>
      </c>
      <c r="CN62" s="208" t="s">
        <v>7</v>
      </c>
      <c r="CO62">
        <v>4</v>
      </c>
      <c r="CP62" s="108">
        <f>C62/CO62</f>
        <v>15788.25</v>
      </c>
      <c r="CQ62">
        <v>0</v>
      </c>
      <c r="CR62">
        <v>9.52</v>
      </c>
      <c r="CS62">
        <v>13.52</v>
      </c>
      <c r="CT62" s="108">
        <f t="shared" si="67"/>
        <v>4671.0798816568049</v>
      </c>
      <c r="CU62">
        <v>542</v>
      </c>
      <c r="CV62" s="353">
        <v>75953</v>
      </c>
      <c r="CW62" s="209">
        <v>40</v>
      </c>
      <c r="CX62" s="208" t="s">
        <v>7</v>
      </c>
      <c r="CY62" s="208" t="s">
        <v>7</v>
      </c>
      <c r="CZ62">
        <v>109</v>
      </c>
      <c r="DA62">
        <v>3</v>
      </c>
      <c r="DB62">
        <v>27</v>
      </c>
      <c r="DC62" s="352">
        <v>4915</v>
      </c>
      <c r="DD62" s="352">
        <v>31225</v>
      </c>
      <c r="DE62" s="352">
        <v>54114</v>
      </c>
      <c r="DF62" s="205">
        <v>3020</v>
      </c>
      <c r="DG62" s="205">
        <v>49</v>
      </c>
      <c r="DH62" s="209">
        <f t="shared" si="60"/>
        <v>4.7820372745554444E-2</v>
      </c>
      <c r="DI62" s="205">
        <v>54</v>
      </c>
      <c r="DJ62" s="205">
        <v>54</v>
      </c>
      <c r="DL62" s="343">
        <v>2470</v>
      </c>
      <c r="DM62" s="204"/>
      <c r="DN62" t="s">
        <v>1090</v>
      </c>
      <c r="DO62" t="s">
        <v>125</v>
      </c>
      <c r="DP62" s="208"/>
      <c r="DQ62" s="206"/>
      <c r="DR62" s="368" t="s">
        <v>1008</v>
      </c>
      <c r="DS62" s="204" t="s">
        <v>1008</v>
      </c>
      <c r="DT62" s="227">
        <v>44013</v>
      </c>
      <c r="DU62" s="227">
        <v>44377</v>
      </c>
      <c r="DV62" t="s">
        <v>1224</v>
      </c>
      <c r="DW62" s="109">
        <f t="shared" si="61"/>
        <v>1.7846974807214226</v>
      </c>
      <c r="DX62" s="109">
        <f t="shared" si="62"/>
        <v>0</v>
      </c>
      <c r="DY62" s="109">
        <f t="shared" si="63"/>
        <v>2.837822431238421</v>
      </c>
      <c r="DZ62" s="109">
        <f t="shared" si="64"/>
        <v>1.779012873497696</v>
      </c>
      <c r="EA62" s="110">
        <f t="shared" si="68"/>
        <v>0.25931229147112622</v>
      </c>
      <c r="EB62" s="199">
        <f t="shared" si="43"/>
        <v>0.14552736982643524</v>
      </c>
    </row>
    <row r="63" spans="1:132" ht="16.5" x14ac:dyDescent="0.3">
      <c r="A63" s="216" t="s">
        <v>1144</v>
      </c>
      <c r="B63" t="s">
        <v>1246</v>
      </c>
      <c r="C63" s="352">
        <v>45392</v>
      </c>
      <c r="D63"/>
      <c r="E63"/>
      <c r="F63" s="221">
        <v>38000</v>
      </c>
      <c r="H63" s="108">
        <f t="shared" si="0"/>
        <v>38000</v>
      </c>
      <c r="I63" s="109">
        <v>0.92396</v>
      </c>
      <c r="J63" s="220">
        <v>385861</v>
      </c>
      <c r="K63" s="220">
        <v>173359</v>
      </c>
      <c r="L63" s="115">
        <f t="shared" si="31"/>
        <v>559220</v>
      </c>
      <c r="M63" s="110">
        <f t="shared" si="46"/>
        <v>12.319792033838562</v>
      </c>
      <c r="N63" s="220">
        <v>35910</v>
      </c>
      <c r="O63" s="220">
        <v>21617</v>
      </c>
      <c r="P63" s="220">
        <v>5322</v>
      </c>
      <c r="Q63" s="220">
        <v>62849</v>
      </c>
      <c r="R63" s="110">
        <f t="shared" si="47"/>
        <v>1.3845831864645752</v>
      </c>
      <c r="S63" s="220">
        <v>209283</v>
      </c>
      <c r="T63" s="220">
        <v>831352</v>
      </c>
      <c r="U63" s="207">
        <v>0</v>
      </c>
      <c r="V63" s="220">
        <v>831352</v>
      </c>
      <c r="W63" s="110">
        <f t="shared" si="48"/>
        <v>18.314945364821995</v>
      </c>
      <c r="X63" s="111">
        <f t="shared" si="32"/>
        <v>0.67266332431990306</v>
      </c>
      <c r="Y63" s="111">
        <f t="shared" si="33"/>
        <v>7.5598543096065202E-2</v>
      </c>
      <c r="Z63" s="111">
        <f t="shared" si="34"/>
        <v>0.25173813258403177</v>
      </c>
      <c r="AA63" s="111">
        <f t="shared" si="35"/>
        <v>0</v>
      </c>
      <c r="AB63" s="220">
        <v>0</v>
      </c>
      <c r="AE63" s="207"/>
      <c r="AF63" s="353">
        <v>123209</v>
      </c>
      <c r="AG63" s="353">
        <v>698184</v>
      </c>
      <c r="AH63" s="207"/>
      <c r="AI63" s="115">
        <f t="shared" si="49"/>
        <v>821393</v>
      </c>
      <c r="AJ63" s="110">
        <f t="shared" si="50"/>
        <v>18.095545470567501</v>
      </c>
      <c r="AK63" s="353">
        <v>101476</v>
      </c>
      <c r="AL63" s="207">
        <v>186244</v>
      </c>
      <c r="AM63" s="353"/>
      <c r="AN63" s="353">
        <v>23090</v>
      </c>
      <c r="AO63" s="115">
        <f t="shared" si="36"/>
        <v>23090</v>
      </c>
      <c r="AP63" s="353">
        <v>947304</v>
      </c>
      <c r="AQ63" s="112">
        <f t="shared" si="51"/>
        <v>20.869404300317235</v>
      </c>
      <c r="AR63" s="207"/>
      <c r="AS63" s="220">
        <v>0</v>
      </c>
      <c r="AT63" s="207">
        <v>0</v>
      </c>
      <c r="AU63" s="220">
        <v>0</v>
      </c>
      <c r="AV63" s="220">
        <v>0</v>
      </c>
      <c r="AW63" s="207"/>
      <c r="AX63" s="220">
        <v>0</v>
      </c>
      <c r="AY63" s="115">
        <f t="shared" si="37"/>
        <v>0</v>
      </c>
      <c r="AZ63" s="352">
        <v>68578</v>
      </c>
      <c r="BA63" s="109">
        <f t="shared" si="52"/>
        <v>1.510794853718717</v>
      </c>
      <c r="BB63" s="352">
        <v>2094</v>
      </c>
      <c r="BC63" s="352">
        <v>30229</v>
      </c>
      <c r="BD63" s="352">
        <v>1583</v>
      </c>
      <c r="BE63" s="352">
        <v>2443</v>
      </c>
      <c r="BF63" s="352">
        <v>167056</v>
      </c>
      <c r="BG63" s="221">
        <v>3</v>
      </c>
      <c r="BH63" s="221">
        <v>89</v>
      </c>
      <c r="BI63" s="205">
        <v>0</v>
      </c>
      <c r="BJ63">
        <v>89</v>
      </c>
      <c r="BK63" s="352">
        <v>275980</v>
      </c>
      <c r="BL63" s="109">
        <f t="shared" si="53"/>
        <v>6.0799259781459289</v>
      </c>
      <c r="BM63">
        <v>27</v>
      </c>
      <c r="BN63">
        <v>-1</v>
      </c>
      <c r="BO63" s="109">
        <f t="shared" si="54"/>
        <v>-2.2030313711667254E-5</v>
      </c>
      <c r="BP63" s="352">
        <v>7934</v>
      </c>
      <c r="BQ63" s="205">
        <v>0</v>
      </c>
      <c r="BR63" s="356">
        <f t="shared" si="38"/>
        <v>19923</v>
      </c>
      <c r="BS63" s="352">
        <v>15721</v>
      </c>
      <c r="BT63" s="352">
        <v>35644</v>
      </c>
      <c r="BU63" s="109">
        <f t="shared" si="55"/>
        <v>0.78524850193866758</v>
      </c>
      <c r="BV63" s="108">
        <f t="shared" si="66"/>
        <v>2376.2666666666669</v>
      </c>
      <c r="BW63" s="109">
        <f t="shared" si="56"/>
        <v>5.0494404306559</v>
      </c>
      <c r="BX63" s="109">
        <f t="shared" si="57"/>
        <v>2.2277499999999999</v>
      </c>
      <c r="BY63" s="109">
        <f t="shared" si="65"/>
        <v>0.12915428654250308</v>
      </c>
      <c r="BZ63">
        <v>11</v>
      </c>
      <c r="CA63">
        <v>0</v>
      </c>
      <c r="CB63">
        <v>0</v>
      </c>
      <c r="CC63" s="113">
        <f t="shared" si="41"/>
        <v>11</v>
      </c>
      <c r="CD63">
        <v>617</v>
      </c>
      <c r="CE63">
        <v>0</v>
      </c>
      <c r="CF63">
        <v>47</v>
      </c>
      <c r="CG63" s="116">
        <f t="shared" si="42"/>
        <v>664</v>
      </c>
      <c r="CH63" s="109">
        <f t="shared" si="58"/>
        <v>1.4628128304547057E-2</v>
      </c>
      <c r="CI63" s="352">
        <v>16000</v>
      </c>
      <c r="CJ63" s="109">
        <f t="shared" si="59"/>
        <v>0.35248501938667609</v>
      </c>
      <c r="CK63" s="352">
        <v>15882</v>
      </c>
      <c r="CL63" s="208" t="s">
        <v>7</v>
      </c>
      <c r="CM63" s="208" t="s">
        <v>7</v>
      </c>
      <c r="CN63" s="208" t="s">
        <v>7</v>
      </c>
      <c r="CO63">
        <v>4</v>
      </c>
      <c r="CP63" s="209">
        <v>0</v>
      </c>
      <c r="CQ63">
        <v>0</v>
      </c>
      <c r="CR63">
        <v>11</v>
      </c>
      <c r="CS63">
        <v>15</v>
      </c>
      <c r="CT63" s="108">
        <f t="shared" si="67"/>
        <v>3026.1333333333332</v>
      </c>
      <c r="CU63">
        <v>0</v>
      </c>
      <c r="CV63" s="353">
        <v>68134</v>
      </c>
      <c r="CW63" s="209">
        <v>40</v>
      </c>
      <c r="CX63" s="208" t="s">
        <v>7</v>
      </c>
      <c r="CY63" s="208" t="s">
        <v>7</v>
      </c>
      <c r="CZ63" s="352">
        <v>5347</v>
      </c>
      <c r="DA63" s="352">
        <v>2062</v>
      </c>
      <c r="DB63">
        <v>35</v>
      </c>
      <c r="DC63" s="352">
        <v>1378</v>
      </c>
      <c r="DD63">
        <v>200</v>
      </c>
      <c r="DE63" s="352">
        <v>3100</v>
      </c>
      <c r="DF63" s="205">
        <v>9334</v>
      </c>
      <c r="DG63" s="205">
        <v>50</v>
      </c>
      <c r="DH63" s="209">
        <f t="shared" si="60"/>
        <v>0.20563094818470215</v>
      </c>
      <c r="DI63" s="205">
        <v>37</v>
      </c>
      <c r="DJ63" s="205">
        <v>37</v>
      </c>
      <c r="DL63" s="343">
        <v>7059</v>
      </c>
      <c r="DM63" s="204"/>
      <c r="DN63" t="s">
        <v>1091</v>
      </c>
      <c r="DO63" t="s">
        <v>125</v>
      </c>
      <c r="DP63" s="208"/>
      <c r="DQ63" s="206"/>
      <c r="DR63" s="367" t="s">
        <v>1281</v>
      </c>
      <c r="DS63" s="204" t="s">
        <v>1009</v>
      </c>
      <c r="DT63" s="227">
        <v>44013</v>
      </c>
      <c r="DU63" s="227">
        <v>44377</v>
      </c>
      <c r="DV63" t="s">
        <v>1246</v>
      </c>
      <c r="DW63" s="109">
        <f t="shared" si="61"/>
        <v>0.17478850898836801</v>
      </c>
      <c r="DX63" s="109">
        <f t="shared" si="62"/>
        <v>0</v>
      </c>
      <c r="DY63" s="109">
        <f t="shared" si="63"/>
        <v>0.43890994007754669</v>
      </c>
      <c r="DZ63" s="109">
        <f t="shared" si="64"/>
        <v>0.34633856186112089</v>
      </c>
      <c r="EA63" s="110">
        <f t="shared" si="68"/>
        <v>1.2890835337617117</v>
      </c>
      <c r="EB63" s="199">
        <v>0</v>
      </c>
    </row>
    <row r="64" spans="1:132" ht="16.5" x14ac:dyDescent="0.3">
      <c r="A64" s="216" t="s">
        <v>1010</v>
      </c>
      <c r="B64" t="s">
        <v>1225</v>
      </c>
      <c r="C64" s="352">
        <v>40315</v>
      </c>
      <c r="D64"/>
      <c r="E64">
        <v>1</v>
      </c>
      <c r="F64" s="221">
        <v>12697</v>
      </c>
      <c r="H64" s="108">
        <f t="shared" si="0"/>
        <v>12697</v>
      </c>
      <c r="I64" s="109">
        <v>1.1351800000000001</v>
      </c>
      <c r="J64" s="220">
        <v>339461</v>
      </c>
      <c r="K64" s="220">
        <v>131588</v>
      </c>
      <c r="L64" s="115">
        <f t="shared" si="31"/>
        <v>471049</v>
      </c>
      <c r="M64" s="110">
        <f t="shared" si="46"/>
        <v>11.684211831824383</v>
      </c>
      <c r="N64" s="220">
        <v>65720</v>
      </c>
      <c r="O64" s="220">
        <v>12500</v>
      </c>
      <c r="P64" s="220">
        <v>7162</v>
      </c>
      <c r="Q64" s="220">
        <v>85382</v>
      </c>
      <c r="R64" s="110">
        <f t="shared" si="47"/>
        <v>2.1178717598908596</v>
      </c>
      <c r="S64" s="220">
        <v>46734</v>
      </c>
      <c r="T64" s="220">
        <v>603165</v>
      </c>
      <c r="U64" s="207">
        <v>0</v>
      </c>
      <c r="V64" s="220">
        <v>603165</v>
      </c>
      <c r="W64" s="110">
        <f t="shared" si="48"/>
        <v>14.961304725288354</v>
      </c>
      <c r="X64" s="111">
        <f t="shared" si="32"/>
        <v>0.78096209163330099</v>
      </c>
      <c r="Y64" s="111">
        <f t="shared" si="33"/>
        <v>0.14155662215148426</v>
      </c>
      <c r="Z64" s="111">
        <f t="shared" si="34"/>
        <v>7.7481286215214745E-2</v>
      </c>
      <c r="AA64" s="111">
        <f t="shared" si="35"/>
        <v>0</v>
      </c>
      <c r="AB64" s="220">
        <v>0</v>
      </c>
      <c r="AE64" s="207"/>
      <c r="AF64" s="353">
        <v>0</v>
      </c>
      <c r="AG64" s="353">
        <v>537703</v>
      </c>
      <c r="AH64" s="207"/>
      <c r="AI64" s="115">
        <f t="shared" si="49"/>
        <v>537703</v>
      </c>
      <c r="AJ64" s="110">
        <f t="shared" si="50"/>
        <v>13.337541857869279</v>
      </c>
      <c r="AK64" s="353">
        <v>93733</v>
      </c>
      <c r="AL64" s="207">
        <v>10549</v>
      </c>
      <c r="AM64" s="353"/>
      <c r="AN64" s="353">
        <v>5124</v>
      </c>
      <c r="AO64" s="115">
        <f t="shared" si="36"/>
        <v>5124</v>
      </c>
      <c r="AP64" s="353">
        <v>679339</v>
      </c>
      <c r="AQ64" s="112">
        <f t="shared" si="51"/>
        <v>16.850775145727397</v>
      </c>
      <c r="AR64" s="207"/>
      <c r="AS64" s="220">
        <v>0</v>
      </c>
      <c r="AT64" s="207">
        <v>0</v>
      </c>
      <c r="AU64" s="220">
        <v>0</v>
      </c>
      <c r="AV64" s="220">
        <v>0</v>
      </c>
      <c r="AW64" s="207"/>
      <c r="AX64" s="220">
        <v>0</v>
      </c>
      <c r="AY64" s="115">
        <f t="shared" si="37"/>
        <v>0</v>
      </c>
      <c r="AZ64" s="352">
        <v>67949</v>
      </c>
      <c r="BA64" s="109">
        <f t="shared" si="52"/>
        <v>1.6854520649882179</v>
      </c>
      <c r="BB64" s="352">
        <v>2332</v>
      </c>
      <c r="BC64" s="352">
        <v>30176</v>
      </c>
      <c r="BD64" s="352">
        <v>1533</v>
      </c>
      <c r="BE64" s="352">
        <v>2443</v>
      </c>
      <c r="BF64" s="352">
        <v>167205</v>
      </c>
      <c r="BG64" s="221">
        <v>1</v>
      </c>
      <c r="BH64" s="221">
        <v>89</v>
      </c>
      <c r="BI64" s="205">
        <v>0</v>
      </c>
      <c r="BJ64">
        <v>93</v>
      </c>
      <c r="BK64" s="352">
        <v>275679</v>
      </c>
      <c r="BL64" s="109">
        <f t="shared" si="53"/>
        <v>6.8381247674562822</v>
      </c>
      <c r="BM64">
        <v>85</v>
      </c>
      <c r="BN64" s="352">
        <v>8520</v>
      </c>
      <c r="BO64" s="109">
        <f t="shared" si="54"/>
        <v>0.21133573111745008</v>
      </c>
      <c r="BP64" s="352">
        <v>54413</v>
      </c>
      <c r="BQ64" s="205">
        <v>0</v>
      </c>
      <c r="BR64" s="356">
        <f t="shared" si="38"/>
        <v>93474</v>
      </c>
      <c r="BS64" s="352">
        <v>21185</v>
      </c>
      <c r="BT64" s="352">
        <v>114659</v>
      </c>
      <c r="BU64" s="109">
        <f t="shared" si="55"/>
        <v>2.844077886642689</v>
      </c>
      <c r="BV64" s="108">
        <f t="shared" si="66"/>
        <v>13914.92718446602</v>
      </c>
      <c r="BW64" s="109">
        <f t="shared" si="56"/>
        <v>24.92045207563573</v>
      </c>
      <c r="BX64" s="109">
        <f t="shared" si="57"/>
        <v>3.9304470039764157</v>
      </c>
      <c r="BY64" s="109">
        <f t="shared" si="65"/>
        <v>0.41591488651656455</v>
      </c>
      <c r="BZ64">
        <v>129</v>
      </c>
      <c r="CA64">
        <v>0</v>
      </c>
      <c r="CB64">
        <v>18</v>
      </c>
      <c r="CC64" s="113">
        <f t="shared" si="41"/>
        <v>147</v>
      </c>
      <c r="CD64" s="352">
        <v>1680</v>
      </c>
      <c r="CE64">
        <v>0</v>
      </c>
      <c r="CF64">
        <v>403</v>
      </c>
      <c r="CG64" s="116">
        <f t="shared" si="42"/>
        <v>2083</v>
      </c>
      <c r="CH64" s="109">
        <f t="shared" si="58"/>
        <v>5.1668113605357807E-2</v>
      </c>
      <c r="CI64" s="352">
        <v>29172</v>
      </c>
      <c r="CJ64" s="109">
        <f t="shared" si="59"/>
        <v>0.72360163710777625</v>
      </c>
      <c r="CK64" s="352">
        <v>7717</v>
      </c>
      <c r="CL64" s="208" t="s">
        <v>7</v>
      </c>
      <c r="CM64" s="208" t="s">
        <v>7</v>
      </c>
      <c r="CN64" s="208" t="s">
        <v>7</v>
      </c>
      <c r="CO64">
        <v>4</v>
      </c>
      <c r="CP64" s="209">
        <v>0</v>
      </c>
      <c r="CQ64">
        <v>0</v>
      </c>
      <c r="CR64">
        <v>4.24</v>
      </c>
      <c r="CS64">
        <v>8.24</v>
      </c>
      <c r="CT64" s="108">
        <f t="shared" si="67"/>
        <v>4892.5970873786409</v>
      </c>
      <c r="CU64">
        <v>40</v>
      </c>
      <c r="CV64" s="353">
        <v>65504</v>
      </c>
      <c r="CW64" s="209">
        <v>30</v>
      </c>
      <c r="CX64" s="208" t="s">
        <v>7</v>
      </c>
      <c r="CY64" s="208" t="s">
        <v>7</v>
      </c>
      <c r="CZ64">
        <v>32</v>
      </c>
      <c r="DA64">
        <v>6</v>
      </c>
      <c r="DB64">
        <v>12</v>
      </c>
      <c r="DC64" s="352">
        <v>2136</v>
      </c>
      <c r="DD64">
        <v>-1</v>
      </c>
      <c r="DE64">
        <v>-1</v>
      </c>
      <c r="DF64" s="205">
        <v>5344</v>
      </c>
      <c r="DG64" s="205">
        <v>52</v>
      </c>
      <c r="DH64" s="209">
        <f t="shared" si="60"/>
        <v>0.13255612055066351</v>
      </c>
      <c r="DI64" s="205">
        <v>30</v>
      </c>
      <c r="DJ64" s="205">
        <v>30</v>
      </c>
      <c r="DL64" s="343">
        <v>4601</v>
      </c>
      <c r="DM64" s="204"/>
      <c r="DN64" t="s">
        <v>1092</v>
      </c>
      <c r="DO64" t="s">
        <v>125</v>
      </c>
      <c r="DP64" s="208"/>
      <c r="DQ64" s="206"/>
      <c r="DR64" s="368" t="s">
        <v>1010</v>
      </c>
      <c r="DS64" s="204" t="s">
        <v>1010</v>
      </c>
      <c r="DT64" s="227">
        <v>44013</v>
      </c>
      <c r="DU64" s="227">
        <v>44377</v>
      </c>
      <c r="DV64" t="s">
        <v>1225</v>
      </c>
      <c r="DW64" s="109">
        <f t="shared" si="61"/>
        <v>1.3496961428748604</v>
      </c>
      <c r="DX64" s="109">
        <f t="shared" si="62"/>
        <v>0</v>
      </c>
      <c r="DY64" s="109">
        <f t="shared" si="63"/>
        <v>2.3185910951258837</v>
      </c>
      <c r="DZ64" s="109">
        <f t="shared" si="64"/>
        <v>0.52548679151680511</v>
      </c>
      <c r="EA64" s="110">
        <f t="shared" si="68"/>
        <v>0.44439335438544292</v>
      </c>
      <c r="EB64" s="199">
        <f t="shared" si="43"/>
        <v>0.5900401227283455</v>
      </c>
    </row>
    <row r="65" spans="1:132" ht="30.75" x14ac:dyDescent="0.3">
      <c r="A65" s="216" t="s">
        <v>1145</v>
      </c>
      <c r="B65" t="s">
        <v>1226</v>
      </c>
      <c r="C65" s="352">
        <v>43767</v>
      </c>
      <c r="D65">
        <v>4</v>
      </c>
      <c r="E65"/>
      <c r="F65" s="221">
        <v>41024</v>
      </c>
      <c r="H65" s="108">
        <f t="shared" si="0"/>
        <v>41024</v>
      </c>
      <c r="I65" s="109">
        <v>0.30025000000000002</v>
      </c>
      <c r="J65" s="220">
        <v>589629</v>
      </c>
      <c r="K65" s="220">
        <v>170364</v>
      </c>
      <c r="L65" s="115">
        <f t="shared" si="31"/>
        <v>759993</v>
      </c>
      <c r="M65" s="110">
        <f t="shared" si="46"/>
        <v>17.364521214613749</v>
      </c>
      <c r="N65" s="220">
        <v>40203</v>
      </c>
      <c r="O65" s="220">
        <v>6000</v>
      </c>
      <c r="P65" s="220">
        <v>8628</v>
      </c>
      <c r="Q65" s="220">
        <v>54831</v>
      </c>
      <c r="R65" s="110">
        <f t="shared" si="47"/>
        <v>1.2527932003564328</v>
      </c>
      <c r="S65" s="220">
        <v>354766</v>
      </c>
      <c r="T65" s="220">
        <v>1169590</v>
      </c>
      <c r="U65" s="207">
        <v>0</v>
      </c>
      <c r="V65" s="220">
        <v>1169590</v>
      </c>
      <c r="W65" s="110">
        <f t="shared" si="48"/>
        <v>26.723101880412184</v>
      </c>
      <c r="X65" s="111">
        <f t="shared" si="32"/>
        <v>0.64979437238690485</v>
      </c>
      <c r="Y65" s="111">
        <f t="shared" si="33"/>
        <v>4.6880530784291934E-2</v>
      </c>
      <c r="Z65" s="111">
        <f t="shared" si="34"/>
        <v>0.30332509682880326</v>
      </c>
      <c r="AA65" s="111">
        <f t="shared" si="35"/>
        <v>0</v>
      </c>
      <c r="AB65" s="220">
        <v>0</v>
      </c>
      <c r="AE65" s="207"/>
      <c r="AF65" s="353">
        <v>0</v>
      </c>
      <c r="AG65" s="353">
        <v>723861</v>
      </c>
      <c r="AH65" s="207"/>
      <c r="AI65" s="115">
        <f t="shared" si="49"/>
        <v>723861</v>
      </c>
      <c r="AJ65" s="110">
        <f t="shared" si="50"/>
        <v>16.538967715402016</v>
      </c>
      <c r="AK65" s="353">
        <v>354577</v>
      </c>
      <c r="AL65" s="207">
        <v>0</v>
      </c>
      <c r="AM65" s="353"/>
      <c r="AN65" s="353">
        <v>45352</v>
      </c>
      <c r="AO65" s="115">
        <f t="shared" si="36"/>
        <v>45352</v>
      </c>
      <c r="AP65" s="353">
        <v>1180506</v>
      </c>
      <c r="AQ65" s="112">
        <f t="shared" si="51"/>
        <v>26.972513537596818</v>
      </c>
      <c r="AR65" s="207"/>
      <c r="AS65" s="220">
        <v>4000</v>
      </c>
      <c r="AT65" s="207">
        <v>0</v>
      </c>
      <c r="AU65" s="220">
        <v>0</v>
      </c>
      <c r="AV65" s="220">
        <v>0</v>
      </c>
      <c r="AW65" s="207"/>
      <c r="AX65" s="220">
        <v>0</v>
      </c>
      <c r="AY65" s="115">
        <f t="shared" si="37"/>
        <v>4000</v>
      </c>
      <c r="AZ65" s="352">
        <v>121442</v>
      </c>
      <c r="BA65" s="109">
        <f t="shared" si="52"/>
        <v>2.774738958576096</v>
      </c>
      <c r="BB65" s="352">
        <v>5117</v>
      </c>
      <c r="BC65" s="352">
        <v>30111</v>
      </c>
      <c r="BD65" s="352">
        <v>12620</v>
      </c>
      <c r="BE65" s="352">
        <v>2443</v>
      </c>
      <c r="BF65" s="352">
        <v>166680</v>
      </c>
      <c r="BG65" s="221">
        <v>0</v>
      </c>
      <c r="BH65" s="221">
        <v>89</v>
      </c>
      <c r="BI65" s="205">
        <v>0</v>
      </c>
      <c r="BJ65">
        <v>89</v>
      </c>
      <c r="BK65" s="352">
        <v>343945</v>
      </c>
      <c r="BL65" s="109">
        <f t="shared" si="53"/>
        <v>7.8585463934014212</v>
      </c>
      <c r="BM65">
        <v>150</v>
      </c>
      <c r="BN65" s="352">
        <v>10680</v>
      </c>
      <c r="BO65" s="109">
        <f t="shared" si="54"/>
        <v>0.24401946672150251</v>
      </c>
      <c r="BP65" s="352">
        <v>23645</v>
      </c>
      <c r="BQ65" s="205">
        <v>0</v>
      </c>
      <c r="BR65" s="356">
        <f t="shared" si="38"/>
        <v>72975</v>
      </c>
      <c r="BS65" s="352">
        <v>20142</v>
      </c>
      <c r="BT65" s="352">
        <v>93117</v>
      </c>
      <c r="BU65" s="109">
        <f t="shared" si="55"/>
        <v>2.1275618616766057</v>
      </c>
      <c r="BV65" s="108">
        <f t="shared" si="66"/>
        <v>14898.72</v>
      </c>
      <c r="BW65" s="109">
        <f t="shared" si="56"/>
        <v>10.194547843223122</v>
      </c>
      <c r="BX65" s="109">
        <f t="shared" si="57"/>
        <v>1.5200790100884782</v>
      </c>
      <c r="BY65" s="109">
        <f t="shared" si="65"/>
        <v>0.27073223916614575</v>
      </c>
      <c r="BZ65">
        <v>70</v>
      </c>
      <c r="CA65">
        <v>7</v>
      </c>
      <c r="CB65">
        <v>33</v>
      </c>
      <c r="CC65" s="113">
        <f t="shared" si="41"/>
        <v>110</v>
      </c>
      <c r="CD65">
        <v>0</v>
      </c>
      <c r="CE65">
        <v>61</v>
      </c>
      <c r="CF65">
        <v>0</v>
      </c>
      <c r="CG65" s="116">
        <f t="shared" si="42"/>
        <v>61</v>
      </c>
      <c r="CH65" s="109">
        <f t="shared" si="58"/>
        <v>1.3937441451321773E-3</v>
      </c>
      <c r="CI65" s="352">
        <v>61258</v>
      </c>
      <c r="CJ65" s="109">
        <f t="shared" si="59"/>
        <v>1.399638997418146</v>
      </c>
      <c r="CK65" s="352">
        <v>21169</v>
      </c>
      <c r="CL65" s="208" t="s">
        <v>7</v>
      </c>
      <c r="CM65" s="208" t="s">
        <v>7</v>
      </c>
      <c r="CN65" s="208" t="s">
        <v>7</v>
      </c>
      <c r="CO65">
        <v>4</v>
      </c>
      <c r="CP65" s="108">
        <f>C65/CO65</f>
        <v>10941.75</v>
      </c>
      <c r="CQ65">
        <v>0</v>
      </c>
      <c r="CR65">
        <v>2.25</v>
      </c>
      <c r="CS65">
        <v>6.25</v>
      </c>
      <c r="CT65" s="108">
        <f t="shared" si="67"/>
        <v>7002.72</v>
      </c>
      <c r="CU65">
        <v>15</v>
      </c>
      <c r="CV65" s="353">
        <v>71616</v>
      </c>
      <c r="CW65" s="209">
        <v>40</v>
      </c>
      <c r="CX65" s="208" t="s">
        <v>7</v>
      </c>
      <c r="CY65" s="208" t="s">
        <v>7</v>
      </c>
      <c r="CZ65">
        <v>20</v>
      </c>
      <c r="DA65">
        <v>21</v>
      </c>
      <c r="DB65">
        <v>96</v>
      </c>
      <c r="DC65" s="352">
        <v>1036</v>
      </c>
      <c r="DD65" s="352">
        <v>19563</v>
      </c>
      <c r="DE65" s="352">
        <v>9553</v>
      </c>
      <c r="DF65" s="205">
        <v>12558</v>
      </c>
      <c r="DG65" s="205">
        <v>52</v>
      </c>
      <c r="DH65" s="209">
        <f t="shared" si="60"/>
        <v>0.28692850777983414</v>
      </c>
      <c r="DI65" s="205">
        <v>63</v>
      </c>
      <c r="DJ65" s="205">
        <v>63</v>
      </c>
      <c r="DL65" s="343">
        <v>9134</v>
      </c>
      <c r="DM65" s="204"/>
      <c r="DN65" t="s">
        <v>1093</v>
      </c>
      <c r="DO65" t="s">
        <v>1030</v>
      </c>
      <c r="DP65" s="208"/>
      <c r="DQ65" s="206"/>
      <c r="DR65" s="367" t="s">
        <v>1145</v>
      </c>
      <c r="DS65" s="204" t="s">
        <v>1011</v>
      </c>
      <c r="DT65" s="227">
        <v>44013</v>
      </c>
      <c r="DU65" s="227">
        <v>44377</v>
      </c>
      <c r="DV65" t="s">
        <v>1226</v>
      </c>
      <c r="DW65" s="109">
        <f t="shared" si="61"/>
        <v>0.54024721822377586</v>
      </c>
      <c r="DX65" s="109">
        <f t="shared" si="62"/>
        <v>0</v>
      </c>
      <c r="DY65" s="109">
        <f t="shared" si="63"/>
        <v>1.6673521146068957</v>
      </c>
      <c r="DZ65" s="109">
        <f t="shared" si="64"/>
        <v>0.46020974706971007</v>
      </c>
      <c r="EA65" s="110">
        <f t="shared" si="68"/>
        <v>0.41609397640240114</v>
      </c>
      <c r="EB65" s="199">
        <f t="shared" si="43"/>
        <v>0.29788501638367593</v>
      </c>
    </row>
    <row r="66" spans="1:132" ht="16.5" x14ac:dyDescent="0.3">
      <c r="A66" s="216" t="s">
        <v>1012</v>
      </c>
      <c r="B66" t="s">
        <v>1260</v>
      </c>
      <c r="C66" s="352">
        <v>21784</v>
      </c>
      <c r="D66">
        <v>1</v>
      </c>
      <c r="E66"/>
      <c r="F66" s="221">
        <v>24370</v>
      </c>
      <c r="H66" s="108">
        <f t="shared" ref="H66:H83" si="69">G66+F66</f>
        <v>24370</v>
      </c>
      <c r="I66" s="109">
        <v>0.46360000000000001</v>
      </c>
      <c r="J66" s="220">
        <v>363623</v>
      </c>
      <c r="K66" s="220">
        <v>104983</v>
      </c>
      <c r="L66" s="115">
        <f t="shared" si="31"/>
        <v>468606</v>
      </c>
      <c r="M66" s="110">
        <f t="shared" ref="M66:M83" si="70">L66/C66</f>
        <v>21.511476312890196</v>
      </c>
      <c r="N66" s="220">
        <v>41820</v>
      </c>
      <c r="O66" s="220">
        <v>9480</v>
      </c>
      <c r="P66" s="220">
        <v>14310</v>
      </c>
      <c r="Q66" s="220">
        <v>65610</v>
      </c>
      <c r="R66" s="110">
        <f t="shared" ref="R66:R83" si="71">Q66/C66</f>
        <v>3.011843554902681</v>
      </c>
      <c r="S66" s="220">
        <v>102489</v>
      </c>
      <c r="T66" s="220">
        <v>636705</v>
      </c>
      <c r="U66" s="207">
        <v>0</v>
      </c>
      <c r="V66" s="220">
        <v>636705</v>
      </c>
      <c r="W66" s="110">
        <f t="shared" ref="W66:W83" si="72">V66/C66</f>
        <v>29.228103195005509</v>
      </c>
      <c r="X66" s="111">
        <f t="shared" si="32"/>
        <v>0.73598605319574995</v>
      </c>
      <c r="Y66" s="111">
        <f t="shared" si="33"/>
        <v>0.10304615167149622</v>
      </c>
      <c r="Z66" s="111">
        <f t="shared" si="34"/>
        <v>0.16096779513275378</v>
      </c>
      <c r="AA66" s="111">
        <f t="shared" si="35"/>
        <v>0</v>
      </c>
      <c r="AB66" s="220">
        <v>0</v>
      </c>
      <c r="AE66" s="207"/>
      <c r="AF66" s="353">
        <v>0</v>
      </c>
      <c r="AG66" s="353">
        <v>676222</v>
      </c>
      <c r="AH66" s="207"/>
      <c r="AI66" s="115">
        <f t="shared" ref="AI66:AI83" si="73">SUM(AF66:AH66)</f>
        <v>676222</v>
      </c>
      <c r="AJ66" s="110">
        <f t="shared" ref="AJ66:AJ83" si="74">AI66/C66</f>
        <v>31.042141020932796</v>
      </c>
      <c r="AK66" s="353">
        <v>77540</v>
      </c>
      <c r="AL66" s="207">
        <v>7532</v>
      </c>
      <c r="AM66" s="353"/>
      <c r="AN66" s="353">
        <v>7929</v>
      </c>
      <c r="AO66" s="115">
        <f t="shared" si="36"/>
        <v>7929</v>
      </c>
      <c r="AP66" s="353">
        <v>781007</v>
      </c>
      <c r="AQ66" s="112">
        <f t="shared" ref="AQ66:AQ83" si="75">AP66/C66</f>
        <v>35.852322805728974</v>
      </c>
      <c r="AR66" s="207"/>
      <c r="AS66" s="220">
        <v>0</v>
      </c>
      <c r="AT66" s="207">
        <v>0</v>
      </c>
      <c r="AU66" s="220">
        <v>0</v>
      </c>
      <c r="AV66" s="220">
        <v>0</v>
      </c>
      <c r="AW66" s="207"/>
      <c r="AX66" s="220">
        <v>0</v>
      </c>
      <c r="AY66" s="115">
        <f t="shared" si="37"/>
        <v>0</v>
      </c>
      <c r="AZ66" s="352">
        <v>40035</v>
      </c>
      <c r="BA66" s="109">
        <f t="shared" ref="BA66:BA83" si="76">AZ66/C66</f>
        <v>1.8378167462357693</v>
      </c>
      <c r="BB66" s="352">
        <v>3336</v>
      </c>
      <c r="BC66" s="352">
        <v>52716</v>
      </c>
      <c r="BD66" s="352">
        <v>7958</v>
      </c>
      <c r="BE66" s="352">
        <v>2613</v>
      </c>
      <c r="BF66" s="352">
        <v>206483</v>
      </c>
      <c r="BG66" s="221">
        <v>6</v>
      </c>
      <c r="BH66" s="221">
        <v>89</v>
      </c>
      <c r="BI66" s="205">
        <v>0</v>
      </c>
      <c r="BJ66">
        <v>86</v>
      </c>
      <c r="BK66" s="352">
        <v>317284</v>
      </c>
      <c r="BL66" s="109">
        <f t="shared" ref="BL66:BL83" si="77">BK66/C66</f>
        <v>14.565001836210062</v>
      </c>
      <c r="BM66">
        <v>60</v>
      </c>
      <c r="BN66" s="352">
        <v>14040</v>
      </c>
      <c r="BO66" s="109">
        <f t="shared" ref="BO66:BO83" si="78">BN66/C66</f>
        <v>0.64450973191333083</v>
      </c>
      <c r="BP66" s="352">
        <v>47143</v>
      </c>
      <c r="BQ66" s="205">
        <v>0</v>
      </c>
      <c r="BR66" s="356">
        <f t="shared" si="38"/>
        <v>126344</v>
      </c>
      <c r="BS66" s="352">
        <v>26466</v>
      </c>
      <c r="BT66" s="352">
        <v>152810</v>
      </c>
      <c r="BU66" s="109">
        <f t="shared" ref="BU66:BU83" si="79">BT66/C66</f>
        <v>7.0147814910025703</v>
      </c>
      <c r="BV66" s="108">
        <f t="shared" si="66"/>
        <v>14334.896810506567</v>
      </c>
      <c r="BW66" s="109">
        <f t="shared" ref="BW66:BW83" si="80">BT66/DL66</f>
        <v>13.06068376068376</v>
      </c>
      <c r="BX66" s="109">
        <f t="shared" ref="BX66:BX83" si="81">BT66/CI66</f>
        <v>2.775537634408602</v>
      </c>
      <c r="BY66" s="109">
        <f t="shared" si="65"/>
        <v>0.48161899118770563</v>
      </c>
      <c r="BZ66">
        <v>0</v>
      </c>
      <c r="CA66">
        <v>0</v>
      </c>
      <c r="CB66">
        <v>0</v>
      </c>
      <c r="CC66" s="113">
        <f t="shared" si="41"/>
        <v>0</v>
      </c>
      <c r="CD66">
        <v>0</v>
      </c>
      <c r="CE66">
        <v>0</v>
      </c>
      <c r="CF66">
        <v>102</v>
      </c>
      <c r="CG66" s="116">
        <f t="shared" si="42"/>
        <v>102</v>
      </c>
      <c r="CH66" s="109">
        <f t="shared" ref="CH66:CH83" si="82">CG66/C66</f>
        <v>4.6823356591994122E-3</v>
      </c>
      <c r="CI66" s="352">
        <v>55056</v>
      </c>
      <c r="CJ66" s="109">
        <f t="shared" ref="CJ66:CJ83" si="83">CI66/C66</f>
        <v>2.5273595299302238</v>
      </c>
      <c r="CK66" s="352">
        <v>9170</v>
      </c>
      <c r="CL66" s="208" t="s">
        <v>7</v>
      </c>
      <c r="CM66" s="208" t="s">
        <v>7</v>
      </c>
      <c r="CN66" s="208" t="s">
        <v>7</v>
      </c>
      <c r="CO66">
        <v>2.81</v>
      </c>
      <c r="CP66" s="209">
        <v>0</v>
      </c>
      <c r="CQ66">
        <v>0</v>
      </c>
      <c r="CR66">
        <v>7.85</v>
      </c>
      <c r="CS66">
        <v>10.66</v>
      </c>
      <c r="CT66" s="108">
        <f t="shared" si="67"/>
        <v>2043.5272045028141</v>
      </c>
      <c r="CU66">
        <v>107</v>
      </c>
      <c r="CV66" s="353">
        <v>58969</v>
      </c>
      <c r="CW66" s="209">
        <v>39.200000000000003</v>
      </c>
      <c r="CX66" s="208" t="s">
        <v>7</v>
      </c>
      <c r="CY66" s="208" t="s">
        <v>7</v>
      </c>
      <c r="CZ66" s="352">
        <v>8314</v>
      </c>
      <c r="DA66" s="352">
        <v>12761</v>
      </c>
      <c r="DB66">
        <v>30</v>
      </c>
      <c r="DC66" s="352">
        <v>7379</v>
      </c>
      <c r="DD66" s="352">
        <v>39080</v>
      </c>
      <c r="DE66" s="352">
        <v>47651</v>
      </c>
      <c r="DF66" s="205">
        <v>16302</v>
      </c>
      <c r="DG66" s="205">
        <v>52</v>
      </c>
      <c r="DH66" s="209">
        <f t="shared" ref="DH66:DH83" si="84">DF66/C66</f>
        <v>0.74834741094381196</v>
      </c>
      <c r="DI66" s="205">
        <v>35</v>
      </c>
      <c r="DJ66" s="205">
        <v>35</v>
      </c>
      <c r="DL66" s="343">
        <v>11700</v>
      </c>
      <c r="DM66" s="204"/>
      <c r="DN66" t="s">
        <v>1094</v>
      </c>
      <c r="DO66" t="s">
        <v>125</v>
      </c>
      <c r="DP66" s="208"/>
      <c r="DQ66" s="206"/>
      <c r="DR66" s="368" t="s">
        <v>1012</v>
      </c>
      <c r="DS66" s="204" t="s">
        <v>1012</v>
      </c>
      <c r="DT66" s="227">
        <v>44013</v>
      </c>
      <c r="DU66" s="227">
        <v>44377</v>
      </c>
      <c r="DV66" t="s">
        <v>1260</v>
      </c>
      <c r="DW66" s="109">
        <f t="shared" ref="DW66:DW83" si="85">BP66/C66</f>
        <v>2.1641112743297835</v>
      </c>
      <c r="DX66" s="109">
        <f t="shared" ref="DX66:DX83" si="86">BQ66/C66</f>
        <v>0</v>
      </c>
      <c r="DY66" s="109">
        <f t="shared" ref="DY66:DY83" si="87">BR66/C66</f>
        <v>5.7998531031950051</v>
      </c>
      <c r="DZ66" s="109">
        <f t="shared" ref="DZ66:DZ83" si="88">BS66/C66</f>
        <v>1.2149283878075652</v>
      </c>
      <c r="EA66" s="110">
        <f t="shared" si="68"/>
        <v>0.24105552577426551</v>
      </c>
      <c r="EB66" s="199">
        <v>0</v>
      </c>
    </row>
    <row r="67" spans="1:132" ht="16.5" x14ac:dyDescent="0.3">
      <c r="A67" s="216" t="s">
        <v>1013</v>
      </c>
      <c r="B67" t="s">
        <v>1227</v>
      </c>
      <c r="C67" s="352">
        <v>182241</v>
      </c>
      <c r="D67">
        <v>5</v>
      </c>
      <c r="E67"/>
      <c r="F67" s="221">
        <v>53627</v>
      </c>
      <c r="H67" s="108">
        <f t="shared" si="69"/>
        <v>53627</v>
      </c>
      <c r="I67" s="109">
        <v>0.51227999999999996</v>
      </c>
      <c r="J67" s="220">
        <v>506864</v>
      </c>
      <c r="K67" s="220">
        <v>326267</v>
      </c>
      <c r="L67" s="115">
        <f t="shared" ref="L67:L83" si="89">J67+K67</f>
        <v>833131</v>
      </c>
      <c r="M67" s="110">
        <f t="shared" si="70"/>
        <v>4.5715892691545807</v>
      </c>
      <c r="N67" s="220">
        <v>42416</v>
      </c>
      <c r="O67" s="220">
        <v>19167</v>
      </c>
      <c r="P67" s="220">
        <v>18215</v>
      </c>
      <c r="Q67" s="220">
        <v>79798</v>
      </c>
      <c r="R67" s="110">
        <f t="shared" si="71"/>
        <v>0.43787073161363249</v>
      </c>
      <c r="S67" s="220">
        <v>155399</v>
      </c>
      <c r="T67" s="220">
        <v>1068328</v>
      </c>
      <c r="U67" s="207">
        <v>0</v>
      </c>
      <c r="V67" s="220">
        <v>1068328</v>
      </c>
      <c r="W67" s="110">
        <f t="shared" si="72"/>
        <v>5.8621715201299383</v>
      </c>
      <c r="X67" s="111">
        <f t="shared" ref="X67:X83" si="90">L67/V67</f>
        <v>0.77984570281786114</v>
      </c>
      <c r="Y67" s="111">
        <f t="shared" ref="Y67:Y83" si="91">Q67/V67</f>
        <v>7.4694288645434731E-2</v>
      </c>
      <c r="Z67" s="111">
        <f t="shared" ref="Z67:Z83" si="92">S67/V67</f>
        <v>0.14546000853670407</v>
      </c>
      <c r="AA67" s="111">
        <f t="shared" ref="AA67:AA83" si="93">U67/V67</f>
        <v>0</v>
      </c>
      <c r="AB67" s="220">
        <v>4000</v>
      </c>
      <c r="AE67" s="207"/>
      <c r="AF67" s="353">
        <v>702395</v>
      </c>
      <c r="AG67" s="353">
        <v>589000</v>
      </c>
      <c r="AH67" s="207"/>
      <c r="AI67" s="115">
        <f t="shared" si="73"/>
        <v>1291395</v>
      </c>
      <c r="AJ67" s="110">
        <f t="shared" si="74"/>
        <v>7.0861935568834671</v>
      </c>
      <c r="AK67" s="353">
        <v>200010</v>
      </c>
      <c r="AL67" s="207">
        <v>0</v>
      </c>
      <c r="AM67" s="353"/>
      <c r="AN67" s="353">
        <v>8189</v>
      </c>
      <c r="AO67" s="115">
        <f t="shared" ref="AO67:AO83" si="94">AM67+AN67</f>
        <v>8189</v>
      </c>
      <c r="AP67" s="353">
        <v>1509594</v>
      </c>
      <c r="AQ67" s="112">
        <f t="shared" si="75"/>
        <v>8.2835037121174704</v>
      </c>
      <c r="AR67" s="207"/>
      <c r="AS67" s="220">
        <v>0</v>
      </c>
      <c r="AT67" s="207">
        <v>0</v>
      </c>
      <c r="AU67" s="220">
        <v>0</v>
      </c>
      <c r="AV67" s="220">
        <v>0</v>
      </c>
      <c r="AW67" s="207"/>
      <c r="AX67" s="220">
        <v>0</v>
      </c>
      <c r="AY67" s="115">
        <f t="shared" ref="AY67:AY83" si="95">SUM(AR67:AX67)</f>
        <v>0</v>
      </c>
      <c r="AZ67" s="352">
        <v>212968</v>
      </c>
      <c r="BA67" s="109">
        <f t="shared" si="76"/>
        <v>1.1686064058033043</v>
      </c>
      <c r="BB67" s="352">
        <v>6678</v>
      </c>
      <c r="BC67" s="352">
        <v>27082</v>
      </c>
      <c r="BD67" s="352">
        <v>7282</v>
      </c>
      <c r="BE67" s="352">
        <v>2130</v>
      </c>
      <c r="BF67" s="352">
        <v>133078</v>
      </c>
      <c r="BG67" s="221">
        <v>0</v>
      </c>
      <c r="BH67" s="221">
        <v>89</v>
      </c>
      <c r="BI67" s="205">
        <v>0</v>
      </c>
      <c r="BJ67">
        <v>86</v>
      </c>
      <c r="BK67" s="352">
        <v>390835</v>
      </c>
      <c r="BL67" s="109">
        <f t="shared" si="77"/>
        <v>2.1446052205595887</v>
      </c>
      <c r="BM67">
        <v>12</v>
      </c>
      <c r="BN67" s="352">
        <v>16261</v>
      </c>
      <c r="BO67" s="109">
        <f t="shared" si="78"/>
        <v>8.9228000285336451E-2</v>
      </c>
      <c r="BP67" s="352">
        <v>38220</v>
      </c>
      <c r="BQ67" s="205">
        <v>0</v>
      </c>
      <c r="BR67" s="356">
        <f t="shared" ref="BR67:BR83" si="96">BT67-BS67</f>
        <v>86165</v>
      </c>
      <c r="BS67" s="352">
        <v>91647</v>
      </c>
      <c r="BT67" s="352">
        <v>177812</v>
      </c>
      <c r="BU67" s="109">
        <f t="shared" si="79"/>
        <v>0.97569701658792474</v>
      </c>
      <c r="BV67" s="108">
        <f t="shared" si="66"/>
        <v>9118.5641025641035</v>
      </c>
      <c r="BW67" s="109">
        <f t="shared" si="80"/>
        <v>112.68187579214195</v>
      </c>
      <c r="BX67" s="109">
        <f t="shared" si="81"/>
        <v>5.2167228986357639</v>
      </c>
      <c r="BY67" s="109">
        <f t="shared" ref="BY67:BY83" si="97">BT67/BK67</f>
        <v>0.45495413665613366</v>
      </c>
      <c r="BZ67">
        <v>0</v>
      </c>
      <c r="CA67">
        <v>3</v>
      </c>
      <c r="CB67">
        <v>11</v>
      </c>
      <c r="CC67" s="113">
        <f t="shared" ref="CC67:CC83" si="98">SUM(BZ67:CB67)</f>
        <v>14</v>
      </c>
      <c r="CD67" s="352">
        <v>2276</v>
      </c>
      <c r="CE67">
        <v>21</v>
      </c>
      <c r="CF67">
        <v>234</v>
      </c>
      <c r="CG67" s="116">
        <f t="shared" ref="CG67:CG83" si="99">SUM(CD67:CF67)</f>
        <v>2531</v>
      </c>
      <c r="CH67" s="109">
        <f t="shared" si="82"/>
        <v>1.3888202983960799E-2</v>
      </c>
      <c r="CI67" s="352">
        <v>34085</v>
      </c>
      <c r="CJ67" s="109">
        <f t="shared" si="83"/>
        <v>0.18703255579150685</v>
      </c>
      <c r="CK67" s="352">
        <v>74427</v>
      </c>
      <c r="CL67" s="208" t="s">
        <v>7</v>
      </c>
      <c r="CM67" s="208" t="s">
        <v>7</v>
      </c>
      <c r="CN67" s="208" t="s">
        <v>7</v>
      </c>
      <c r="CO67">
        <v>3</v>
      </c>
      <c r="CP67" s="209">
        <v>0</v>
      </c>
      <c r="CQ67">
        <v>0</v>
      </c>
      <c r="CR67">
        <v>16.5</v>
      </c>
      <c r="CS67">
        <v>19.5</v>
      </c>
      <c r="CT67" s="108">
        <f t="shared" si="67"/>
        <v>9345.6923076923085</v>
      </c>
      <c r="CU67">
        <v>44</v>
      </c>
      <c r="CV67" s="353">
        <v>71400</v>
      </c>
      <c r="CW67" s="209">
        <v>40</v>
      </c>
      <c r="CX67" s="208" t="s">
        <v>7</v>
      </c>
      <c r="CY67" s="208" t="s">
        <v>7</v>
      </c>
      <c r="CZ67" s="352">
        <v>13158</v>
      </c>
      <c r="DA67" s="352">
        <v>9671</v>
      </c>
      <c r="DB67">
        <v>25</v>
      </c>
      <c r="DC67" s="352">
        <v>2137</v>
      </c>
      <c r="DD67" s="352">
        <v>2959</v>
      </c>
      <c r="DE67" s="352">
        <v>53419</v>
      </c>
      <c r="DF67" s="205">
        <v>2299</v>
      </c>
      <c r="DG67" s="205">
        <v>51</v>
      </c>
      <c r="DH67" s="209">
        <f t="shared" si="84"/>
        <v>1.2615163437426266E-2</v>
      </c>
      <c r="DI67" s="205">
        <v>40</v>
      </c>
      <c r="DJ67" s="205">
        <v>40</v>
      </c>
      <c r="DL67" s="343">
        <v>1578</v>
      </c>
      <c r="DM67" s="204"/>
      <c r="DN67" t="s">
        <v>1095</v>
      </c>
      <c r="DO67" t="s">
        <v>125</v>
      </c>
      <c r="DP67" s="208"/>
      <c r="DQ67" s="206"/>
      <c r="DR67" s="368" t="s">
        <v>1013</v>
      </c>
      <c r="DS67" s="204" t="s">
        <v>1013</v>
      </c>
      <c r="DT67" s="227">
        <v>44013</v>
      </c>
      <c r="DU67" s="227">
        <v>44377</v>
      </c>
      <c r="DV67" t="s">
        <v>1227</v>
      </c>
      <c r="DW67" s="109">
        <f t="shared" si="85"/>
        <v>0.20972229081271504</v>
      </c>
      <c r="DX67" s="109">
        <f t="shared" si="86"/>
        <v>0</v>
      </c>
      <c r="DY67" s="109">
        <f t="shared" si="87"/>
        <v>0.47280798503081084</v>
      </c>
      <c r="DZ67" s="109">
        <f t="shared" si="88"/>
        <v>0.50288903155711395</v>
      </c>
      <c r="EA67" s="110">
        <f t="shared" si="68"/>
        <v>0.34100574828154523</v>
      </c>
      <c r="EB67" s="199">
        <f t="shared" ref="EB67:EB83" si="100">O67/(BQ67+BS67)</f>
        <v>0.20913941536547842</v>
      </c>
    </row>
    <row r="68" spans="1:132" ht="16.5" x14ac:dyDescent="0.3">
      <c r="A68" s="216" t="s">
        <v>1014</v>
      </c>
      <c r="B68" t="s">
        <v>1228</v>
      </c>
      <c r="C68" s="352">
        <v>144578</v>
      </c>
      <c r="D68">
        <v>6</v>
      </c>
      <c r="E68">
        <v>1</v>
      </c>
      <c r="F68" s="221">
        <v>66712</v>
      </c>
      <c r="H68" s="108">
        <f t="shared" si="69"/>
        <v>66712</v>
      </c>
      <c r="I68" s="109">
        <v>0.29022999999999999</v>
      </c>
      <c r="J68" s="220">
        <v>1807810</v>
      </c>
      <c r="K68" s="220">
        <v>656428</v>
      </c>
      <c r="L68" s="115">
        <f t="shared" si="89"/>
        <v>2464238</v>
      </c>
      <c r="M68" s="110">
        <f t="shared" si="70"/>
        <v>17.044349762757818</v>
      </c>
      <c r="N68" s="220">
        <v>186029</v>
      </c>
      <c r="O68" s="220">
        <v>49278</v>
      </c>
      <c r="P68" s="220">
        <v>37736</v>
      </c>
      <c r="Q68" s="220">
        <v>273043</v>
      </c>
      <c r="R68" s="110">
        <f t="shared" si="71"/>
        <v>1.8885515085282685</v>
      </c>
      <c r="S68" s="220">
        <v>470223</v>
      </c>
      <c r="T68" s="220">
        <v>3207504</v>
      </c>
      <c r="U68" s="207">
        <v>0</v>
      </c>
      <c r="V68" s="220">
        <v>3207504</v>
      </c>
      <c r="W68" s="110">
        <f t="shared" si="72"/>
        <v>22.185284068115482</v>
      </c>
      <c r="X68" s="111">
        <f t="shared" si="90"/>
        <v>0.76827277534182348</v>
      </c>
      <c r="Y68" s="111">
        <f t="shared" si="91"/>
        <v>8.512631628830393E-2</v>
      </c>
      <c r="Z68" s="111">
        <f t="shared" si="92"/>
        <v>0.14660090836987266</v>
      </c>
      <c r="AA68" s="111">
        <f t="shared" si="93"/>
        <v>0</v>
      </c>
      <c r="AB68" s="220">
        <v>18550</v>
      </c>
      <c r="AE68" s="207"/>
      <c r="AF68" s="353">
        <v>828098</v>
      </c>
      <c r="AG68" s="353">
        <v>2142773</v>
      </c>
      <c r="AH68" s="207"/>
      <c r="AI68" s="115">
        <f t="shared" si="73"/>
        <v>2970871</v>
      </c>
      <c r="AJ68" s="110">
        <f t="shared" si="74"/>
        <v>20.548568938566035</v>
      </c>
      <c r="AK68" s="353">
        <v>179541</v>
      </c>
      <c r="AL68" s="207">
        <v>4000</v>
      </c>
      <c r="AM68" s="353"/>
      <c r="AN68" s="353">
        <v>118030</v>
      </c>
      <c r="AO68" s="115">
        <f t="shared" si="94"/>
        <v>118030</v>
      </c>
      <c r="AP68" s="353">
        <v>3287889</v>
      </c>
      <c r="AQ68" s="112">
        <f t="shared" si="75"/>
        <v>22.741281522776632</v>
      </c>
      <c r="AR68" s="207"/>
      <c r="AS68" s="220">
        <v>10000</v>
      </c>
      <c r="AT68" s="207">
        <v>0</v>
      </c>
      <c r="AU68" s="220">
        <v>0</v>
      </c>
      <c r="AV68" s="220">
        <v>0</v>
      </c>
      <c r="AW68" s="207"/>
      <c r="AX68" s="220">
        <v>0</v>
      </c>
      <c r="AY68" s="115">
        <f t="shared" si="95"/>
        <v>10000</v>
      </c>
      <c r="AZ68" s="352">
        <v>254431</v>
      </c>
      <c r="BA68" s="109">
        <f t="shared" si="76"/>
        <v>1.7598182296061642</v>
      </c>
      <c r="BB68" s="352">
        <v>8477</v>
      </c>
      <c r="BC68" s="352">
        <v>33356</v>
      </c>
      <c r="BD68" s="352">
        <v>31486</v>
      </c>
      <c r="BE68" s="352">
        <v>2130</v>
      </c>
      <c r="BF68" s="352">
        <v>140026</v>
      </c>
      <c r="BG68" s="221">
        <v>1</v>
      </c>
      <c r="BH68" s="221">
        <v>89</v>
      </c>
      <c r="BI68" s="205">
        <v>0</v>
      </c>
      <c r="BJ68">
        <v>92</v>
      </c>
      <c r="BK68" s="352">
        <v>474722</v>
      </c>
      <c r="BL68" s="109">
        <f t="shared" si="77"/>
        <v>3.2835009475853862</v>
      </c>
      <c r="BM68">
        <v>187</v>
      </c>
      <c r="BN68" s="352">
        <v>33080</v>
      </c>
      <c r="BO68" s="109">
        <f t="shared" si="78"/>
        <v>0.22880382907496299</v>
      </c>
      <c r="BP68" s="352">
        <v>71434</v>
      </c>
      <c r="BQ68" s="205">
        <v>0</v>
      </c>
      <c r="BR68" s="356">
        <f t="shared" si="96"/>
        <v>194029</v>
      </c>
      <c r="BS68" s="352">
        <v>79551</v>
      </c>
      <c r="BT68" s="352">
        <v>273580</v>
      </c>
      <c r="BU68" s="109">
        <f t="shared" si="79"/>
        <v>1.8922657665758276</v>
      </c>
      <c r="BV68" s="108">
        <f t="shared" si="66"/>
        <v>6006.1470911086726</v>
      </c>
      <c r="BW68" s="109">
        <f t="shared" si="80"/>
        <v>31.807929310545287</v>
      </c>
      <c r="BX68" s="109">
        <f t="shared" si="81"/>
        <v>7.193794372863529</v>
      </c>
      <c r="BY68" s="109">
        <f t="shared" si="97"/>
        <v>0.57629517907322603</v>
      </c>
      <c r="BZ68">
        <v>86</v>
      </c>
      <c r="CA68">
        <v>1</v>
      </c>
      <c r="CB68">
        <v>10</v>
      </c>
      <c r="CC68" s="113">
        <f t="shared" si="98"/>
        <v>97</v>
      </c>
      <c r="CD68">
        <v>525</v>
      </c>
      <c r="CE68">
        <v>38</v>
      </c>
      <c r="CF68">
        <v>0</v>
      </c>
      <c r="CG68" s="116">
        <f t="shared" si="99"/>
        <v>563</v>
      </c>
      <c r="CH68" s="109">
        <f t="shared" si="82"/>
        <v>3.8940917705321695E-3</v>
      </c>
      <c r="CI68" s="352">
        <v>38030</v>
      </c>
      <c r="CJ68" s="109">
        <f t="shared" si="83"/>
        <v>0.26304140325637371</v>
      </c>
      <c r="CK68" s="352">
        <v>145290</v>
      </c>
      <c r="CL68" s="208" t="s">
        <v>7</v>
      </c>
      <c r="CM68" s="208" t="s">
        <v>7</v>
      </c>
      <c r="CN68" s="208" t="s">
        <v>7</v>
      </c>
      <c r="CO68">
        <v>12</v>
      </c>
      <c r="CP68" s="108">
        <f>C68/CO68</f>
        <v>12048.166666666666</v>
      </c>
      <c r="CQ68">
        <v>0</v>
      </c>
      <c r="CR68">
        <v>33.549999999999997</v>
      </c>
      <c r="CS68">
        <v>45.55</v>
      </c>
      <c r="CT68" s="108">
        <f t="shared" si="67"/>
        <v>3174.0504939626785</v>
      </c>
      <c r="CU68">
        <v>55</v>
      </c>
      <c r="CV68" s="353">
        <v>80957</v>
      </c>
      <c r="CW68" s="209">
        <v>40</v>
      </c>
      <c r="CX68" s="208" t="s">
        <v>7</v>
      </c>
      <c r="CY68" s="208" t="s">
        <v>7</v>
      </c>
      <c r="CZ68">
        <v>96</v>
      </c>
      <c r="DA68">
        <v>147</v>
      </c>
      <c r="DB68">
        <v>154</v>
      </c>
      <c r="DC68" s="352">
        <v>2870</v>
      </c>
      <c r="DD68" s="352">
        <v>12219</v>
      </c>
      <c r="DE68" s="352">
        <v>121000</v>
      </c>
      <c r="DF68" s="205">
        <v>10820</v>
      </c>
      <c r="DG68" s="205">
        <v>51</v>
      </c>
      <c r="DH68" s="209">
        <f t="shared" si="84"/>
        <v>7.4838495483406875E-2</v>
      </c>
      <c r="DI68" s="205">
        <v>54</v>
      </c>
      <c r="DJ68" s="205">
        <v>54</v>
      </c>
      <c r="DL68" s="343">
        <v>8601</v>
      </c>
      <c r="DM68" s="204"/>
      <c r="DN68" t="s">
        <v>1096</v>
      </c>
      <c r="DO68" t="s">
        <v>125</v>
      </c>
      <c r="DP68" s="208"/>
      <c r="DQ68" s="206"/>
      <c r="DR68" s="368" t="s">
        <v>1014</v>
      </c>
      <c r="DS68" s="204" t="s">
        <v>1014</v>
      </c>
      <c r="DT68" s="227">
        <v>44013</v>
      </c>
      <c r="DU68" s="227">
        <v>44377</v>
      </c>
      <c r="DV68" t="s">
        <v>1228</v>
      </c>
      <c r="DW68" s="109">
        <f t="shared" si="85"/>
        <v>0.49408623718684724</v>
      </c>
      <c r="DX68" s="109">
        <f t="shared" si="86"/>
        <v>0</v>
      </c>
      <c r="DY68" s="109">
        <f t="shared" si="87"/>
        <v>1.3420368244131196</v>
      </c>
      <c r="DZ68" s="109">
        <f t="shared" si="88"/>
        <v>0.55022894216270801</v>
      </c>
      <c r="EA68" s="110">
        <f t="shared" si="68"/>
        <v>0.70077185897846406</v>
      </c>
      <c r="EB68" s="199">
        <f t="shared" si="100"/>
        <v>0.61945167251197342</v>
      </c>
    </row>
    <row r="69" spans="1:132" ht="16.5" x14ac:dyDescent="0.3">
      <c r="A69" s="216" t="s">
        <v>1146</v>
      </c>
      <c r="B69" t="s">
        <v>1229</v>
      </c>
      <c r="C69" s="352">
        <v>14597</v>
      </c>
      <c r="D69"/>
      <c r="E69"/>
      <c r="F69" s="221">
        <v>7550</v>
      </c>
      <c r="H69" s="108">
        <f t="shared" si="69"/>
        <v>7550</v>
      </c>
      <c r="I69" s="109">
        <v>0.48415000000000002</v>
      </c>
      <c r="J69" s="220">
        <v>104180</v>
      </c>
      <c r="K69" s="220">
        <v>34163</v>
      </c>
      <c r="L69" s="115">
        <f t="shared" si="89"/>
        <v>138343</v>
      </c>
      <c r="M69" s="110">
        <f t="shared" si="70"/>
        <v>9.4774953757621425</v>
      </c>
      <c r="N69" s="220">
        <v>15527</v>
      </c>
      <c r="O69" s="220">
        <v>3400</v>
      </c>
      <c r="P69" s="220">
        <v>3378</v>
      </c>
      <c r="Q69" s="220">
        <v>22305</v>
      </c>
      <c r="R69" s="110">
        <f t="shared" si="71"/>
        <v>1.5280537096663698</v>
      </c>
      <c r="S69" s="220">
        <v>45662</v>
      </c>
      <c r="T69" s="220">
        <v>206310</v>
      </c>
      <c r="U69" s="207">
        <v>0</v>
      </c>
      <c r="V69" s="220">
        <v>206310</v>
      </c>
      <c r="W69" s="110">
        <f t="shared" si="72"/>
        <v>14.133726108104405</v>
      </c>
      <c r="X69" s="111">
        <f t="shared" si="90"/>
        <v>0.67055886772332896</v>
      </c>
      <c r="Y69" s="111">
        <f t="shared" si="91"/>
        <v>0.10811400319906936</v>
      </c>
      <c r="Z69" s="111">
        <f t="shared" si="92"/>
        <v>0.22132712907760166</v>
      </c>
      <c r="AA69" s="111">
        <f t="shared" si="93"/>
        <v>0</v>
      </c>
      <c r="AB69" s="220">
        <v>0</v>
      </c>
      <c r="AE69" s="207"/>
      <c r="AF69" s="353">
        <v>216436</v>
      </c>
      <c r="AG69" s="353">
        <v>0</v>
      </c>
      <c r="AH69" s="207"/>
      <c r="AI69" s="115">
        <f t="shared" si="73"/>
        <v>216436</v>
      </c>
      <c r="AJ69" s="110">
        <f t="shared" si="74"/>
        <v>14.827430293896006</v>
      </c>
      <c r="AK69" s="353">
        <v>7318</v>
      </c>
      <c r="AL69" s="207">
        <v>0</v>
      </c>
      <c r="AM69" s="353"/>
      <c r="AN69" s="353">
        <v>1757</v>
      </c>
      <c r="AO69" s="115">
        <f t="shared" si="94"/>
        <v>1757</v>
      </c>
      <c r="AP69" s="353">
        <v>226511</v>
      </c>
      <c r="AQ69" s="112">
        <f t="shared" si="75"/>
        <v>15.51764061108447</v>
      </c>
      <c r="AR69" s="207"/>
      <c r="AS69" s="220">
        <v>109219</v>
      </c>
      <c r="AT69" s="207">
        <v>0</v>
      </c>
      <c r="AU69" s="220">
        <v>0</v>
      </c>
      <c r="AV69" s="220">
        <v>0</v>
      </c>
      <c r="AW69" s="207"/>
      <c r="AX69" s="220">
        <v>0</v>
      </c>
      <c r="AY69" s="115">
        <f t="shared" si="95"/>
        <v>109219</v>
      </c>
      <c r="AZ69" s="352">
        <v>37877</v>
      </c>
      <c r="BA69" s="109">
        <f t="shared" si="76"/>
        <v>2.5948482564910598</v>
      </c>
      <c r="BB69" s="352">
        <v>1335</v>
      </c>
      <c r="BC69" s="352">
        <v>30111</v>
      </c>
      <c r="BD69" s="352">
        <v>3475</v>
      </c>
      <c r="BE69" s="352">
        <v>2443</v>
      </c>
      <c r="BF69" s="352">
        <v>166680</v>
      </c>
      <c r="BG69" s="221">
        <v>3</v>
      </c>
      <c r="BH69" s="221">
        <v>89</v>
      </c>
      <c r="BI69" s="205">
        <v>0</v>
      </c>
      <c r="BJ69">
        <v>86</v>
      </c>
      <c r="BK69" s="352">
        <v>245810</v>
      </c>
      <c r="BL69" s="109">
        <f t="shared" si="77"/>
        <v>16.839761594848255</v>
      </c>
      <c r="BM69">
        <v>39</v>
      </c>
      <c r="BN69" s="352">
        <v>9615</v>
      </c>
      <c r="BO69" s="109">
        <f t="shared" si="78"/>
        <v>0.65869699253271219</v>
      </c>
      <c r="BP69" s="352">
        <v>4365</v>
      </c>
      <c r="BQ69" s="205">
        <v>0</v>
      </c>
      <c r="BR69" s="356">
        <f t="shared" si="96"/>
        <v>11097</v>
      </c>
      <c r="BS69" s="352">
        <v>4027</v>
      </c>
      <c r="BT69" s="352">
        <v>15124</v>
      </c>
      <c r="BU69" s="109">
        <f t="shared" si="79"/>
        <v>1.0361033088990887</v>
      </c>
      <c r="BV69" s="108">
        <f t="shared" si="66"/>
        <v>4667.9012345679012</v>
      </c>
      <c r="BW69" s="109">
        <f t="shared" si="80"/>
        <v>1.6494710437343221</v>
      </c>
      <c r="BX69" s="109">
        <f t="shared" si="81"/>
        <v>1.7504629629629629</v>
      </c>
      <c r="BY69" s="109">
        <f t="shared" si="97"/>
        <v>6.1527195801635411E-2</v>
      </c>
      <c r="BZ69">
        <v>14</v>
      </c>
      <c r="CA69">
        <v>6</v>
      </c>
      <c r="CB69">
        <v>0</v>
      </c>
      <c r="CC69" s="113">
        <f t="shared" si="98"/>
        <v>20</v>
      </c>
      <c r="CD69">
        <v>265</v>
      </c>
      <c r="CE69">
        <v>44</v>
      </c>
      <c r="CF69">
        <v>0</v>
      </c>
      <c r="CG69" s="116">
        <f t="shared" si="99"/>
        <v>309</v>
      </c>
      <c r="CH69" s="109">
        <f t="shared" si="82"/>
        <v>2.1168733301363294E-2</v>
      </c>
      <c r="CI69" s="352">
        <v>8640</v>
      </c>
      <c r="CJ69" s="109">
        <f t="shared" si="83"/>
        <v>0.5919024457080222</v>
      </c>
      <c r="CK69"/>
      <c r="CL69" s="208" t="s">
        <v>7</v>
      </c>
      <c r="CM69" s="208" t="s">
        <v>7</v>
      </c>
      <c r="CN69" s="208" t="s">
        <v>7</v>
      </c>
      <c r="CO69">
        <v>1</v>
      </c>
      <c r="CP69" s="108">
        <f>C69/CO69</f>
        <v>14597</v>
      </c>
      <c r="CQ69">
        <v>0</v>
      </c>
      <c r="CR69">
        <v>2.2400000000000002</v>
      </c>
      <c r="CS69">
        <v>3.24</v>
      </c>
      <c r="CT69" s="108">
        <f t="shared" si="67"/>
        <v>4505.2469135802467</v>
      </c>
      <c r="CU69"/>
      <c r="CV69" s="353">
        <v>49861</v>
      </c>
      <c r="CW69" s="209">
        <v>40</v>
      </c>
      <c r="CX69" s="208" t="s">
        <v>7</v>
      </c>
      <c r="CY69" s="208" t="s">
        <v>7</v>
      </c>
      <c r="CZ69">
        <v>0</v>
      </c>
      <c r="DA69">
        <v>0</v>
      </c>
      <c r="DB69">
        <v>8</v>
      </c>
      <c r="DC69" s="352">
        <v>2020</v>
      </c>
      <c r="DD69">
        <v>-1</v>
      </c>
      <c r="DE69">
        <v>-1</v>
      </c>
      <c r="DF69" s="205">
        <v>12324</v>
      </c>
      <c r="DG69" s="205">
        <v>52</v>
      </c>
      <c r="DH69" s="209">
        <f t="shared" si="84"/>
        <v>0.84428307186408169</v>
      </c>
      <c r="DI69" s="205">
        <v>42</v>
      </c>
      <c r="DJ69" s="205">
        <v>42</v>
      </c>
      <c r="DK69" s="108">
        <v>6456</v>
      </c>
      <c r="DL69" s="343">
        <v>9169</v>
      </c>
      <c r="DM69" s="204"/>
      <c r="DN69" t="s">
        <v>1097</v>
      </c>
      <c r="DO69" t="s">
        <v>1031</v>
      </c>
      <c r="DP69" s="208"/>
      <c r="DQ69" s="206"/>
      <c r="DR69" s="367" t="s">
        <v>1146</v>
      </c>
      <c r="DS69" s="204" t="s">
        <v>993</v>
      </c>
      <c r="DT69" s="227">
        <v>44013</v>
      </c>
      <c r="DU69" s="227">
        <v>44377</v>
      </c>
      <c r="DV69" t="s">
        <v>1229</v>
      </c>
      <c r="DW69" s="109">
        <f t="shared" si="85"/>
        <v>0.29903404809207373</v>
      </c>
      <c r="DX69" s="109">
        <f t="shared" si="86"/>
        <v>0</v>
      </c>
      <c r="DY69" s="109">
        <f t="shared" si="87"/>
        <v>0.76022470370624096</v>
      </c>
      <c r="DZ69" s="109">
        <f t="shared" si="88"/>
        <v>0.27587860519284785</v>
      </c>
      <c r="EA69" s="110">
        <f t="shared" si="68"/>
        <v>1.0042038546113052</v>
      </c>
      <c r="EB69" s="199">
        <f t="shared" si="100"/>
        <v>0.84430096846287561</v>
      </c>
    </row>
    <row r="70" spans="1:132" ht="16.5" x14ac:dyDescent="0.3">
      <c r="A70" s="216" t="s">
        <v>1015</v>
      </c>
      <c r="B70" t="s">
        <v>1230</v>
      </c>
      <c r="C70" s="352">
        <v>131315</v>
      </c>
      <c r="D70">
        <v>6</v>
      </c>
      <c r="E70"/>
      <c r="F70" s="221">
        <v>38108</v>
      </c>
      <c r="H70" s="108">
        <f t="shared" si="69"/>
        <v>38108</v>
      </c>
      <c r="I70" s="109">
        <v>0.54446000000000006</v>
      </c>
      <c r="J70" s="220">
        <v>609344</v>
      </c>
      <c r="K70" s="220">
        <v>255545</v>
      </c>
      <c r="L70" s="115">
        <f t="shared" si="89"/>
        <v>864889</v>
      </c>
      <c r="M70" s="110">
        <f t="shared" si="70"/>
        <v>6.5863686555229792</v>
      </c>
      <c r="N70" s="220">
        <v>76882</v>
      </c>
      <c r="O70" s="220">
        <v>9028</v>
      </c>
      <c r="P70" s="220">
        <v>5059</v>
      </c>
      <c r="Q70" s="220">
        <v>90969</v>
      </c>
      <c r="R70" s="110">
        <f t="shared" si="71"/>
        <v>0.69275406465369527</v>
      </c>
      <c r="S70" s="220">
        <v>251984</v>
      </c>
      <c r="T70" s="220">
        <v>1207842</v>
      </c>
      <c r="U70" s="207">
        <v>0</v>
      </c>
      <c r="V70" s="220">
        <v>1207842</v>
      </c>
      <c r="W70" s="110">
        <f t="shared" si="72"/>
        <v>9.1980504892814992</v>
      </c>
      <c r="X70" s="111">
        <f t="shared" si="90"/>
        <v>0.71606137226557776</v>
      </c>
      <c r="Y70" s="111">
        <f t="shared" si="91"/>
        <v>7.5315314420263582E-2</v>
      </c>
      <c r="Z70" s="111">
        <f t="shared" si="92"/>
        <v>0.20862331331415865</v>
      </c>
      <c r="AA70" s="111">
        <f t="shared" si="93"/>
        <v>0</v>
      </c>
      <c r="AB70" s="220">
        <v>237575</v>
      </c>
      <c r="AE70" s="207"/>
      <c r="AF70" s="353">
        <v>383205</v>
      </c>
      <c r="AG70" s="353">
        <v>624459</v>
      </c>
      <c r="AH70" s="207"/>
      <c r="AI70" s="115">
        <f t="shared" si="73"/>
        <v>1007664</v>
      </c>
      <c r="AJ70" s="110">
        <f t="shared" si="74"/>
        <v>7.6736397212808898</v>
      </c>
      <c r="AK70" s="353">
        <v>205677</v>
      </c>
      <c r="AL70" s="207">
        <v>16054</v>
      </c>
      <c r="AM70" s="353"/>
      <c r="AN70" s="353">
        <v>70932</v>
      </c>
      <c r="AO70" s="115">
        <f t="shared" si="94"/>
        <v>70932</v>
      </c>
      <c r="AP70" s="353">
        <v>1307421</v>
      </c>
      <c r="AQ70" s="112">
        <f t="shared" si="75"/>
        <v>9.956372082397289</v>
      </c>
      <c r="AR70" s="207"/>
      <c r="AS70" s="220">
        <v>10545</v>
      </c>
      <c r="AT70" s="207">
        <v>0</v>
      </c>
      <c r="AU70" s="220">
        <v>0</v>
      </c>
      <c r="AV70" s="220">
        <v>0</v>
      </c>
      <c r="AW70" s="207"/>
      <c r="AX70" s="220">
        <v>0</v>
      </c>
      <c r="AY70" s="115">
        <f t="shared" si="95"/>
        <v>10545</v>
      </c>
      <c r="AZ70" s="352">
        <v>107639</v>
      </c>
      <c r="BA70" s="109">
        <f t="shared" si="76"/>
        <v>0.81970071964360502</v>
      </c>
      <c r="BB70" s="352">
        <v>1017</v>
      </c>
      <c r="BC70" s="352">
        <v>30111</v>
      </c>
      <c r="BD70" s="352">
        <v>5592</v>
      </c>
      <c r="BE70" s="352">
        <v>2443</v>
      </c>
      <c r="BF70" s="352">
        <v>166680</v>
      </c>
      <c r="BG70" s="221">
        <v>6</v>
      </c>
      <c r="BH70" s="221">
        <v>89</v>
      </c>
      <c r="BI70" s="205">
        <v>0</v>
      </c>
      <c r="BJ70">
        <v>87</v>
      </c>
      <c r="BK70" s="352">
        <v>317221</v>
      </c>
      <c r="BL70" s="109">
        <f t="shared" si="77"/>
        <v>2.4157255454441611</v>
      </c>
      <c r="BM70">
        <v>114</v>
      </c>
      <c r="BN70" s="352">
        <v>11634</v>
      </c>
      <c r="BO70" s="109">
        <f t="shared" si="78"/>
        <v>8.8596123824391734E-2</v>
      </c>
      <c r="BP70" s="352">
        <v>21545</v>
      </c>
      <c r="BQ70" s="205">
        <v>0</v>
      </c>
      <c r="BR70" s="356">
        <f t="shared" si="96"/>
        <v>47512</v>
      </c>
      <c r="BS70" s="352">
        <v>180412</v>
      </c>
      <c r="BT70" s="352">
        <v>227924</v>
      </c>
      <c r="BU70" s="109">
        <f t="shared" si="79"/>
        <v>1.7357042226706774</v>
      </c>
      <c r="BV70" s="108">
        <f t="shared" si="66"/>
        <v>11145.427872860637</v>
      </c>
      <c r="BW70" s="109">
        <f t="shared" si="80"/>
        <v>33.229916897506925</v>
      </c>
      <c r="BX70" s="109">
        <f t="shared" si="81"/>
        <v>5.7212711481500076</v>
      </c>
      <c r="BY70" s="109">
        <f t="shared" si="97"/>
        <v>0.7185022429158221</v>
      </c>
      <c r="BZ70">
        <v>1</v>
      </c>
      <c r="CA70">
        <v>0</v>
      </c>
      <c r="CB70">
        <v>0</v>
      </c>
      <c r="CC70" s="113">
        <f t="shared" si="98"/>
        <v>1</v>
      </c>
      <c r="CD70">
        <v>479</v>
      </c>
      <c r="CE70">
        <v>0</v>
      </c>
      <c r="CF70">
        <v>772</v>
      </c>
      <c r="CG70" s="116">
        <f t="shared" si="99"/>
        <v>1251</v>
      </c>
      <c r="CH70" s="109">
        <f t="shared" si="82"/>
        <v>9.5267105814263418E-3</v>
      </c>
      <c r="CI70" s="352">
        <v>39838</v>
      </c>
      <c r="CJ70" s="109">
        <f t="shared" si="83"/>
        <v>0.30337737501427864</v>
      </c>
      <c r="CK70" s="352">
        <v>26685</v>
      </c>
      <c r="CL70" s="208" t="s">
        <v>7</v>
      </c>
      <c r="CM70" s="208" t="s">
        <v>7</v>
      </c>
      <c r="CN70" s="208" t="s">
        <v>7</v>
      </c>
      <c r="CO70">
        <v>4</v>
      </c>
      <c r="CP70" s="209">
        <v>0</v>
      </c>
      <c r="CQ70">
        <v>0</v>
      </c>
      <c r="CR70">
        <v>16.45</v>
      </c>
      <c r="CS70">
        <v>20.45</v>
      </c>
      <c r="CT70" s="108">
        <f t="shared" si="67"/>
        <v>6421.2713936430318</v>
      </c>
      <c r="CU70">
        <v>0</v>
      </c>
      <c r="CV70" s="353">
        <v>74645</v>
      </c>
      <c r="CW70" s="209">
        <v>40</v>
      </c>
      <c r="CX70" s="208" t="s">
        <v>7</v>
      </c>
      <c r="CY70" s="208" t="s">
        <v>7</v>
      </c>
      <c r="CZ70">
        <v>41</v>
      </c>
      <c r="DA70">
        <v>4</v>
      </c>
      <c r="DB70">
        <v>64</v>
      </c>
      <c r="DC70" s="352">
        <v>4475</v>
      </c>
      <c r="DD70" s="352">
        <v>19044</v>
      </c>
      <c r="DE70" s="352">
        <v>23885</v>
      </c>
      <c r="DF70" s="205">
        <v>9564</v>
      </c>
      <c r="DG70" s="205">
        <v>52</v>
      </c>
      <c r="DH70" s="209">
        <f t="shared" si="84"/>
        <v>7.2832501999010008E-2</v>
      </c>
      <c r="DI70" s="205">
        <v>45</v>
      </c>
      <c r="DJ70" s="205">
        <v>45</v>
      </c>
      <c r="DL70" s="343">
        <v>6859</v>
      </c>
      <c r="DM70" s="204"/>
      <c r="DN70" t="s">
        <v>1098</v>
      </c>
      <c r="DO70" t="s">
        <v>125</v>
      </c>
      <c r="DP70" s="208"/>
      <c r="DQ70" s="206"/>
      <c r="DR70" s="368" t="s">
        <v>1015</v>
      </c>
      <c r="DS70" s="204" t="s">
        <v>1015</v>
      </c>
      <c r="DT70" s="227">
        <v>44013</v>
      </c>
      <c r="DU70" s="227">
        <v>44377</v>
      </c>
      <c r="DV70" t="s">
        <v>1230</v>
      </c>
      <c r="DW70" s="109">
        <f t="shared" si="85"/>
        <v>0.16407112668012033</v>
      </c>
      <c r="DX70" s="109">
        <f t="shared" si="86"/>
        <v>0</v>
      </c>
      <c r="DY70" s="109">
        <f t="shared" si="87"/>
        <v>0.3618170049118532</v>
      </c>
      <c r="DZ70" s="109">
        <f t="shared" si="88"/>
        <v>1.3738872177588242</v>
      </c>
      <c r="EA70" s="110">
        <f t="shared" ref="EA70:EA83" si="101">N70/(BP70+BR70)</f>
        <v>1.113312191378137</v>
      </c>
      <c r="EB70" s="199">
        <v>0</v>
      </c>
    </row>
    <row r="71" spans="1:132" ht="16.5" x14ac:dyDescent="0.3">
      <c r="A71" s="216" t="s">
        <v>1016</v>
      </c>
      <c r="B71" t="s">
        <v>1231</v>
      </c>
      <c r="C71" s="352">
        <v>91868</v>
      </c>
      <c r="D71">
        <v>4</v>
      </c>
      <c r="E71">
        <v>1</v>
      </c>
      <c r="F71" s="221">
        <v>44190</v>
      </c>
      <c r="H71" s="108">
        <f t="shared" si="69"/>
        <v>44190</v>
      </c>
      <c r="I71" s="109">
        <v>0.25124999999999997</v>
      </c>
      <c r="J71" s="220">
        <v>951854</v>
      </c>
      <c r="K71" s="220">
        <v>381866</v>
      </c>
      <c r="L71" s="115">
        <f t="shared" si="89"/>
        <v>1333720</v>
      </c>
      <c r="M71" s="110">
        <f t="shared" si="70"/>
        <v>14.517786389167066</v>
      </c>
      <c r="N71" s="220">
        <v>195441</v>
      </c>
      <c r="O71" s="220">
        <v>18444</v>
      </c>
      <c r="P71" s="220">
        <v>13995</v>
      </c>
      <c r="Q71" s="220">
        <v>227880</v>
      </c>
      <c r="R71" s="110">
        <f t="shared" si="71"/>
        <v>2.4805155222710846</v>
      </c>
      <c r="S71" s="220">
        <v>258488</v>
      </c>
      <c r="T71" s="220">
        <v>1820088</v>
      </c>
      <c r="U71" s="207">
        <v>0</v>
      </c>
      <c r="V71" s="220">
        <v>1820088</v>
      </c>
      <c r="W71" s="110">
        <f t="shared" si="72"/>
        <v>19.811991117690599</v>
      </c>
      <c r="X71" s="111">
        <f t="shared" si="90"/>
        <v>0.73277775580081839</v>
      </c>
      <c r="Y71" s="111">
        <f t="shared" si="91"/>
        <v>0.12520273745005736</v>
      </c>
      <c r="Z71" s="111">
        <f t="shared" si="92"/>
        <v>0.14201950674912422</v>
      </c>
      <c r="AA71" s="111">
        <f t="shared" si="93"/>
        <v>0</v>
      </c>
      <c r="AB71" s="220">
        <v>67592</v>
      </c>
      <c r="AE71" s="207"/>
      <c r="AF71" s="353">
        <v>2600</v>
      </c>
      <c r="AG71" s="353">
        <v>1569415</v>
      </c>
      <c r="AH71" s="207"/>
      <c r="AI71" s="115">
        <f t="shared" si="73"/>
        <v>1572015</v>
      </c>
      <c r="AJ71" s="110">
        <f t="shared" si="74"/>
        <v>17.111671093307791</v>
      </c>
      <c r="AK71" s="353">
        <v>138010</v>
      </c>
      <c r="AL71" s="207">
        <v>7752</v>
      </c>
      <c r="AM71" s="353"/>
      <c r="AN71" s="353">
        <v>83610</v>
      </c>
      <c r="AO71" s="115">
        <f t="shared" si="94"/>
        <v>83610</v>
      </c>
      <c r="AP71" s="353">
        <v>1820060</v>
      </c>
      <c r="AQ71" s="112">
        <f t="shared" si="75"/>
        <v>19.811686332564115</v>
      </c>
      <c r="AR71" s="207"/>
      <c r="AS71" s="220">
        <v>0</v>
      </c>
      <c r="AT71" s="207">
        <v>0</v>
      </c>
      <c r="AU71" s="220">
        <v>0</v>
      </c>
      <c r="AV71" s="220">
        <v>0</v>
      </c>
      <c r="AW71" s="207"/>
      <c r="AX71" s="220">
        <v>0</v>
      </c>
      <c r="AY71" s="115">
        <f t="shared" si="95"/>
        <v>0</v>
      </c>
      <c r="AZ71" s="352">
        <v>206400</v>
      </c>
      <c r="BA71" s="109">
        <f t="shared" si="76"/>
        <v>2.2467017895240997</v>
      </c>
      <c r="BB71" s="352">
        <v>6755</v>
      </c>
      <c r="BC71" s="352">
        <v>24792</v>
      </c>
      <c r="BD71" s="352">
        <v>11884</v>
      </c>
      <c r="BE71" s="352">
        <v>2130</v>
      </c>
      <c r="BF71" s="352">
        <v>132236</v>
      </c>
      <c r="BG71" s="221">
        <v>1</v>
      </c>
      <c r="BH71" s="221">
        <v>89</v>
      </c>
      <c r="BI71" s="205">
        <v>0</v>
      </c>
      <c r="BJ71">
        <v>89</v>
      </c>
      <c r="BK71" s="352">
        <v>388022</v>
      </c>
      <c r="BL71" s="109">
        <f t="shared" si="77"/>
        <v>4.2236905124744197</v>
      </c>
      <c r="BM71">
        <v>211</v>
      </c>
      <c r="BN71" s="352">
        <v>84068</v>
      </c>
      <c r="BO71" s="109">
        <f t="shared" si="78"/>
        <v>0.91509557190751944</v>
      </c>
      <c r="BP71" s="352">
        <v>42845</v>
      </c>
      <c r="BQ71" s="205">
        <v>0</v>
      </c>
      <c r="BR71" s="356">
        <f t="shared" si="96"/>
        <v>136297</v>
      </c>
      <c r="BS71" s="352">
        <v>70182</v>
      </c>
      <c r="BT71" s="352">
        <v>206479</v>
      </c>
      <c r="BU71" s="109">
        <f t="shared" si="79"/>
        <v>2.2475617189881132</v>
      </c>
      <c r="BV71" s="108">
        <f t="shared" si="66"/>
        <v>5688.1267217630857</v>
      </c>
      <c r="BW71" s="109">
        <f t="shared" si="80"/>
        <v>38.215620951323338</v>
      </c>
      <c r="BX71" s="109">
        <f t="shared" si="81"/>
        <v>1.3661891686240779</v>
      </c>
      <c r="BY71" s="109">
        <f t="shared" si="97"/>
        <v>0.53213219868976502</v>
      </c>
      <c r="BZ71">
        <v>81</v>
      </c>
      <c r="CA71">
        <v>0</v>
      </c>
      <c r="CB71">
        <v>82</v>
      </c>
      <c r="CC71" s="113">
        <f t="shared" si="98"/>
        <v>163</v>
      </c>
      <c r="CD71" s="352">
        <v>1684</v>
      </c>
      <c r="CE71">
        <v>0</v>
      </c>
      <c r="CF71">
        <v>0</v>
      </c>
      <c r="CG71" s="116">
        <f t="shared" si="99"/>
        <v>1684</v>
      </c>
      <c r="CH71" s="109">
        <f t="shared" si="82"/>
        <v>1.8330648321504769E-2</v>
      </c>
      <c r="CI71" s="352">
        <v>151135</v>
      </c>
      <c r="CJ71" s="109">
        <f t="shared" si="83"/>
        <v>1.6451321461226978</v>
      </c>
      <c r="CK71" s="352">
        <v>41313</v>
      </c>
      <c r="CL71" s="208" t="s">
        <v>7</v>
      </c>
      <c r="CM71" s="208" t="s">
        <v>7</v>
      </c>
      <c r="CN71" s="208" t="s">
        <v>7</v>
      </c>
      <c r="CO71">
        <v>8</v>
      </c>
      <c r="CP71" s="209">
        <v>0</v>
      </c>
      <c r="CQ71">
        <v>0</v>
      </c>
      <c r="CR71">
        <v>28.3</v>
      </c>
      <c r="CS71">
        <v>36.299999999999997</v>
      </c>
      <c r="CT71" s="108">
        <f t="shared" si="67"/>
        <v>2530.7988980716254</v>
      </c>
      <c r="CU71">
        <v>0</v>
      </c>
      <c r="CV71" s="353">
        <v>75126</v>
      </c>
      <c r="CW71" s="209">
        <v>30</v>
      </c>
      <c r="CX71" s="208" t="s">
        <v>7</v>
      </c>
      <c r="CY71" s="208" t="s">
        <v>7</v>
      </c>
      <c r="CZ71" s="352">
        <v>18221</v>
      </c>
      <c r="DA71" s="352">
        <v>11456</v>
      </c>
      <c r="DB71">
        <v>90</v>
      </c>
      <c r="DC71" s="352">
        <v>20500</v>
      </c>
      <c r="DD71" s="352">
        <v>6392</v>
      </c>
      <c r="DE71" s="352">
        <v>51406</v>
      </c>
      <c r="DF71" s="205">
        <v>6838</v>
      </c>
      <c r="DG71" s="205">
        <v>52</v>
      </c>
      <c r="DH71" s="209">
        <f t="shared" si="84"/>
        <v>7.4432881961074587E-2</v>
      </c>
      <c r="DI71" s="205">
        <v>32</v>
      </c>
      <c r="DJ71" s="205">
        <v>34</v>
      </c>
      <c r="DL71" s="343">
        <v>5403</v>
      </c>
      <c r="DM71" s="204"/>
      <c r="DN71" t="s">
        <v>1099</v>
      </c>
      <c r="DO71" t="s">
        <v>125</v>
      </c>
      <c r="DP71" s="208"/>
      <c r="DQ71" s="206"/>
      <c r="DR71" s="368" t="s">
        <v>1016</v>
      </c>
      <c r="DS71" s="204" t="s">
        <v>1016</v>
      </c>
      <c r="DT71" s="227">
        <v>44013</v>
      </c>
      <c r="DU71" s="227">
        <v>44377</v>
      </c>
      <c r="DV71" t="s">
        <v>1231</v>
      </c>
      <c r="DW71" s="109">
        <f t="shared" si="85"/>
        <v>0.46637566943875997</v>
      </c>
      <c r="DX71" s="109">
        <f t="shared" si="86"/>
        <v>0</v>
      </c>
      <c r="DY71" s="109">
        <f t="shared" si="87"/>
        <v>1.4836177994513868</v>
      </c>
      <c r="DZ71" s="109">
        <f t="shared" si="88"/>
        <v>0.76394391953672658</v>
      </c>
      <c r="EA71" s="110">
        <f t="shared" si="101"/>
        <v>1.0909836889171718</v>
      </c>
      <c r="EB71" s="199">
        <v>0</v>
      </c>
    </row>
    <row r="72" spans="1:132" ht="16.5" x14ac:dyDescent="0.3">
      <c r="A72" s="216" t="s">
        <v>1017</v>
      </c>
      <c r="B72" t="s">
        <v>1232</v>
      </c>
      <c r="C72" s="352">
        <v>142753</v>
      </c>
      <c r="D72"/>
      <c r="E72"/>
      <c r="F72" s="221">
        <v>87557</v>
      </c>
      <c r="H72" s="108">
        <f t="shared" si="69"/>
        <v>87557</v>
      </c>
      <c r="I72" s="109">
        <v>0.25491999999999998</v>
      </c>
      <c r="J72" s="220">
        <v>1463837</v>
      </c>
      <c r="K72" s="220">
        <v>624909</v>
      </c>
      <c r="L72" s="115">
        <f t="shared" si="89"/>
        <v>2088746</v>
      </c>
      <c r="M72" s="110">
        <f t="shared" si="70"/>
        <v>14.631888646823535</v>
      </c>
      <c r="N72" s="220">
        <v>175872</v>
      </c>
      <c r="O72" s="220">
        <v>40678</v>
      </c>
      <c r="P72" s="220">
        <v>26508</v>
      </c>
      <c r="Q72" s="220">
        <v>243058</v>
      </c>
      <c r="R72" s="110">
        <f t="shared" si="71"/>
        <v>1.7026472298305464</v>
      </c>
      <c r="S72" s="220">
        <v>876926</v>
      </c>
      <c r="T72" s="220">
        <v>3208730</v>
      </c>
      <c r="U72" s="207">
        <v>0</v>
      </c>
      <c r="V72" s="220">
        <v>3208730</v>
      </c>
      <c r="W72" s="110">
        <f t="shared" si="72"/>
        <v>22.477496094653002</v>
      </c>
      <c r="X72" s="111">
        <f t="shared" si="90"/>
        <v>0.65095723230062985</v>
      </c>
      <c r="Y72" s="111">
        <f t="shared" si="91"/>
        <v>7.5748972334848994E-2</v>
      </c>
      <c r="Z72" s="111">
        <f t="shared" si="92"/>
        <v>0.27329379536452114</v>
      </c>
      <c r="AA72" s="111">
        <f t="shared" si="93"/>
        <v>0</v>
      </c>
      <c r="AB72" s="220">
        <v>17378</v>
      </c>
      <c r="AE72" s="207"/>
      <c r="AF72" s="353">
        <v>0</v>
      </c>
      <c r="AG72" s="353">
        <v>3447651</v>
      </c>
      <c r="AH72" s="207"/>
      <c r="AI72" s="115">
        <f t="shared" si="73"/>
        <v>3447651</v>
      </c>
      <c r="AJ72" s="110">
        <f t="shared" si="74"/>
        <v>24.151163197971321</v>
      </c>
      <c r="AK72" s="353">
        <v>236592</v>
      </c>
      <c r="AL72" s="207">
        <v>0</v>
      </c>
      <c r="AM72" s="353"/>
      <c r="AN72" s="353">
        <v>89020</v>
      </c>
      <c r="AO72" s="115">
        <f t="shared" si="94"/>
        <v>89020</v>
      </c>
      <c r="AP72" s="353">
        <v>3775007</v>
      </c>
      <c r="AQ72" s="112">
        <f t="shared" si="75"/>
        <v>26.444326914320541</v>
      </c>
      <c r="AR72" s="207"/>
      <c r="AS72" s="220">
        <v>0</v>
      </c>
      <c r="AT72" s="207">
        <v>0</v>
      </c>
      <c r="AU72" s="220">
        <v>0</v>
      </c>
      <c r="AV72" s="220">
        <v>0</v>
      </c>
      <c r="AW72" s="207"/>
      <c r="AX72" s="220">
        <v>0</v>
      </c>
      <c r="AY72" s="115">
        <f t="shared" si="95"/>
        <v>0</v>
      </c>
      <c r="AZ72" s="352">
        <v>205896</v>
      </c>
      <c r="BA72" s="109">
        <f t="shared" si="76"/>
        <v>1.4423234537978187</v>
      </c>
      <c r="BB72" s="352">
        <v>3375</v>
      </c>
      <c r="BC72" s="352">
        <v>52716</v>
      </c>
      <c r="BD72" s="352">
        <v>14669</v>
      </c>
      <c r="BE72" s="352">
        <v>2694</v>
      </c>
      <c r="BF72" s="352">
        <v>207152</v>
      </c>
      <c r="BG72" s="221">
        <v>7</v>
      </c>
      <c r="BH72" s="221">
        <v>89</v>
      </c>
      <c r="BI72" s="205">
        <v>0</v>
      </c>
      <c r="BJ72">
        <v>91</v>
      </c>
      <c r="BK72" s="352">
        <v>517287</v>
      </c>
      <c r="BL72" s="109">
        <f t="shared" si="77"/>
        <v>3.6236506413175205</v>
      </c>
      <c r="BM72">
        <v>125</v>
      </c>
      <c r="BN72" s="352">
        <v>45970</v>
      </c>
      <c r="BO72" s="109">
        <f t="shared" si="78"/>
        <v>0.32202475604715836</v>
      </c>
      <c r="BP72" s="352">
        <v>80773</v>
      </c>
      <c r="BQ72" s="205">
        <v>0</v>
      </c>
      <c r="BR72" s="356">
        <f t="shared" si="96"/>
        <v>236200</v>
      </c>
      <c r="BS72" s="352">
        <v>116123</v>
      </c>
      <c r="BT72" s="352">
        <v>352323</v>
      </c>
      <c r="BU72" s="109">
        <f t="shared" si="79"/>
        <v>2.4680602158973892</v>
      </c>
      <c r="BV72" s="108">
        <v>0</v>
      </c>
      <c r="BW72" s="109">
        <f t="shared" si="80"/>
        <v>64.777164920022059</v>
      </c>
      <c r="BX72" s="109">
        <f t="shared" si="81"/>
        <v>3.0519481644462152</v>
      </c>
      <c r="BY72" s="109">
        <f t="shared" si="97"/>
        <v>0.68109772718046269</v>
      </c>
      <c r="BZ72">
        <v>45</v>
      </c>
      <c r="CA72">
        <v>0</v>
      </c>
      <c r="CB72">
        <v>0</v>
      </c>
      <c r="CC72" s="113">
        <f t="shared" si="98"/>
        <v>45</v>
      </c>
      <c r="CD72" s="352">
        <v>2379</v>
      </c>
      <c r="CE72">
        <v>0</v>
      </c>
      <c r="CF72">
        <v>465</v>
      </c>
      <c r="CG72" s="116">
        <f t="shared" si="99"/>
        <v>2844</v>
      </c>
      <c r="CH72" s="109">
        <f t="shared" si="82"/>
        <v>1.992252351964582E-2</v>
      </c>
      <c r="CI72" s="352">
        <v>115442</v>
      </c>
      <c r="CJ72" s="109">
        <f t="shared" si="83"/>
        <v>0.80868353029358397</v>
      </c>
      <c r="CK72" s="352">
        <v>73701</v>
      </c>
      <c r="CL72" s="208" t="s">
        <v>7</v>
      </c>
      <c r="CM72" s="208" t="s">
        <v>7</v>
      </c>
      <c r="CN72" s="208" t="s">
        <v>7</v>
      </c>
      <c r="CO72">
        <v>11.3</v>
      </c>
      <c r="CP72" s="209">
        <v>0</v>
      </c>
      <c r="CQ72">
        <v>3</v>
      </c>
      <c r="CR72">
        <v>36</v>
      </c>
      <c r="CS72">
        <v>50.3</v>
      </c>
      <c r="CT72" s="116">
        <f>CP72+CR72+CS72</f>
        <v>86.3</v>
      </c>
      <c r="CU72"/>
      <c r="CV72" s="353">
        <v>82315</v>
      </c>
      <c r="CW72" s="209">
        <v>20</v>
      </c>
      <c r="CX72" s="208" t="s">
        <v>7</v>
      </c>
      <c r="CY72" s="208" t="s">
        <v>7</v>
      </c>
      <c r="CZ72">
        <v>0</v>
      </c>
      <c r="DA72">
        <v>0</v>
      </c>
      <c r="DB72">
        <v>95</v>
      </c>
      <c r="DC72" s="352">
        <v>10492</v>
      </c>
      <c r="DD72" s="352">
        <v>23643</v>
      </c>
      <c r="DE72" s="352">
        <v>77579</v>
      </c>
      <c r="DF72" s="205">
        <v>7644</v>
      </c>
      <c r="DG72" s="205">
        <v>52</v>
      </c>
      <c r="DH72" s="209">
        <f t="shared" si="84"/>
        <v>5.3547035789090244E-2</v>
      </c>
      <c r="DI72" s="205">
        <v>21</v>
      </c>
      <c r="DJ72" s="205">
        <v>34</v>
      </c>
      <c r="DL72" s="343">
        <v>5439</v>
      </c>
      <c r="DM72" s="204"/>
      <c r="DN72" t="s">
        <v>1100</v>
      </c>
      <c r="DO72" t="s">
        <v>125</v>
      </c>
      <c r="DP72" s="208"/>
      <c r="DQ72" s="206"/>
      <c r="DR72" s="368" t="s">
        <v>1017</v>
      </c>
      <c r="DS72" s="204" t="s">
        <v>1017</v>
      </c>
      <c r="DT72" s="227">
        <v>44013</v>
      </c>
      <c r="DU72" s="227">
        <v>44377</v>
      </c>
      <c r="DV72" t="s">
        <v>1232</v>
      </c>
      <c r="DW72" s="109">
        <f t="shared" si="85"/>
        <v>0.56582348532079885</v>
      </c>
      <c r="DX72" s="109">
        <f t="shared" si="86"/>
        <v>0</v>
      </c>
      <c r="DY72" s="109">
        <f t="shared" si="87"/>
        <v>1.6546062079255777</v>
      </c>
      <c r="DZ72" s="109">
        <f t="shared" si="88"/>
        <v>0.81345400797181144</v>
      </c>
      <c r="EA72" s="110">
        <f t="shared" si="101"/>
        <v>0.5548485202209652</v>
      </c>
      <c r="EB72" s="199">
        <f t="shared" si="100"/>
        <v>0.35030097396725884</v>
      </c>
    </row>
    <row r="73" spans="1:132" ht="16.5" x14ac:dyDescent="0.3">
      <c r="A73" s="216" t="s">
        <v>1018</v>
      </c>
      <c r="B73" t="s">
        <v>1233</v>
      </c>
      <c r="C73" s="352">
        <v>68845</v>
      </c>
      <c r="D73">
        <v>2</v>
      </c>
      <c r="E73"/>
      <c r="F73" s="221">
        <v>17279</v>
      </c>
      <c r="H73" s="108">
        <f t="shared" si="69"/>
        <v>17279</v>
      </c>
      <c r="I73" s="109">
        <v>0.40273999999999999</v>
      </c>
      <c r="J73" s="220">
        <v>403311</v>
      </c>
      <c r="K73" s="220">
        <v>171803</v>
      </c>
      <c r="L73" s="115">
        <f t="shared" si="89"/>
        <v>575114</v>
      </c>
      <c r="M73" s="110">
        <f t="shared" si="70"/>
        <v>8.3537511801873769</v>
      </c>
      <c r="N73" s="220">
        <v>51986</v>
      </c>
      <c r="O73" s="220">
        <v>10021</v>
      </c>
      <c r="P73" s="220">
        <v>9239</v>
      </c>
      <c r="Q73" s="220">
        <v>71246</v>
      </c>
      <c r="R73" s="110">
        <f t="shared" si="71"/>
        <v>1.0348754448398576</v>
      </c>
      <c r="S73" s="220">
        <v>62755</v>
      </c>
      <c r="T73" s="220">
        <v>709115</v>
      </c>
      <c r="U73" s="207">
        <v>8511</v>
      </c>
      <c r="V73" s="220">
        <v>709115</v>
      </c>
      <c r="W73" s="110">
        <f t="shared" si="72"/>
        <v>10.300167041905731</v>
      </c>
      <c r="X73" s="111">
        <f t="shared" si="90"/>
        <v>0.81103065088173287</v>
      </c>
      <c r="Y73" s="111">
        <f t="shared" si="91"/>
        <v>0.10047171474302476</v>
      </c>
      <c r="Z73" s="111">
        <f t="shared" si="92"/>
        <v>8.8497634375242384E-2</v>
      </c>
      <c r="AA73" s="111">
        <f t="shared" si="93"/>
        <v>1.2002284537768909E-2</v>
      </c>
      <c r="AB73" s="220">
        <v>0</v>
      </c>
      <c r="AE73" s="207"/>
      <c r="AF73" s="353">
        <v>0</v>
      </c>
      <c r="AG73" s="353">
        <v>580031</v>
      </c>
      <c r="AH73" s="207"/>
      <c r="AI73" s="115">
        <f t="shared" si="73"/>
        <v>580031</v>
      </c>
      <c r="AJ73" s="110">
        <f t="shared" si="74"/>
        <v>8.425172488924396</v>
      </c>
      <c r="AK73" s="353">
        <v>122847</v>
      </c>
      <c r="AL73" s="207">
        <v>51709</v>
      </c>
      <c r="AM73" s="353"/>
      <c r="AN73" s="353">
        <v>29643</v>
      </c>
      <c r="AO73" s="115">
        <f t="shared" si="94"/>
        <v>29643</v>
      </c>
      <c r="AP73" s="353">
        <v>736792</v>
      </c>
      <c r="AQ73" s="112">
        <f t="shared" si="75"/>
        <v>10.7021860701576</v>
      </c>
      <c r="AR73" s="207"/>
      <c r="AS73" s="220">
        <v>0</v>
      </c>
      <c r="AT73" s="207">
        <v>0</v>
      </c>
      <c r="AU73" s="220">
        <v>0</v>
      </c>
      <c r="AV73" s="220">
        <v>0</v>
      </c>
      <c r="AW73" s="207"/>
      <c r="AX73" s="220">
        <v>0</v>
      </c>
      <c r="AY73" s="115">
        <f t="shared" si="95"/>
        <v>0</v>
      </c>
      <c r="AZ73" s="352">
        <v>142031</v>
      </c>
      <c r="BA73" s="109">
        <f t="shared" si="76"/>
        <v>2.0630546880673979</v>
      </c>
      <c r="BB73" s="352">
        <v>5776</v>
      </c>
      <c r="BC73" s="352">
        <v>52716</v>
      </c>
      <c r="BD73" s="352">
        <v>14157</v>
      </c>
      <c r="BE73" s="352">
        <v>2613</v>
      </c>
      <c r="BF73" s="352">
        <v>206483</v>
      </c>
      <c r="BG73" s="221">
        <v>2</v>
      </c>
      <c r="BH73" s="221">
        <v>89</v>
      </c>
      <c r="BI73" s="205">
        <v>0</v>
      </c>
      <c r="BJ73">
        <v>86</v>
      </c>
      <c r="BK73" s="352">
        <v>427918</v>
      </c>
      <c r="BL73" s="109">
        <f t="shared" si="77"/>
        <v>6.2156728883724313</v>
      </c>
      <c r="BM73">
        <v>37</v>
      </c>
      <c r="BN73" s="352">
        <v>21755</v>
      </c>
      <c r="BO73" s="109">
        <f t="shared" si="78"/>
        <v>0.31599970949233785</v>
      </c>
      <c r="BP73" s="352">
        <v>40075</v>
      </c>
      <c r="BQ73" s="205">
        <v>0</v>
      </c>
      <c r="BR73" s="356">
        <f t="shared" si="96"/>
        <v>122207</v>
      </c>
      <c r="BS73" s="352">
        <v>51832</v>
      </c>
      <c r="BT73" s="352">
        <v>174039</v>
      </c>
      <c r="BU73" s="109">
        <f t="shared" si="79"/>
        <v>2.5279831505555959</v>
      </c>
      <c r="BV73" s="108">
        <f t="shared" ref="BV73:BV83" si="102">BT73/CS73</f>
        <v>18166.910229645095</v>
      </c>
      <c r="BW73" s="109">
        <f t="shared" si="80"/>
        <v>8.2836268443598282</v>
      </c>
      <c r="BX73" s="109">
        <f t="shared" si="81"/>
        <v>5.2116847337845122</v>
      </c>
      <c r="BY73" s="109">
        <f t="shared" si="97"/>
        <v>0.4067110988553882</v>
      </c>
      <c r="BZ73">
        <v>54</v>
      </c>
      <c r="CA73">
        <v>29</v>
      </c>
      <c r="CB73">
        <v>29</v>
      </c>
      <c r="CC73" s="113">
        <f t="shared" si="98"/>
        <v>112</v>
      </c>
      <c r="CD73" s="352">
        <v>2197</v>
      </c>
      <c r="CE73">
        <v>154</v>
      </c>
      <c r="CF73">
        <v>0</v>
      </c>
      <c r="CG73" s="116">
        <f t="shared" si="99"/>
        <v>2351</v>
      </c>
      <c r="CH73" s="109">
        <f t="shared" si="82"/>
        <v>3.4149175684508676E-2</v>
      </c>
      <c r="CI73" s="352">
        <v>33394</v>
      </c>
      <c r="CJ73" s="109">
        <f t="shared" si="83"/>
        <v>0.48506064347447164</v>
      </c>
      <c r="CK73" s="352">
        <v>27369</v>
      </c>
      <c r="CL73" s="208" t="s">
        <v>7</v>
      </c>
      <c r="CM73" s="208" t="s">
        <v>7</v>
      </c>
      <c r="CN73" s="208" t="s">
        <v>7</v>
      </c>
      <c r="CO73">
        <v>1</v>
      </c>
      <c r="CP73" s="108">
        <f>C73/CO73</f>
        <v>68845</v>
      </c>
      <c r="CQ73">
        <v>2</v>
      </c>
      <c r="CR73">
        <v>6.58</v>
      </c>
      <c r="CS73">
        <v>9.58</v>
      </c>
      <c r="CT73" s="108">
        <f t="shared" ref="CT73:CT83" si="103">C73/CS73</f>
        <v>7186.325678496868</v>
      </c>
      <c r="CU73">
        <v>798</v>
      </c>
      <c r="CV73" s="353">
        <v>67765</v>
      </c>
      <c r="CW73" s="209">
        <v>40</v>
      </c>
      <c r="CX73" s="208" t="s">
        <v>7</v>
      </c>
      <c r="CY73" s="208" t="s">
        <v>7</v>
      </c>
      <c r="CZ73" s="352">
        <v>13835</v>
      </c>
      <c r="DA73" s="352">
        <v>5396</v>
      </c>
      <c r="DB73">
        <v>27</v>
      </c>
      <c r="DC73" s="352">
        <v>6734</v>
      </c>
      <c r="DD73" s="352">
        <v>14308</v>
      </c>
      <c r="DE73" s="352">
        <v>69332</v>
      </c>
      <c r="DF73" s="205">
        <v>28247</v>
      </c>
      <c r="DG73" s="205">
        <v>52</v>
      </c>
      <c r="DH73" s="209">
        <f t="shared" si="84"/>
        <v>0.41029849662284845</v>
      </c>
      <c r="DI73" s="205">
        <v>48</v>
      </c>
      <c r="DJ73" s="205">
        <v>48</v>
      </c>
      <c r="DL73" s="343">
        <v>21010</v>
      </c>
      <c r="DM73" s="204"/>
      <c r="DN73" t="s">
        <v>1101</v>
      </c>
      <c r="DO73" t="s">
        <v>125</v>
      </c>
      <c r="DP73" s="208"/>
      <c r="DQ73" s="206"/>
      <c r="DR73" s="368" t="s">
        <v>1018</v>
      </c>
      <c r="DS73" s="204" t="s">
        <v>1018</v>
      </c>
      <c r="DT73" s="227">
        <v>44013</v>
      </c>
      <c r="DU73" s="227">
        <v>44377</v>
      </c>
      <c r="DV73" t="s">
        <v>1233</v>
      </c>
      <c r="DW73" s="109">
        <f t="shared" si="85"/>
        <v>0.58210472801220137</v>
      </c>
      <c r="DX73" s="109">
        <f t="shared" si="86"/>
        <v>0</v>
      </c>
      <c r="DY73" s="109">
        <f t="shared" si="87"/>
        <v>1.7751034933546372</v>
      </c>
      <c r="DZ73" s="109">
        <f t="shared" si="88"/>
        <v>0.75287965720095873</v>
      </c>
      <c r="EA73" s="110">
        <f t="shared" si="101"/>
        <v>0.32034359941336688</v>
      </c>
      <c r="EB73" s="199">
        <f t="shared" si="100"/>
        <v>0.19333616298811546</v>
      </c>
    </row>
    <row r="74" spans="1:132" ht="16.5" x14ac:dyDescent="0.3">
      <c r="A74" s="216" t="s">
        <v>1147</v>
      </c>
      <c r="B74" t="s">
        <v>1247</v>
      </c>
      <c r="C74" s="352">
        <v>63991</v>
      </c>
      <c r="D74">
        <v>3</v>
      </c>
      <c r="E74"/>
      <c r="F74" s="221">
        <v>16320</v>
      </c>
      <c r="H74" s="108">
        <f t="shared" si="69"/>
        <v>16320</v>
      </c>
      <c r="I74" s="109">
        <v>0.23462</v>
      </c>
      <c r="J74" s="220">
        <v>337335</v>
      </c>
      <c r="K74" s="220">
        <v>140084</v>
      </c>
      <c r="L74" s="115">
        <f t="shared" si="89"/>
        <v>477419</v>
      </c>
      <c r="M74" s="110">
        <f t="shared" si="70"/>
        <v>7.4607210388960947</v>
      </c>
      <c r="N74" s="220">
        <v>71650</v>
      </c>
      <c r="O74" s="220">
        <v>12800</v>
      </c>
      <c r="P74" s="220">
        <v>6284</v>
      </c>
      <c r="Q74" s="220">
        <v>90734</v>
      </c>
      <c r="R74" s="110">
        <f t="shared" si="71"/>
        <v>1.417918144739104</v>
      </c>
      <c r="S74" s="220">
        <v>94927</v>
      </c>
      <c r="T74" s="220">
        <v>663080</v>
      </c>
      <c r="U74" s="207">
        <v>0</v>
      </c>
      <c r="V74" s="220">
        <v>663080</v>
      </c>
      <c r="W74" s="110">
        <f t="shared" si="72"/>
        <v>10.362082167804848</v>
      </c>
      <c r="X74" s="111">
        <f t="shared" si="90"/>
        <v>0.72000211135911207</v>
      </c>
      <c r="Y74" s="111">
        <f t="shared" si="91"/>
        <v>0.13683718405019002</v>
      </c>
      <c r="Z74" s="111">
        <f t="shared" si="92"/>
        <v>0.14316070459069796</v>
      </c>
      <c r="AA74" s="111">
        <f t="shared" si="93"/>
        <v>0</v>
      </c>
      <c r="AB74" s="220">
        <v>0</v>
      </c>
      <c r="AE74" s="207"/>
      <c r="AF74" s="353">
        <v>4000</v>
      </c>
      <c r="AG74" s="353">
        <v>701551</v>
      </c>
      <c r="AH74" s="207"/>
      <c r="AI74" s="115">
        <f t="shared" si="73"/>
        <v>705551</v>
      </c>
      <c r="AJ74" s="110">
        <f t="shared" si="74"/>
        <v>11.025784875998188</v>
      </c>
      <c r="AK74" s="353">
        <v>120035</v>
      </c>
      <c r="AL74" s="207">
        <v>0</v>
      </c>
      <c r="AM74" s="353"/>
      <c r="AN74" s="353">
        <v>5389</v>
      </c>
      <c r="AO74" s="115">
        <f t="shared" si="94"/>
        <v>5389</v>
      </c>
      <c r="AP74" s="353">
        <v>873268</v>
      </c>
      <c r="AQ74" s="112">
        <f t="shared" si="75"/>
        <v>13.64673157162726</v>
      </c>
      <c r="AR74" s="207"/>
      <c r="AS74" s="220">
        <v>0</v>
      </c>
      <c r="AT74" s="207">
        <v>0</v>
      </c>
      <c r="AU74" s="220">
        <v>0</v>
      </c>
      <c r="AV74" s="220">
        <v>0</v>
      </c>
      <c r="AW74" s="207"/>
      <c r="AX74" s="220">
        <v>0</v>
      </c>
      <c r="AY74" s="115">
        <f t="shared" si="95"/>
        <v>0</v>
      </c>
      <c r="AZ74" s="352">
        <v>104918</v>
      </c>
      <c r="BA74" s="109">
        <f t="shared" si="76"/>
        <v>1.6395743151380664</v>
      </c>
      <c r="BB74" s="352">
        <v>1076</v>
      </c>
      <c r="BC74" s="352">
        <v>30111</v>
      </c>
      <c r="BD74" s="352">
        <v>5727</v>
      </c>
      <c r="BE74" s="352">
        <v>2443</v>
      </c>
      <c r="BF74" s="352">
        <v>166680</v>
      </c>
      <c r="BG74" s="221">
        <v>7</v>
      </c>
      <c r="BH74" s="221">
        <v>89</v>
      </c>
      <c r="BI74" s="205">
        <v>0</v>
      </c>
      <c r="BJ74">
        <v>93</v>
      </c>
      <c r="BK74" s="352">
        <v>314895</v>
      </c>
      <c r="BL74" s="109">
        <f t="shared" si="77"/>
        <v>4.9209263802722258</v>
      </c>
      <c r="BM74">
        <v>74</v>
      </c>
      <c r="BN74">
        <v>-1</v>
      </c>
      <c r="BO74" s="109">
        <f t="shared" si="78"/>
        <v>-1.5627197574658936E-5</v>
      </c>
      <c r="BP74" s="352">
        <v>28855</v>
      </c>
      <c r="BQ74" s="205">
        <v>0</v>
      </c>
      <c r="BR74" s="356">
        <f t="shared" si="96"/>
        <v>68103</v>
      </c>
      <c r="BS74" s="352">
        <v>24205</v>
      </c>
      <c r="BT74" s="352">
        <v>92308</v>
      </c>
      <c r="BU74" s="109">
        <f t="shared" si="79"/>
        <v>1.4425153537216171</v>
      </c>
      <c r="BV74" s="108">
        <f t="shared" si="102"/>
        <v>7547.6696647587896</v>
      </c>
      <c r="BW74" s="109">
        <f t="shared" si="80"/>
        <v>39.229919252018696</v>
      </c>
      <c r="BX74" s="109">
        <f t="shared" si="81"/>
        <v>15.956439066551425</v>
      </c>
      <c r="BY74" s="109">
        <f t="shared" si="97"/>
        <v>0.29313898283554835</v>
      </c>
      <c r="BZ74">
        <v>49</v>
      </c>
      <c r="CA74">
        <v>2</v>
      </c>
      <c r="CB74">
        <v>0</v>
      </c>
      <c r="CC74" s="113">
        <f t="shared" si="98"/>
        <v>51</v>
      </c>
      <c r="CD74">
        <v>0</v>
      </c>
      <c r="CE74">
        <v>115</v>
      </c>
      <c r="CF74">
        <v>0</v>
      </c>
      <c r="CG74" s="116">
        <f t="shared" si="99"/>
        <v>115</v>
      </c>
      <c r="CH74" s="109">
        <f t="shared" si="82"/>
        <v>1.7971277210857776E-3</v>
      </c>
      <c r="CI74" s="352">
        <v>5785</v>
      </c>
      <c r="CJ74" s="109">
        <f t="shared" si="83"/>
        <v>9.0403337969401948E-2</v>
      </c>
      <c r="CK74" s="352">
        <v>24847</v>
      </c>
      <c r="CL74" s="208" t="s">
        <v>7</v>
      </c>
      <c r="CM74" s="208" t="s">
        <v>7</v>
      </c>
      <c r="CN74" s="208" t="s">
        <v>7</v>
      </c>
      <c r="CO74">
        <v>1</v>
      </c>
      <c r="CP74" s="209">
        <v>0</v>
      </c>
      <c r="CQ74">
        <v>0</v>
      </c>
      <c r="CR74">
        <v>11.23</v>
      </c>
      <c r="CS74">
        <v>12.23</v>
      </c>
      <c r="CT74" s="108">
        <f t="shared" si="103"/>
        <v>5232.2976287816846</v>
      </c>
      <c r="CU74">
        <v>0</v>
      </c>
      <c r="CV74" s="353">
        <v>68004</v>
      </c>
      <c r="CW74" s="209">
        <v>40</v>
      </c>
      <c r="CX74" s="208" t="s">
        <v>7</v>
      </c>
      <c r="CY74" s="208" t="s">
        <v>7</v>
      </c>
      <c r="CZ74">
        <v>0</v>
      </c>
      <c r="DA74">
        <v>0</v>
      </c>
      <c r="DB74">
        <v>32</v>
      </c>
      <c r="DC74" s="352">
        <v>1287</v>
      </c>
      <c r="DD74">
        <v>-1</v>
      </c>
      <c r="DE74">
        <v>-1</v>
      </c>
      <c r="DF74" s="205">
        <v>2439</v>
      </c>
      <c r="DG74" s="205">
        <v>50</v>
      </c>
      <c r="DH74" s="209">
        <f t="shared" si="84"/>
        <v>3.8114734884593146E-2</v>
      </c>
      <c r="DI74" s="205">
        <v>32</v>
      </c>
      <c r="DJ74" s="205">
        <v>32</v>
      </c>
      <c r="DL74" s="343">
        <v>2353</v>
      </c>
      <c r="DM74" s="204"/>
      <c r="DN74" t="s">
        <v>1102</v>
      </c>
      <c r="DO74" t="s">
        <v>125</v>
      </c>
      <c r="DP74" s="208"/>
      <c r="DQ74" s="206"/>
      <c r="DR74" s="368" t="s">
        <v>1019</v>
      </c>
      <c r="DS74" s="204" t="s">
        <v>1019</v>
      </c>
      <c r="DT74" s="227">
        <v>44013</v>
      </c>
      <c r="DU74" s="227">
        <v>44377</v>
      </c>
      <c r="DV74" t="s">
        <v>1247</v>
      </c>
      <c r="DW74" s="109">
        <f t="shared" si="85"/>
        <v>0.45092278601678359</v>
      </c>
      <c r="DX74" s="109">
        <f t="shared" si="86"/>
        <v>0</v>
      </c>
      <c r="DY74" s="109">
        <f t="shared" si="87"/>
        <v>1.0642590364269975</v>
      </c>
      <c r="DZ74" s="109">
        <f t="shared" si="88"/>
        <v>0.37825631729461956</v>
      </c>
      <c r="EA74" s="110">
        <f t="shared" si="101"/>
        <v>0.73897976443408486</v>
      </c>
      <c r="EB74" s="199">
        <v>0</v>
      </c>
    </row>
    <row r="75" spans="1:132" ht="16.5" x14ac:dyDescent="0.3">
      <c r="A75" s="216" t="s">
        <v>1148</v>
      </c>
      <c r="B75" t="s">
        <v>1234</v>
      </c>
      <c r="C75" s="352">
        <v>220368</v>
      </c>
      <c r="D75">
        <v>15</v>
      </c>
      <c r="E75">
        <v>2</v>
      </c>
      <c r="F75" s="221">
        <v>96019</v>
      </c>
      <c r="H75" s="108">
        <f t="shared" si="69"/>
        <v>96019</v>
      </c>
      <c r="I75" s="109">
        <v>0.47760999999999998</v>
      </c>
      <c r="J75" s="220">
        <v>1366554</v>
      </c>
      <c r="K75" s="220">
        <v>602465</v>
      </c>
      <c r="L75" s="115">
        <f t="shared" si="89"/>
        <v>1969019</v>
      </c>
      <c r="M75" s="110">
        <f t="shared" si="70"/>
        <v>8.9351403107529226</v>
      </c>
      <c r="N75" s="220">
        <v>179650</v>
      </c>
      <c r="O75" s="220">
        <v>35832</v>
      </c>
      <c r="P75" s="220">
        <v>5460</v>
      </c>
      <c r="Q75" s="220">
        <v>220942</v>
      </c>
      <c r="R75" s="110">
        <f t="shared" si="71"/>
        <v>1.0026047338996587</v>
      </c>
      <c r="S75" s="220">
        <v>366254</v>
      </c>
      <c r="T75" s="220">
        <v>2556215</v>
      </c>
      <c r="U75" s="207">
        <v>44290</v>
      </c>
      <c r="V75" s="220">
        <v>2556215</v>
      </c>
      <c r="W75" s="110">
        <f t="shared" si="72"/>
        <v>11.599755862920206</v>
      </c>
      <c r="X75" s="111">
        <f t="shared" si="90"/>
        <v>0.77028692813397937</v>
      </c>
      <c r="Y75" s="111">
        <f t="shared" si="91"/>
        <v>8.6433261677910503E-2</v>
      </c>
      <c r="Z75" s="111">
        <f t="shared" si="92"/>
        <v>0.14327981018811015</v>
      </c>
      <c r="AA75" s="111">
        <f t="shared" si="93"/>
        <v>1.7326398601056642E-2</v>
      </c>
      <c r="AB75" s="220">
        <v>0</v>
      </c>
      <c r="AE75" s="207"/>
      <c r="AF75" s="353">
        <v>42800</v>
      </c>
      <c r="AG75" s="353">
        <v>2154421</v>
      </c>
      <c r="AH75" s="207"/>
      <c r="AI75" s="115">
        <f t="shared" si="73"/>
        <v>2197221</v>
      </c>
      <c r="AJ75" s="110">
        <f t="shared" si="74"/>
        <v>9.9706899368329331</v>
      </c>
      <c r="AK75" s="353">
        <v>525226</v>
      </c>
      <c r="AL75" s="207">
        <v>0</v>
      </c>
      <c r="AM75" s="353"/>
      <c r="AN75" s="353">
        <v>45715</v>
      </c>
      <c r="AO75" s="115">
        <f t="shared" si="94"/>
        <v>45715</v>
      </c>
      <c r="AP75" s="353">
        <v>2830092</v>
      </c>
      <c r="AQ75" s="112">
        <f t="shared" si="75"/>
        <v>12.842572424308429</v>
      </c>
      <c r="AR75" s="207"/>
      <c r="AS75" s="220">
        <v>0</v>
      </c>
      <c r="AT75" s="207">
        <v>0</v>
      </c>
      <c r="AU75" s="220">
        <v>0</v>
      </c>
      <c r="AV75" s="220">
        <v>0</v>
      </c>
      <c r="AW75" s="207"/>
      <c r="AX75" s="220">
        <v>0</v>
      </c>
      <c r="AY75" s="115">
        <f t="shared" si="95"/>
        <v>0</v>
      </c>
      <c r="AZ75" s="352">
        <v>252368</v>
      </c>
      <c r="BA75" s="109">
        <f t="shared" si="76"/>
        <v>1.1452116459740072</v>
      </c>
      <c r="BB75" s="352">
        <v>6978</v>
      </c>
      <c r="BC75" s="352">
        <v>24971</v>
      </c>
      <c r="BD75" s="352">
        <v>15085</v>
      </c>
      <c r="BE75" s="352">
        <v>2148</v>
      </c>
      <c r="BF75" s="352">
        <v>138812</v>
      </c>
      <c r="BG75" s="221">
        <v>4</v>
      </c>
      <c r="BH75" s="221">
        <v>89</v>
      </c>
      <c r="BI75" s="205">
        <v>0</v>
      </c>
      <c r="BJ75">
        <v>86</v>
      </c>
      <c r="BK75" s="352">
        <v>445452</v>
      </c>
      <c r="BL75" s="109">
        <f t="shared" si="77"/>
        <v>2.0214005663254193</v>
      </c>
      <c r="BM75">
        <v>22</v>
      </c>
      <c r="BN75" s="352">
        <v>42676</v>
      </c>
      <c r="BO75" s="109">
        <f t="shared" si="78"/>
        <v>0.19365788136208523</v>
      </c>
      <c r="BP75" s="352">
        <v>66791</v>
      </c>
      <c r="BQ75" s="205">
        <v>0</v>
      </c>
      <c r="BR75" s="356">
        <f t="shared" si="96"/>
        <v>134957</v>
      </c>
      <c r="BS75" s="352">
        <v>151127</v>
      </c>
      <c r="BT75" s="352">
        <v>286084</v>
      </c>
      <c r="BU75" s="109">
        <f t="shared" si="79"/>
        <v>1.2982102664633703</v>
      </c>
      <c r="BV75" s="108">
        <f t="shared" si="102"/>
        <v>7020.4662576687115</v>
      </c>
      <c r="BW75" s="109">
        <f t="shared" si="80"/>
        <v>20.452101801544181</v>
      </c>
      <c r="BX75" s="109">
        <f t="shared" si="81"/>
        <v>5.7570281528585516</v>
      </c>
      <c r="BY75" s="109">
        <f t="shared" si="97"/>
        <v>0.64223305765828864</v>
      </c>
      <c r="BZ75">
        <v>0</v>
      </c>
      <c r="CA75">
        <v>0</v>
      </c>
      <c r="CB75">
        <v>0</v>
      </c>
      <c r="CC75" s="113">
        <f t="shared" si="98"/>
        <v>0</v>
      </c>
      <c r="CD75" s="352">
        <v>1260</v>
      </c>
      <c r="CE75">
        <v>0</v>
      </c>
      <c r="CF75">
        <v>63</v>
      </c>
      <c r="CG75" s="116">
        <f t="shared" si="99"/>
        <v>1323</v>
      </c>
      <c r="CH75" s="109">
        <f t="shared" si="82"/>
        <v>6.0035939882378568E-3</v>
      </c>
      <c r="CI75" s="352">
        <v>49693</v>
      </c>
      <c r="CJ75" s="109">
        <f t="shared" si="83"/>
        <v>0.225500072605823</v>
      </c>
      <c r="CK75" s="352">
        <v>72805</v>
      </c>
      <c r="CL75" s="208" t="s">
        <v>7</v>
      </c>
      <c r="CM75" s="208" t="s">
        <v>7</v>
      </c>
      <c r="CN75" s="208" t="s">
        <v>7</v>
      </c>
      <c r="CO75">
        <v>6.5</v>
      </c>
      <c r="CP75" s="108">
        <f>C75/CO75</f>
        <v>33902.769230769234</v>
      </c>
      <c r="CQ75">
        <v>1</v>
      </c>
      <c r="CR75">
        <v>33.25</v>
      </c>
      <c r="CS75">
        <v>40.75</v>
      </c>
      <c r="CT75" s="108">
        <f t="shared" si="103"/>
        <v>5407.8036809815949</v>
      </c>
      <c r="CU75">
        <v>76</v>
      </c>
      <c r="CV75" s="353">
        <v>63648</v>
      </c>
      <c r="CW75" s="209">
        <v>40</v>
      </c>
      <c r="CX75" s="208" t="s">
        <v>7</v>
      </c>
      <c r="CY75" s="208" t="s">
        <v>7</v>
      </c>
      <c r="CZ75" s="352">
        <v>18374</v>
      </c>
      <c r="DA75" s="352">
        <v>3835</v>
      </c>
      <c r="DB75">
        <v>131</v>
      </c>
      <c r="DC75" s="352">
        <v>3831</v>
      </c>
      <c r="DD75" s="352">
        <v>10560</v>
      </c>
      <c r="DE75" s="352">
        <v>83186</v>
      </c>
      <c r="DF75" s="205">
        <v>14069</v>
      </c>
      <c r="DG75" s="205">
        <v>49</v>
      </c>
      <c r="DH75" s="209">
        <f t="shared" si="84"/>
        <v>6.384320772525956E-2</v>
      </c>
      <c r="DI75" s="205">
        <v>48</v>
      </c>
      <c r="DJ75" s="205">
        <v>48</v>
      </c>
      <c r="DL75" s="343">
        <v>13988</v>
      </c>
      <c r="DM75" s="204"/>
      <c r="DN75" t="s">
        <v>1103</v>
      </c>
      <c r="DO75" t="s">
        <v>1030</v>
      </c>
      <c r="DP75" s="208"/>
      <c r="DQ75" s="206"/>
      <c r="DR75" s="367" t="s">
        <v>1148</v>
      </c>
      <c r="DS75" s="204" t="s">
        <v>1020</v>
      </c>
      <c r="DT75" s="227">
        <v>44013</v>
      </c>
      <c r="DU75" s="227">
        <v>44377</v>
      </c>
      <c r="DV75" t="s">
        <v>1234</v>
      </c>
      <c r="DW75" s="109">
        <f t="shared" si="85"/>
        <v>0.30308847019530966</v>
      </c>
      <c r="DX75" s="109">
        <f t="shared" si="86"/>
        <v>0</v>
      </c>
      <c r="DY75" s="109">
        <f t="shared" si="87"/>
        <v>0.6124165033035649</v>
      </c>
      <c r="DZ75" s="109">
        <f t="shared" si="88"/>
        <v>0.68579376315980545</v>
      </c>
      <c r="EA75" s="110">
        <f t="shared" si="101"/>
        <v>0.89046731566112181</v>
      </c>
      <c r="EB75" s="199">
        <f t="shared" si="100"/>
        <v>0.23709859919140855</v>
      </c>
    </row>
    <row r="76" spans="1:132" ht="16.5" x14ac:dyDescent="0.3">
      <c r="A76" s="216" t="s">
        <v>1021</v>
      </c>
      <c r="B76" t="s">
        <v>1235</v>
      </c>
      <c r="C76" s="352">
        <v>35767</v>
      </c>
      <c r="D76"/>
      <c r="E76"/>
      <c r="F76" s="221">
        <v>8400</v>
      </c>
      <c r="H76" s="108">
        <f t="shared" si="69"/>
        <v>8400</v>
      </c>
      <c r="I76" s="109">
        <v>1.03698</v>
      </c>
      <c r="J76" s="220">
        <v>239418</v>
      </c>
      <c r="K76" s="220">
        <v>91007</v>
      </c>
      <c r="L76" s="115">
        <f t="shared" si="89"/>
        <v>330425</v>
      </c>
      <c r="M76" s="110">
        <f t="shared" si="70"/>
        <v>9.2382643218609335</v>
      </c>
      <c r="N76" s="220">
        <v>29375</v>
      </c>
      <c r="O76" s="220">
        <v>12503</v>
      </c>
      <c r="P76" s="220">
        <v>13226</v>
      </c>
      <c r="Q76" s="220">
        <v>55104</v>
      </c>
      <c r="R76" s="110">
        <f t="shared" si="71"/>
        <v>1.5406380182850112</v>
      </c>
      <c r="S76" s="220">
        <v>52016</v>
      </c>
      <c r="T76" s="220">
        <v>437545</v>
      </c>
      <c r="U76" s="207">
        <v>0</v>
      </c>
      <c r="V76" s="220">
        <v>437545</v>
      </c>
      <c r="W76" s="110">
        <f t="shared" si="72"/>
        <v>12.233203791204183</v>
      </c>
      <c r="X76" s="111">
        <f t="shared" si="90"/>
        <v>0.75517946725479668</v>
      </c>
      <c r="Y76" s="111">
        <f t="shared" si="91"/>
        <v>0.12593904626952657</v>
      </c>
      <c r="Z76" s="111">
        <f t="shared" si="92"/>
        <v>0.11888148647567678</v>
      </c>
      <c r="AA76" s="111">
        <f t="shared" si="93"/>
        <v>0</v>
      </c>
      <c r="AB76" s="220">
        <v>0</v>
      </c>
      <c r="AE76" s="207"/>
      <c r="AF76" s="353">
        <v>0</v>
      </c>
      <c r="AG76" s="353">
        <v>368985</v>
      </c>
      <c r="AH76" s="207"/>
      <c r="AI76" s="115">
        <f t="shared" si="73"/>
        <v>368985</v>
      </c>
      <c r="AJ76" s="110">
        <f t="shared" si="74"/>
        <v>10.316353062879191</v>
      </c>
      <c r="AK76" s="353">
        <v>101573</v>
      </c>
      <c r="AL76" s="207">
        <v>34311</v>
      </c>
      <c r="AM76" s="353"/>
      <c r="AN76" s="353">
        <v>7000</v>
      </c>
      <c r="AO76" s="115">
        <f t="shared" si="94"/>
        <v>7000</v>
      </c>
      <c r="AP76" s="353">
        <v>478043</v>
      </c>
      <c r="AQ76" s="112">
        <f t="shared" si="75"/>
        <v>13.365476556602454</v>
      </c>
      <c r="AR76" s="207"/>
      <c r="AS76" s="220">
        <v>103768</v>
      </c>
      <c r="AT76" s="207">
        <v>0</v>
      </c>
      <c r="AU76" s="220">
        <v>0</v>
      </c>
      <c r="AV76" s="220">
        <v>0</v>
      </c>
      <c r="AW76" s="207"/>
      <c r="AX76" s="220">
        <v>0</v>
      </c>
      <c r="AY76" s="115">
        <f t="shared" si="95"/>
        <v>103768</v>
      </c>
      <c r="AZ76" s="352">
        <v>41410</v>
      </c>
      <c r="BA76" s="109">
        <f t="shared" si="76"/>
        <v>1.1577711298123969</v>
      </c>
      <c r="BB76" s="352">
        <v>3458</v>
      </c>
      <c r="BC76" s="352">
        <v>30111</v>
      </c>
      <c r="BD76" s="352">
        <v>4127</v>
      </c>
      <c r="BE76" s="352">
        <v>2443</v>
      </c>
      <c r="BF76" s="352">
        <v>166680</v>
      </c>
      <c r="BG76" s="221">
        <v>20</v>
      </c>
      <c r="BH76" s="221">
        <v>89</v>
      </c>
      <c r="BI76" s="205">
        <v>0</v>
      </c>
      <c r="BJ76">
        <v>93</v>
      </c>
      <c r="BK76" s="352">
        <v>251950</v>
      </c>
      <c r="BL76" s="109">
        <f t="shared" si="77"/>
        <v>7.0442027567310648</v>
      </c>
      <c r="BM76">
        <v>0</v>
      </c>
      <c r="BN76">
        <v>975</v>
      </c>
      <c r="BO76" s="109">
        <f t="shared" si="78"/>
        <v>2.7259764587468895E-2</v>
      </c>
      <c r="BP76" s="352">
        <v>6026</v>
      </c>
      <c r="BQ76" s="205">
        <v>0</v>
      </c>
      <c r="BR76" s="356">
        <f t="shared" si="96"/>
        <v>24236</v>
      </c>
      <c r="BS76" s="352">
        <v>52332</v>
      </c>
      <c r="BT76" s="352">
        <v>76568</v>
      </c>
      <c r="BU76" s="109">
        <f t="shared" si="79"/>
        <v>2.1407442614700702</v>
      </c>
      <c r="BV76" s="108">
        <f t="shared" si="102"/>
        <v>10938.285714285714</v>
      </c>
      <c r="BW76" s="109">
        <f t="shared" si="80"/>
        <v>38.90650406504065</v>
      </c>
      <c r="BX76" s="109">
        <f t="shared" si="81"/>
        <v>2.8028406179076066</v>
      </c>
      <c r="BY76" s="109">
        <f t="shared" si="97"/>
        <v>0.30390156777138322</v>
      </c>
      <c r="BZ76">
        <v>34</v>
      </c>
      <c r="CA76">
        <v>0</v>
      </c>
      <c r="CB76">
        <v>4</v>
      </c>
      <c r="CC76" s="113">
        <f t="shared" si="98"/>
        <v>38</v>
      </c>
      <c r="CD76">
        <v>119</v>
      </c>
      <c r="CE76">
        <v>0</v>
      </c>
      <c r="CF76">
        <v>0</v>
      </c>
      <c r="CG76" s="116">
        <f t="shared" si="99"/>
        <v>119</v>
      </c>
      <c r="CH76" s="109">
        <f t="shared" si="82"/>
        <v>3.3270892163167164E-3</v>
      </c>
      <c r="CI76" s="352">
        <v>27318</v>
      </c>
      <c r="CJ76" s="109">
        <f t="shared" si="83"/>
        <v>0.76377666564151314</v>
      </c>
      <c r="CK76" s="352">
        <v>12752</v>
      </c>
      <c r="CL76" s="208" t="s">
        <v>7</v>
      </c>
      <c r="CM76" s="208" t="s">
        <v>7</v>
      </c>
      <c r="CN76" s="208" t="s">
        <v>7</v>
      </c>
      <c r="CO76">
        <v>2</v>
      </c>
      <c r="CP76" s="108">
        <f>C76/CO76</f>
        <v>17883.5</v>
      </c>
      <c r="CQ76">
        <v>0</v>
      </c>
      <c r="CR76">
        <v>5</v>
      </c>
      <c r="CS76">
        <v>7</v>
      </c>
      <c r="CT76" s="108">
        <f t="shared" si="103"/>
        <v>5109.5714285714284</v>
      </c>
      <c r="CU76">
        <v>28</v>
      </c>
      <c r="CV76" s="353">
        <v>65604</v>
      </c>
      <c r="CW76" s="209">
        <v>40</v>
      </c>
      <c r="CX76" s="208" t="s">
        <v>7</v>
      </c>
      <c r="CY76" s="208" t="s">
        <v>7</v>
      </c>
      <c r="CZ76" s="352">
        <v>4400</v>
      </c>
      <c r="DA76" s="352">
        <v>1563</v>
      </c>
      <c r="DB76">
        <v>14</v>
      </c>
      <c r="DC76" s="352">
        <v>5199</v>
      </c>
      <c r="DD76">
        <v>-1</v>
      </c>
      <c r="DE76">
        <v>-1</v>
      </c>
      <c r="DF76" s="205">
        <v>2756</v>
      </c>
      <c r="DG76" s="205">
        <v>52</v>
      </c>
      <c r="DH76" s="209">
        <f t="shared" si="84"/>
        <v>7.7054267900578746E-2</v>
      </c>
      <c r="DI76" s="205">
        <v>59</v>
      </c>
      <c r="DJ76" s="205">
        <v>59</v>
      </c>
      <c r="DL76" s="343">
        <v>1968</v>
      </c>
      <c r="DM76" s="204"/>
      <c r="DN76" t="s">
        <v>1104</v>
      </c>
      <c r="DO76" t="s">
        <v>125</v>
      </c>
      <c r="DP76" s="208"/>
      <c r="DQ76" s="206"/>
      <c r="DR76" s="368" t="s">
        <v>1021</v>
      </c>
      <c r="DS76" s="204" t="s">
        <v>1021</v>
      </c>
      <c r="DT76" s="227">
        <v>44013</v>
      </c>
      <c r="DU76" s="227">
        <v>44377</v>
      </c>
      <c r="DV76" t="s">
        <v>1235</v>
      </c>
      <c r="DW76" s="109">
        <f t="shared" si="85"/>
        <v>0.16847932451701289</v>
      </c>
      <c r="DX76" s="109">
        <f t="shared" si="86"/>
        <v>0</v>
      </c>
      <c r="DY76" s="109">
        <f t="shared" si="87"/>
        <v>0.67760785081220121</v>
      </c>
      <c r="DZ76" s="109">
        <f t="shared" si="88"/>
        <v>1.463136410657869</v>
      </c>
      <c r="EA76" s="110">
        <f t="shared" si="101"/>
        <v>0.9706893133302491</v>
      </c>
      <c r="EB76" s="199">
        <f t="shared" si="100"/>
        <v>0.238916915080639</v>
      </c>
    </row>
    <row r="77" spans="1:132" ht="16.5" x14ac:dyDescent="0.3">
      <c r="A77" s="216" t="s">
        <v>1149</v>
      </c>
      <c r="B77" t="s">
        <v>1236</v>
      </c>
      <c r="C77" s="352">
        <v>176667</v>
      </c>
      <c r="D77">
        <v>4</v>
      </c>
      <c r="E77">
        <v>1</v>
      </c>
      <c r="F77" s="221">
        <v>83475</v>
      </c>
      <c r="H77" s="108">
        <f t="shared" si="69"/>
        <v>83475</v>
      </c>
      <c r="I77" s="109">
        <v>0.69164000000000003</v>
      </c>
      <c r="J77" s="220">
        <v>1054178</v>
      </c>
      <c r="K77" s="220">
        <v>388362</v>
      </c>
      <c r="L77" s="115">
        <f t="shared" si="89"/>
        <v>1442540</v>
      </c>
      <c r="M77" s="110">
        <f t="shared" si="70"/>
        <v>8.1653053484804747</v>
      </c>
      <c r="N77" s="220">
        <v>152516</v>
      </c>
      <c r="O77" s="220">
        <v>91003</v>
      </c>
      <c r="P77" s="220">
        <v>16742</v>
      </c>
      <c r="Q77" s="220">
        <v>260261</v>
      </c>
      <c r="R77" s="110">
        <f t="shared" si="71"/>
        <v>1.4731726921269961</v>
      </c>
      <c r="S77" s="220">
        <v>532009</v>
      </c>
      <c r="T77" s="220">
        <v>2234810</v>
      </c>
      <c r="U77" s="207">
        <v>0</v>
      </c>
      <c r="V77" s="220">
        <v>2234810</v>
      </c>
      <c r="W77" s="110">
        <f t="shared" si="72"/>
        <v>12.649844056898006</v>
      </c>
      <c r="X77" s="111">
        <f t="shared" si="90"/>
        <v>0.64548664092249453</v>
      </c>
      <c r="Y77" s="111">
        <f t="shared" si="91"/>
        <v>0.116457774933887</v>
      </c>
      <c r="Z77" s="111">
        <f t="shared" si="92"/>
        <v>0.23805558414361846</v>
      </c>
      <c r="AA77" s="111">
        <f t="shared" si="93"/>
        <v>0</v>
      </c>
      <c r="AB77" s="220">
        <v>210000</v>
      </c>
      <c r="AE77" s="207"/>
      <c r="AF77" s="353">
        <v>1523708</v>
      </c>
      <c r="AG77" s="353">
        <v>625819</v>
      </c>
      <c r="AH77" s="207"/>
      <c r="AI77" s="115">
        <f t="shared" si="73"/>
        <v>2149527</v>
      </c>
      <c r="AJ77" s="110">
        <f t="shared" si="74"/>
        <v>12.167111005450932</v>
      </c>
      <c r="AK77" s="353">
        <v>196482</v>
      </c>
      <c r="AL77" s="207">
        <v>0</v>
      </c>
      <c r="AM77" s="353"/>
      <c r="AN77" s="353">
        <v>73503</v>
      </c>
      <c r="AO77" s="115">
        <f t="shared" si="94"/>
        <v>73503</v>
      </c>
      <c r="AP77" s="353">
        <v>2432732</v>
      </c>
      <c r="AQ77" s="112">
        <f t="shared" si="75"/>
        <v>13.770155150650659</v>
      </c>
      <c r="AR77" s="207"/>
      <c r="AS77" s="220">
        <v>0</v>
      </c>
      <c r="AT77" s="207">
        <v>0</v>
      </c>
      <c r="AU77" s="220">
        <v>0</v>
      </c>
      <c r="AV77" s="220">
        <v>0</v>
      </c>
      <c r="AW77" s="207"/>
      <c r="AX77" s="220">
        <v>0</v>
      </c>
      <c r="AY77" s="115">
        <f t="shared" si="95"/>
        <v>0</v>
      </c>
      <c r="AZ77" s="352">
        <v>218790</v>
      </c>
      <c r="BA77" s="109">
        <f t="shared" si="76"/>
        <v>1.2384316256007064</v>
      </c>
      <c r="BB77" s="352">
        <v>9817</v>
      </c>
      <c r="BC77" s="352">
        <v>26010</v>
      </c>
      <c r="BD77" s="352">
        <v>11416</v>
      </c>
      <c r="BE77" s="352">
        <v>2130</v>
      </c>
      <c r="BF77" s="352">
        <v>135080</v>
      </c>
      <c r="BG77" s="221">
        <v>2</v>
      </c>
      <c r="BH77" s="221">
        <v>89</v>
      </c>
      <c r="BI77" s="205">
        <v>0</v>
      </c>
      <c r="BJ77">
        <v>93</v>
      </c>
      <c r="BK77" s="352">
        <v>433248</v>
      </c>
      <c r="BL77" s="109">
        <f t="shared" si="77"/>
        <v>2.4523425427499195</v>
      </c>
      <c r="BM77">
        <v>198</v>
      </c>
      <c r="BN77" s="352">
        <v>49563</v>
      </c>
      <c r="BO77" s="109">
        <f t="shared" si="78"/>
        <v>0.280544753689144</v>
      </c>
      <c r="BP77" s="352">
        <v>178721</v>
      </c>
      <c r="BQ77" s="205">
        <v>0</v>
      </c>
      <c r="BR77" s="356">
        <f t="shared" si="96"/>
        <v>294903</v>
      </c>
      <c r="BS77" s="352">
        <v>273071</v>
      </c>
      <c r="BT77" s="352">
        <v>567974</v>
      </c>
      <c r="BU77" s="109">
        <f t="shared" si="79"/>
        <v>3.2149411038847098</v>
      </c>
      <c r="BV77" s="108">
        <f t="shared" si="102"/>
        <v>18907.256990679096</v>
      </c>
      <c r="BW77" s="109">
        <f t="shared" si="80"/>
        <v>61.309801381692573</v>
      </c>
      <c r="BX77" s="109">
        <f t="shared" si="81"/>
        <v>6.3477804103893778</v>
      </c>
      <c r="BY77" s="109">
        <f t="shared" si="97"/>
        <v>1.3109673905015142</v>
      </c>
      <c r="BZ77">
        <v>11</v>
      </c>
      <c r="CA77">
        <v>0</v>
      </c>
      <c r="CB77">
        <v>2</v>
      </c>
      <c r="CC77" s="113">
        <f t="shared" si="98"/>
        <v>13</v>
      </c>
      <c r="CD77" s="352">
        <v>1274</v>
      </c>
      <c r="CE77">
        <v>287</v>
      </c>
      <c r="CF77">
        <v>78</v>
      </c>
      <c r="CG77" s="116">
        <f t="shared" si="99"/>
        <v>1639</v>
      </c>
      <c r="CH77" s="109">
        <f t="shared" si="82"/>
        <v>9.2773409861490828E-3</v>
      </c>
      <c r="CI77" s="352">
        <v>89476</v>
      </c>
      <c r="CJ77" s="109">
        <f t="shared" si="83"/>
        <v>0.50646696893024734</v>
      </c>
      <c r="CK77" s="352">
        <v>64404</v>
      </c>
      <c r="CL77" s="208" t="s">
        <v>7</v>
      </c>
      <c r="CM77" s="208" t="s">
        <v>7</v>
      </c>
      <c r="CN77" s="208" t="s">
        <v>7</v>
      </c>
      <c r="CO77">
        <v>2</v>
      </c>
      <c r="CP77" s="209">
        <v>0</v>
      </c>
      <c r="CQ77">
        <v>2</v>
      </c>
      <c r="CR77">
        <v>26.04</v>
      </c>
      <c r="CS77">
        <v>30.04</v>
      </c>
      <c r="CT77" s="108">
        <f t="shared" si="103"/>
        <v>5881.0585885486016</v>
      </c>
      <c r="CU77">
        <v>0</v>
      </c>
      <c r="CV77" s="353">
        <v>118872</v>
      </c>
      <c r="CW77" s="209">
        <v>40</v>
      </c>
      <c r="CX77" s="208" t="s">
        <v>7</v>
      </c>
      <c r="CY77" s="208" t="s">
        <v>7</v>
      </c>
      <c r="CZ77">
        <v>0</v>
      </c>
      <c r="DA77">
        <v>0</v>
      </c>
      <c r="DB77">
        <v>56</v>
      </c>
      <c r="DC77" s="352">
        <v>5825</v>
      </c>
      <c r="DD77">
        <v>-1</v>
      </c>
      <c r="DE77" s="352">
        <v>98290</v>
      </c>
      <c r="DF77" s="205">
        <v>7904</v>
      </c>
      <c r="DG77" s="205">
        <v>52</v>
      </c>
      <c r="DH77" s="209">
        <f t="shared" si="84"/>
        <v>4.4739538227286366E-2</v>
      </c>
      <c r="DI77" s="205">
        <v>45</v>
      </c>
      <c r="DJ77" s="205">
        <v>45</v>
      </c>
      <c r="DL77" s="343">
        <v>9264</v>
      </c>
      <c r="DM77" s="204"/>
      <c r="DN77" t="s">
        <v>1105</v>
      </c>
      <c r="DO77" t="s">
        <v>125</v>
      </c>
      <c r="DP77" s="208"/>
      <c r="DQ77" s="206"/>
      <c r="DR77" s="367" t="s">
        <v>1282</v>
      </c>
      <c r="DS77" s="204" t="s">
        <v>985</v>
      </c>
      <c r="DT77" s="227">
        <v>44013</v>
      </c>
      <c r="DU77" s="227">
        <v>44377</v>
      </c>
      <c r="DV77" t="s">
        <v>1236</v>
      </c>
      <c r="DW77" s="109">
        <f t="shared" si="85"/>
        <v>1.0116263931577487</v>
      </c>
      <c r="DX77" s="109">
        <f t="shared" si="86"/>
        <v>0</v>
      </c>
      <c r="DY77" s="109">
        <f t="shared" si="87"/>
        <v>1.6692591146054441</v>
      </c>
      <c r="DZ77" s="109">
        <f t="shared" si="88"/>
        <v>1.5456819892792655</v>
      </c>
      <c r="EA77" s="110">
        <f t="shared" si="101"/>
        <v>0.32201915443474149</v>
      </c>
      <c r="EB77" s="199">
        <f t="shared" si="100"/>
        <v>0.33325765094059789</v>
      </c>
    </row>
    <row r="78" spans="1:132" ht="16.5" x14ac:dyDescent="0.3">
      <c r="A78" s="216" t="s">
        <v>1150</v>
      </c>
      <c r="B78" t="s">
        <v>1237</v>
      </c>
      <c r="C78" s="352">
        <v>14440</v>
      </c>
      <c r="D78"/>
      <c r="E78"/>
      <c r="F78" s="221">
        <v>14750</v>
      </c>
      <c r="H78" s="108">
        <f t="shared" si="69"/>
        <v>14750</v>
      </c>
      <c r="I78" s="109">
        <v>0.99363000000000001</v>
      </c>
      <c r="J78" s="220">
        <v>460495</v>
      </c>
      <c r="K78" s="220">
        <v>159268</v>
      </c>
      <c r="L78" s="115">
        <f t="shared" si="89"/>
        <v>619763</v>
      </c>
      <c r="M78" s="110">
        <f t="shared" si="70"/>
        <v>42.91987534626039</v>
      </c>
      <c r="N78" s="220">
        <v>77019</v>
      </c>
      <c r="O78" s="220">
        <v>42336</v>
      </c>
      <c r="P78" s="220">
        <v>1841</v>
      </c>
      <c r="Q78" s="220">
        <v>121196</v>
      </c>
      <c r="R78" s="110">
        <f t="shared" si="71"/>
        <v>8.3930747922437678</v>
      </c>
      <c r="S78" s="220">
        <v>115247</v>
      </c>
      <c r="T78" s="220">
        <v>856206</v>
      </c>
      <c r="U78" s="207">
        <v>0</v>
      </c>
      <c r="V78" s="220">
        <v>856206</v>
      </c>
      <c r="W78" s="110">
        <f t="shared" si="72"/>
        <v>59.294044321329643</v>
      </c>
      <c r="X78" s="111">
        <f t="shared" si="90"/>
        <v>0.72384799919645504</v>
      </c>
      <c r="Y78" s="111">
        <f t="shared" si="91"/>
        <v>0.14155004753528941</v>
      </c>
      <c r="Z78" s="111">
        <f t="shared" si="92"/>
        <v>0.13460195326825553</v>
      </c>
      <c r="AA78" s="111">
        <f t="shared" si="93"/>
        <v>0</v>
      </c>
      <c r="AB78" s="220">
        <v>0</v>
      </c>
      <c r="AE78" s="207"/>
      <c r="AF78" s="353">
        <v>820323</v>
      </c>
      <c r="AG78" s="353">
        <v>0</v>
      </c>
      <c r="AH78" s="207"/>
      <c r="AI78" s="115">
        <f t="shared" si="73"/>
        <v>820323</v>
      </c>
      <c r="AJ78" s="110">
        <f t="shared" si="74"/>
        <v>56.809072022160663</v>
      </c>
      <c r="AK78" s="353">
        <v>7659</v>
      </c>
      <c r="AL78" s="207">
        <v>652</v>
      </c>
      <c r="AM78" s="353"/>
      <c r="AN78" s="353">
        <v>30583</v>
      </c>
      <c r="AO78" s="115">
        <f t="shared" si="94"/>
        <v>30583</v>
      </c>
      <c r="AP78" s="353">
        <v>904508</v>
      </c>
      <c r="AQ78" s="112">
        <f t="shared" si="75"/>
        <v>62.639058171745155</v>
      </c>
      <c r="AR78" s="207"/>
      <c r="AS78" s="220">
        <v>20000</v>
      </c>
      <c r="AT78" s="207">
        <v>0</v>
      </c>
      <c r="AU78" s="220">
        <v>0</v>
      </c>
      <c r="AV78" s="220">
        <v>0</v>
      </c>
      <c r="AW78" s="207"/>
      <c r="AX78" s="220">
        <v>0</v>
      </c>
      <c r="AY78" s="115">
        <f t="shared" si="95"/>
        <v>20000</v>
      </c>
      <c r="AZ78" s="352">
        <v>60905</v>
      </c>
      <c r="BA78" s="109">
        <f t="shared" si="76"/>
        <v>4.2177977839335181</v>
      </c>
      <c r="BB78" s="352">
        <v>2344</v>
      </c>
      <c r="BC78" s="352">
        <v>53518</v>
      </c>
      <c r="BD78" s="352">
        <v>1455</v>
      </c>
      <c r="BE78" s="352">
        <v>2613</v>
      </c>
      <c r="BF78" s="352">
        <v>208113</v>
      </c>
      <c r="BG78" s="221">
        <v>12</v>
      </c>
      <c r="BH78" s="221">
        <v>89</v>
      </c>
      <c r="BI78" s="205">
        <v>0</v>
      </c>
      <c r="BJ78">
        <v>96</v>
      </c>
      <c r="BK78" s="352">
        <v>333246</v>
      </c>
      <c r="BL78" s="109">
        <f t="shared" si="77"/>
        <v>23.07797783933518</v>
      </c>
      <c r="BM78">
        <v>70</v>
      </c>
      <c r="BN78" s="352">
        <v>3796</v>
      </c>
      <c r="BO78" s="109">
        <f t="shared" si="78"/>
        <v>0.2628808864265928</v>
      </c>
      <c r="BP78" s="352">
        <v>45326</v>
      </c>
      <c r="BQ78" s="205">
        <v>0</v>
      </c>
      <c r="BR78" s="356">
        <f t="shared" si="96"/>
        <v>82329</v>
      </c>
      <c r="BS78" s="352">
        <v>90906</v>
      </c>
      <c r="BT78" s="352">
        <v>173235</v>
      </c>
      <c r="BU78" s="109">
        <f t="shared" si="79"/>
        <v>11.996883656509695</v>
      </c>
      <c r="BV78" s="108">
        <f t="shared" si="102"/>
        <v>16190.186915887851</v>
      </c>
      <c r="BW78" s="109">
        <f t="shared" si="80"/>
        <v>61.213780918727913</v>
      </c>
      <c r="BX78" s="109">
        <f t="shared" si="81"/>
        <v>4.5503138872107378</v>
      </c>
      <c r="BY78" s="109">
        <f t="shared" si="97"/>
        <v>0.51984119839397924</v>
      </c>
      <c r="BZ78">
        <v>66</v>
      </c>
      <c r="CA78">
        <v>4</v>
      </c>
      <c r="CB78">
        <v>7</v>
      </c>
      <c r="CC78" s="113">
        <f t="shared" si="98"/>
        <v>77</v>
      </c>
      <c r="CD78" s="352">
        <v>21107</v>
      </c>
      <c r="CE78">
        <v>46</v>
      </c>
      <c r="CF78" s="352">
        <v>1586</v>
      </c>
      <c r="CG78" s="116">
        <f t="shared" si="99"/>
        <v>22739</v>
      </c>
      <c r="CH78" s="109">
        <f t="shared" si="82"/>
        <v>1.5747229916897507</v>
      </c>
      <c r="CI78" s="352">
        <v>38071</v>
      </c>
      <c r="CJ78" s="109">
        <f t="shared" si="83"/>
        <v>2.6364958448753462</v>
      </c>
      <c r="CK78" s="352">
        <v>6884</v>
      </c>
      <c r="CL78" s="208" t="s">
        <v>7</v>
      </c>
      <c r="CM78" s="208" t="s">
        <v>7</v>
      </c>
      <c r="CN78" s="208" t="s">
        <v>7</v>
      </c>
      <c r="CO78">
        <v>7</v>
      </c>
      <c r="CP78" s="108">
        <f t="shared" ref="CP78:CP83" si="104">C78/CO78</f>
        <v>2062.8571428571427</v>
      </c>
      <c r="CQ78">
        <v>0</v>
      </c>
      <c r="CR78">
        <v>3.7</v>
      </c>
      <c r="CS78">
        <v>10.7</v>
      </c>
      <c r="CT78" s="108">
        <f t="shared" si="103"/>
        <v>1349.532710280374</v>
      </c>
      <c r="CU78">
        <v>30</v>
      </c>
      <c r="CV78" s="353">
        <v>78030</v>
      </c>
      <c r="CW78" s="209">
        <v>40</v>
      </c>
      <c r="CX78" s="208" t="s">
        <v>7</v>
      </c>
      <c r="CY78" s="208" t="s">
        <v>7</v>
      </c>
      <c r="CZ78">
        <v>29</v>
      </c>
      <c r="DA78">
        <v>108</v>
      </c>
      <c r="DB78">
        <v>11</v>
      </c>
      <c r="DC78" s="352">
        <v>1187</v>
      </c>
      <c r="DD78" s="352">
        <v>1251</v>
      </c>
      <c r="DE78" s="352">
        <v>34534</v>
      </c>
      <c r="DF78" s="205">
        <v>3440</v>
      </c>
      <c r="DG78" s="205">
        <v>52</v>
      </c>
      <c r="DH78" s="209">
        <f t="shared" si="84"/>
        <v>0.23822714681440443</v>
      </c>
      <c r="DI78" s="205">
        <v>48</v>
      </c>
      <c r="DJ78" s="205">
        <v>48</v>
      </c>
      <c r="DK78" s="108">
        <v>2482</v>
      </c>
      <c r="DL78" s="343">
        <v>2830</v>
      </c>
      <c r="DM78" s="204"/>
      <c r="DN78" t="s">
        <v>1106</v>
      </c>
      <c r="DO78" t="s">
        <v>1031</v>
      </c>
      <c r="DP78" s="208"/>
      <c r="DQ78" s="206"/>
      <c r="DR78" s="367" t="s">
        <v>1283</v>
      </c>
      <c r="DS78" s="204" t="s">
        <v>1022</v>
      </c>
      <c r="DT78" s="227">
        <v>44013</v>
      </c>
      <c r="DU78" s="227">
        <v>44377</v>
      </c>
      <c r="DV78" t="s">
        <v>1237</v>
      </c>
      <c r="DW78" s="109">
        <f t="shared" si="85"/>
        <v>3.1389196675900277</v>
      </c>
      <c r="DX78" s="109">
        <f t="shared" si="86"/>
        <v>0</v>
      </c>
      <c r="DY78" s="109">
        <f t="shared" si="87"/>
        <v>5.7014542936288093</v>
      </c>
      <c r="DZ78" s="109">
        <f t="shared" si="88"/>
        <v>6.2954293628808866</v>
      </c>
      <c r="EA78" s="110">
        <f t="shared" si="101"/>
        <v>0.60333711958011826</v>
      </c>
      <c r="EB78" s="199">
        <f t="shared" si="100"/>
        <v>0.4657118342023629</v>
      </c>
    </row>
    <row r="79" spans="1:132" ht="16.5" x14ac:dyDescent="0.3">
      <c r="A79" s="216" t="s">
        <v>1023</v>
      </c>
      <c r="B79" t="s">
        <v>1238</v>
      </c>
      <c r="C79" s="352">
        <v>64132</v>
      </c>
      <c r="D79">
        <v>5</v>
      </c>
      <c r="E79"/>
      <c r="F79" s="221">
        <v>43895</v>
      </c>
      <c r="H79" s="108">
        <f t="shared" si="69"/>
        <v>43895</v>
      </c>
      <c r="I79" s="109">
        <v>0.28411999999999998</v>
      </c>
      <c r="J79" s="220">
        <v>732566</v>
      </c>
      <c r="K79" s="220">
        <v>277295</v>
      </c>
      <c r="L79" s="115">
        <f t="shared" si="89"/>
        <v>1009861</v>
      </c>
      <c r="M79" s="110">
        <f t="shared" si="70"/>
        <v>15.74660076093058</v>
      </c>
      <c r="N79" s="220">
        <v>71500</v>
      </c>
      <c r="O79" s="220">
        <v>13000</v>
      </c>
      <c r="P79" s="220">
        <v>3100</v>
      </c>
      <c r="Q79" s="220">
        <v>87600</v>
      </c>
      <c r="R79" s="110">
        <f t="shared" si="71"/>
        <v>1.3659327636749206</v>
      </c>
      <c r="S79" s="220">
        <v>213665</v>
      </c>
      <c r="T79" s="220">
        <v>1311126</v>
      </c>
      <c r="U79" s="207">
        <v>0</v>
      </c>
      <c r="V79" s="220">
        <v>1311126</v>
      </c>
      <c r="W79" s="110">
        <f t="shared" si="72"/>
        <v>20.444177633630638</v>
      </c>
      <c r="X79" s="111">
        <f t="shared" si="90"/>
        <v>0.77022421948767705</v>
      </c>
      <c r="Y79" s="111">
        <f t="shared" si="91"/>
        <v>6.6812800600399957E-2</v>
      </c>
      <c r="Z79" s="111">
        <f t="shared" si="92"/>
        <v>0.16296297991192304</v>
      </c>
      <c r="AA79" s="111">
        <f t="shared" si="93"/>
        <v>0</v>
      </c>
      <c r="AB79" s="220">
        <v>0</v>
      </c>
      <c r="AE79" s="207"/>
      <c r="AF79" s="353">
        <v>0</v>
      </c>
      <c r="AG79" s="353">
        <v>1194099</v>
      </c>
      <c r="AH79" s="207"/>
      <c r="AI79" s="115">
        <f t="shared" si="73"/>
        <v>1194099</v>
      </c>
      <c r="AJ79" s="110">
        <f t="shared" si="74"/>
        <v>18.619394374103411</v>
      </c>
      <c r="AK79" s="353">
        <v>113927</v>
      </c>
      <c r="AL79" s="207">
        <v>0</v>
      </c>
      <c r="AM79" s="353"/>
      <c r="AN79" s="353">
        <v>0</v>
      </c>
      <c r="AO79" s="115">
        <f t="shared" si="94"/>
        <v>0</v>
      </c>
      <c r="AP79" s="353">
        <v>1311526</v>
      </c>
      <c r="AQ79" s="112">
        <f t="shared" si="75"/>
        <v>20.450414769537829</v>
      </c>
      <c r="AR79" s="207"/>
      <c r="AS79" s="220">
        <v>25000</v>
      </c>
      <c r="AT79" s="207">
        <v>0</v>
      </c>
      <c r="AU79" s="220">
        <v>0</v>
      </c>
      <c r="AV79" s="220">
        <v>0</v>
      </c>
      <c r="AW79" s="207"/>
      <c r="AX79" s="220">
        <v>0</v>
      </c>
      <c r="AY79" s="115">
        <f t="shared" si="95"/>
        <v>25000</v>
      </c>
      <c r="AZ79" s="352">
        <v>119021</v>
      </c>
      <c r="BA79" s="109">
        <f t="shared" si="76"/>
        <v>1.8558753820245744</v>
      </c>
      <c r="BB79" s="352">
        <v>3717</v>
      </c>
      <c r="BC79" s="352">
        <v>30111</v>
      </c>
      <c r="BD79" s="352">
        <v>7196</v>
      </c>
      <c r="BE79" s="352">
        <v>2443</v>
      </c>
      <c r="BF79" s="352">
        <v>166680</v>
      </c>
      <c r="BG79" s="221">
        <v>18</v>
      </c>
      <c r="BH79" s="221">
        <v>89</v>
      </c>
      <c r="BI79" s="205">
        <v>0</v>
      </c>
      <c r="BJ79">
        <v>88</v>
      </c>
      <c r="BK79" s="352">
        <v>338772</v>
      </c>
      <c r="BL79" s="109">
        <f t="shared" si="77"/>
        <v>5.2824175138776273</v>
      </c>
      <c r="BM79">
        <v>60</v>
      </c>
      <c r="BN79" s="352">
        <v>15708</v>
      </c>
      <c r="BO79" s="109">
        <f t="shared" si="78"/>
        <v>0.24493232707540696</v>
      </c>
      <c r="BP79" s="352">
        <v>27582</v>
      </c>
      <c r="BQ79" s="205">
        <v>0</v>
      </c>
      <c r="BR79" s="356">
        <f t="shared" si="96"/>
        <v>88652</v>
      </c>
      <c r="BS79" s="352">
        <v>36974</v>
      </c>
      <c r="BT79" s="352">
        <v>125626</v>
      </c>
      <c r="BU79" s="109">
        <f t="shared" si="79"/>
        <v>1.9588660886920726</v>
      </c>
      <c r="BV79" s="108">
        <f t="shared" si="102"/>
        <v>8903.3309709425939</v>
      </c>
      <c r="BW79" s="109">
        <f t="shared" si="80"/>
        <v>13.838510685172945</v>
      </c>
      <c r="BX79" s="109">
        <f t="shared" si="81"/>
        <v>0.94948227647192196</v>
      </c>
      <c r="BY79" s="109">
        <f t="shared" si="97"/>
        <v>0.37082757724959559</v>
      </c>
      <c r="BZ79">
        <v>122</v>
      </c>
      <c r="CA79">
        <v>0</v>
      </c>
      <c r="CB79">
        <v>45</v>
      </c>
      <c r="CC79" s="113">
        <f t="shared" si="98"/>
        <v>167</v>
      </c>
      <c r="CD79">
        <v>252</v>
      </c>
      <c r="CE79">
        <v>0</v>
      </c>
      <c r="CF79">
        <v>101</v>
      </c>
      <c r="CG79" s="116">
        <f t="shared" si="99"/>
        <v>353</v>
      </c>
      <c r="CH79" s="109">
        <f t="shared" si="82"/>
        <v>5.5042724380964265E-3</v>
      </c>
      <c r="CI79" s="352">
        <v>132310</v>
      </c>
      <c r="CJ79" s="109">
        <f t="shared" si="83"/>
        <v>2.0630886297012414</v>
      </c>
      <c r="CK79" s="352">
        <v>31958</v>
      </c>
      <c r="CL79" s="208" t="s">
        <v>7</v>
      </c>
      <c r="CM79" s="208" t="s">
        <v>7</v>
      </c>
      <c r="CN79" s="208" t="s">
        <v>7</v>
      </c>
      <c r="CO79">
        <v>3.75</v>
      </c>
      <c r="CP79" s="108">
        <f t="shared" si="104"/>
        <v>17101.866666666665</v>
      </c>
      <c r="CQ79">
        <v>0</v>
      </c>
      <c r="CR79">
        <v>10.36</v>
      </c>
      <c r="CS79">
        <v>14.11</v>
      </c>
      <c r="CT79" s="108">
        <f t="shared" si="103"/>
        <v>4545.1452870304747</v>
      </c>
      <c r="CU79">
        <v>98</v>
      </c>
      <c r="CV79" s="353">
        <v>74587</v>
      </c>
      <c r="CW79" s="209">
        <v>40</v>
      </c>
      <c r="CX79" s="208" t="s">
        <v>7</v>
      </c>
      <c r="CY79" s="208" t="s">
        <v>7</v>
      </c>
      <c r="CZ79">
        <v>2</v>
      </c>
      <c r="DA79">
        <v>3</v>
      </c>
      <c r="DB79">
        <v>42</v>
      </c>
      <c r="DC79" s="352">
        <v>6653</v>
      </c>
      <c r="DD79" s="352">
        <v>1033</v>
      </c>
      <c r="DE79" s="352">
        <v>27318</v>
      </c>
      <c r="DF79" s="205">
        <v>10874</v>
      </c>
      <c r="DG79" s="205">
        <v>52</v>
      </c>
      <c r="DH79" s="209">
        <f t="shared" si="84"/>
        <v>0.16955653963699868</v>
      </c>
      <c r="DI79" s="205">
        <v>49</v>
      </c>
      <c r="DJ79" s="205">
        <v>49</v>
      </c>
      <c r="DL79" s="343">
        <v>9078</v>
      </c>
      <c r="DM79" s="204"/>
      <c r="DN79" t="s">
        <v>1107</v>
      </c>
      <c r="DO79" t="s">
        <v>125</v>
      </c>
      <c r="DP79" s="208"/>
      <c r="DQ79" s="206"/>
      <c r="DR79" s="368" t="s">
        <v>1023</v>
      </c>
      <c r="DS79" s="204" t="s">
        <v>1023</v>
      </c>
      <c r="DT79" s="227">
        <v>44013</v>
      </c>
      <c r="DU79" s="227">
        <v>44377</v>
      </c>
      <c r="DV79" t="s">
        <v>1238</v>
      </c>
      <c r="DW79" s="109">
        <f t="shared" si="85"/>
        <v>0.43008170648038418</v>
      </c>
      <c r="DX79" s="109">
        <f t="shared" si="86"/>
        <v>0</v>
      </c>
      <c r="DY79" s="109">
        <f t="shared" si="87"/>
        <v>1.3823364311108339</v>
      </c>
      <c r="DZ79" s="109">
        <f t="shared" si="88"/>
        <v>0.57652965758123864</v>
      </c>
      <c r="EA79" s="110">
        <f t="shared" si="101"/>
        <v>0.61513842765455895</v>
      </c>
      <c r="EB79" s="199">
        <f t="shared" si="100"/>
        <v>0.35159842051171092</v>
      </c>
    </row>
    <row r="80" spans="1:132" ht="16.5" x14ac:dyDescent="0.3">
      <c r="A80" s="216" t="s">
        <v>1024</v>
      </c>
      <c r="B80" t="s">
        <v>1239</v>
      </c>
      <c r="C80" s="352">
        <v>35286</v>
      </c>
      <c r="D80"/>
      <c r="E80">
        <v>1</v>
      </c>
      <c r="F80" s="221">
        <v>34976</v>
      </c>
      <c r="H80" s="108">
        <f t="shared" si="69"/>
        <v>34976</v>
      </c>
      <c r="I80" s="109">
        <v>0.29443999999999998</v>
      </c>
      <c r="J80" s="220">
        <v>791239</v>
      </c>
      <c r="K80" s="220">
        <v>327250</v>
      </c>
      <c r="L80" s="115">
        <f t="shared" si="89"/>
        <v>1118489</v>
      </c>
      <c r="M80" s="110">
        <f t="shared" si="70"/>
        <v>31.697812163464263</v>
      </c>
      <c r="N80" s="220">
        <v>85633</v>
      </c>
      <c r="O80" s="220">
        <v>63496</v>
      </c>
      <c r="P80" s="220">
        <v>18172</v>
      </c>
      <c r="Q80" s="220">
        <v>167301</v>
      </c>
      <c r="R80" s="110">
        <f t="shared" si="71"/>
        <v>4.7412854956640027</v>
      </c>
      <c r="S80" s="220">
        <v>54407</v>
      </c>
      <c r="T80" s="220">
        <v>1340197</v>
      </c>
      <c r="U80" s="207">
        <v>0</v>
      </c>
      <c r="V80" s="220">
        <v>1340197</v>
      </c>
      <c r="W80" s="110">
        <f t="shared" si="72"/>
        <v>37.98098395964405</v>
      </c>
      <c r="X80" s="111">
        <f t="shared" si="90"/>
        <v>0.83457058924919247</v>
      </c>
      <c r="Y80" s="111">
        <f t="shared" si="91"/>
        <v>0.12483314020252247</v>
      </c>
      <c r="Z80" s="111">
        <f t="shared" si="92"/>
        <v>4.0596270548285067E-2</v>
      </c>
      <c r="AA80" s="111">
        <f t="shared" si="93"/>
        <v>0</v>
      </c>
      <c r="AB80" s="220">
        <v>0</v>
      </c>
      <c r="AE80" s="207"/>
      <c r="AF80" s="353">
        <v>0</v>
      </c>
      <c r="AG80" s="353">
        <v>1383026</v>
      </c>
      <c r="AH80" s="207"/>
      <c r="AI80" s="115">
        <f t="shared" si="73"/>
        <v>1383026</v>
      </c>
      <c r="AJ80" s="110">
        <f t="shared" si="74"/>
        <v>39.194751459502349</v>
      </c>
      <c r="AK80" s="353">
        <v>88883</v>
      </c>
      <c r="AL80" s="207">
        <v>1701</v>
      </c>
      <c r="AM80" s="353"/>
      <c r="AN80" s="353">
        <v>0</v>
      </c>
      <c r="AO80" s="115">
        <f t="shared" si="94"/>
        <v>0</v>
      </c>
      <c r="AP80" s="353">
        <v>1476909</v>
      </c>
      <c r="AQ80" s="112">
        <f t="shared" si="75"/>
        <v>41.855381737799696</v>
      </c>
      <c r="AR80" s="207"/>
      <c r="AS80" s="220">
        <v>0</v>
      </c>
      <c r="AT80" s="207">
        <v>0</v>
      </c>
      <c r="AU80" s="220">
        <v>0</v>
      </c>
      <c r="AV80" s="220">
        <v>0</v>
      </c>
      <c r="AW80" s="207"/>
      <c r="AX80" s="220">
        <v>0</v>
      </c>
      <c r="AY80" s="115">
        <f t="shared" si="95"/>
        <v>0</v>
      </c>
      <c r="AZ80" s="352">
        <v>116777</v>
      </c>
      <c r="BA80" s="109">
        <f t="shared" si="76"/>
        <v>3.309442838519526</v>
      </c>
      <c r="BB80" s="352">
        <v>5924</v>
      </c>
      <c r="BC80" s="352">
        <v>52716</v>
      </c>
      <c r="BD80" s="352">
        <v>9204</v>
      </c>
      <c r="BE80" s="352">
        <v>2613</v>
      </c>
      <c r="BF80" s="352">
        <v>206483</v>
      </c>
      <c r="BG80" s="221">
        <v>4</v>
      </c>
      <c r="BH80" s="221">
        <v>89</v>
      </c>
      <c r="BI80" s="205">
        <v>0</v>
      </c>
      <c r="BJ80">
        <v>100</v>
      </c>
      <c r="BK80" s="352">
        <v>399124</v>
      </c>
      <c r="BL80" s="109">
        <f t="shared" si="77"/>
        <v>11.311114889757977</v>
      </c>
      <c r="BM80">
        <v>92</v>
      </c>
      <c r="BN80" s="352">
        <v>11215</v>
      </c>
      <c r="BO80" s="109">
        <f t="shared" si="78"/>
        <v>0.31783143456328289</v>
      </c>
      <c r="BP80" s="352">
        <v>111783</v>
      </c>
      <c r="BQ80" s="205">
        <v>0</v>
      </c>
      <c r="BR80" s="356">
        <f t="shared" si="96"/>
        <v>275526</v>
      </c>
      <c r="BS80" s="352">
        <v>87237</v>
      </c>
      <c r="BT80" s="352">
        <v>362763</v>
      </c>
      <c r="BU80" s="109">
        <f t="shared" si="79"/>
        <v>10.280649549396362</v>
      </c>
      <c r="BV80" s="108">
        <f t="shared" si="102"/>
        <v>19555.956873315365</v>
      </c>
      <c r="BW80" s="109">
        <f t="shared" si="80"/>
        <v>7.2039677496226862</v>
      </c>
      <c r="BX80" s="109">
        <f t="shared" si="81"/>
        <v>3.8438056285496311</v>
      </c>
      <c r="BY80" s="109">
        <f t="shared" si="97"/>
        <v>0.90889798659063348</v>
      </c>
      <c r="BZ80">
        <v>11</v>
      </c>
      <c r="CA80">
        <v>0</v>
      </c>
      <c r="CB80">
        <v>5</v>
      </c>
      <c r="CC80" s="113">
        <f t="shared" si="98"/>
        <v>16</v>
      </c>
      <c r="CD80">
        <v>411</v>
      </c>
      <c r="CE80">
        <v>0</v>
      </c>
      <c r="CF80">
        <v>291</v>
      </c>
      <c r="CG80" s="116">
        <f t="shared" si="99"/>
        <v>702</v>
      </c>
      <c r="CH80" s="109">
        <f t="shared" si="82"/>
        <v>1.9894575752423059E-2</v>
      </c>
      <c r="CI80" s="352">
        <v>94376</v>
      </c>
      <c r="CJ80" s="109">
        <f t="shared" si="83"/>
        <v>2.6746018250864365</v>
      </c>
      <c r="CK80" s="352">
        <v>19430</v>
      </c>
      <c r="CL80" s="208" t="s">
        <v>7</v>
      </c>
      <c r="CM80" s="208" t="s">
        <v>7</v>
      </c>
      <c r="CN80" s="208" t="s">
        <v>7</v>
      </c>
      <c r="CO80">
        <v>7</v>
      </c>
      <c r="CP80" s="108">
        <f t="shared" si="104"/>
        <v>5040.8571428571431</v>
      </c>
      <c r="CQ80">
        <v>0</v>
      </c>
      <c r="CR80">
        <v>11.55</v>
      </c>
      <c r="CS80">
        <v>18.55</v>
      </c>
      <c r="CT80" s="108">
        <f t="shared" si="103"/>
        <v>1902.210242587601</v>
      </c>
      <c r="CU80" s="352">
        <v>1445</v>
      </c>
      <c r="CV80" s="353">
        <v>78260</v>
      </c>
      <c r="CW80" s="209">
        <v>40</v>
      </c>
      <c r="CX80" s="208" t="s">
        <v>7</v>
      </c>
      <c r="CY80" s="208" t="s">
        <v>7</v>
      </c>
      <c r="CZ80" s="352">
        <v>16712</v>
      </c>
      <c r="DA80" s="352">
        <v>12246</v>
      </c>
      <c r="DB80">
        <v>37</v>
      </c>
      <c r="DC80" s="352">
        <v>6483</v>
      </c>
      <c r="DD80" s="352">
        <v>17057</v>
      </c>
      <c r="DE80" s="352">
        <v>83888</v>
      </c>
      <c r="DF80" s="205">
        <v>67014</v>
      </c>
      <c r="DG80" s="205">
        <v>51</v>
      </c>
      <c r="DH80" s="209">
        <f t="shared" si="84"/>
        <v>1.8991668083659241</v>
      </c>
      <c r="DI80" s="205">
        <v>45</v>
      </c>
      <c r="DJ80" s="205">
        <v>45</v>
      </c>
      <c r="DL80" s="343">
        <v>50356</v>
      </c>
      <c r="DM80" s="204"/>
      <c r="DN80" t="s">
        <v>1108</v>
      </c>
      <c r="DO80" t="s">
        <v>125</v>
      </c>
      <c r="DP80" s="208"/>
      <c r="DQ80" s="206"/>
      <c r="DR80" s="368" t="s">
        <v>1024</v>
      </c>
      <c r="DS80" s="204" t="s">
        <v>1024</v>
      </c>
      <c r="DT80" s="227">
        <v>44013</v>
      </c>
      <c r="DU80" s="227">
        <v>44377</v>
      </c>
      <c r="DV80" t="s">
        <v>1239</v>
      </c>
      <c r="DW80" s="109">
        <f t="shared" si="85"/>
        <v>3.1679136201326306</v>
      </c>
      <c r="DX80" s="109">
        <f t="shared" si="86"/>
        <v>0</v>
      </c>
      <c r="DY80" s="109">
        <f>BR80/C80</f>
        <v>7.8083659241625574</v>
      </c>
      <c r="DZ80" s="109">
        <f t="shared" si="88"/>
        <v>2.4722836252338038</v>
      </c>
      <c r="EA80" s="110">
        <f t="shared" si="101"/>
        <v>0.22109736670203894</v>
      </c>
      <c r="EB80" s="199">
        <f t="shared" si="100"/>
        <v>0.72785629950594355</v>
      </c>
    </row>
    <row r="81" spans="1:132" ht="16.5" x14ac:dyDescent="0.3">
      <c r="A81" s="216" t="s">
        <v>1025</v>
      </c>
      <c r="B81" t="s">
        <v>1240</v>
      </c>
      <c r="C81" s="352">
        <v>235605</v>
      </c>
      <c r="D81">
        <v>3</v>
      </c>
      <c r="E81"/>
      <c r="F81" s="221">
        <v>66148</v>
      </c>
      <c r="H81" s="108">
        <f t="shared" si="69"/>
        <v>66148</v>
      </c>
      <c r="I81" s="109">
        <v>0.68255999999999994</v>
      </c>
      <c r="J81" s="220">
        <v>2680041</v>
      </c>
      <c r="K81" s="220">
        <v>1145862</v>
      </c>
      <c r="L81" s="115">
        <f t="shared" si="89"/>
        <v>3825903</v>
      </c>
      <c r="M81" s="110">
        <f t="shared" si="70"/>
        <v>16.238632456866366</v>
      </c>
      <c r="N81" s="220">
        <v>264645</v>
      </c>
      <c r="O81" s="220">
        <v>172578</v>
      </c>
      <c r="P81" s="220">
        <v>22101</v>
      </c>
      <c r="Q81" s="220">
        <v>459324</v>
      </c>
      <c r="R81" s="110">
        <f t="shared" si="71"/>
        <v>1.9495511555357483</v>
      </c>
      <c r="S81" s="220">
        <v>565570</v>
      </c>
      <c r="T81" s="220">
        <v>4850797</v>
      </c>
      <c r="U81" s="207">
        <v>0</v>
      </c>
      <c r="V81" s="220">
        <v>4850797</v>
      </c>
      <c r="W81" s="110">
        <f t="shared" si="72"/>
        <v>20.588684450669554</v>
      </c>
      <c r="X81" s="111">
        <f t="shared" si="90"/>
        <v>0.78871636970172121</v>
      </c>
      <c r="Y81" s="111">
        <f t="shared" si="91"/>
        <v>9.4690418914664953E-2</v>
      </c>
      <c r="Z81" s="111">
        <f t="shared" si="92"/>
        <v>0.11659321138361387</v>
      </c>
      <c r="AA81" s="111">
        <f t="shared" si="93"/>
        <v>0</v>
      </c>
      <c r="AB81" s="220">
        <v>10100000</v>
      </c>
      <c r="AE81" s="207"/>
      <c r="AF81" s="353">
        <v>0</v>
      </c>
      <c r="AG81" s="353">
        <v>4551287</v>
      </c>
      <c r="AH81" s="207"/>
      <c r="AI81" s="115">
        <f t="shared" si="73"/>
        <v>4551287</v>
      </c>
      <c r="AJ81" s="110">
        <f t="shared" si="74"/>
        <v>19.317446573714481</v>
      </c>
      <c r="AK81" s="353">
        <v>181078</v>
      </c>
      <c r="AL81" s="207">
        <v>0</v>
      </c>
      <c r="AM81" s="353"/>
      <c r="AN81" s="353">
        <v>48411</v>
      </c>
      <c r="AO81" s="115">
        <f t="shared" si="94"/>
        <v>48411</v>
      </c>
      <c r="AP81" s="353">
        <v>4813276</v>
      </c>
      <c r="AQ81" s="112">
        <f t="shared" si="75"/>
        <v>20.429430614800197</v>
      </c>
      <c r="AR81" s="207"/>
      <c r="AS81" s="220">
        <v>0</v>
      </c>
      <c r="AT81" s="207">
        <v>0</v>
      </c>
      <c r="AU81" s="220">
        <v>0</v>
      </c>
      <c r="AV81" s="220">
        <v>0</v>
      </c>
      <c r="AW81" s="207"/>
      <c r="AX81" s="220">
        <v>0</v>
      </c>
      <c r="AY81" s="115">
        <f t="shared" si="95"/>
        <v>0</v>
      </c>
      <c r="AZ81" s="352">
        <v>125591</v>
      </c>
      <c r="BA81" s="109">
        <f t="shared" si="76"/>
        <v>0.53305744784703213</v>
      </c>
      <c r="BB81" s="352">
        <v>2903</v>
      </c>
      <c r="BC81" s="352">
        <v>26952</v>
      </c>
      <c r="BD81" s="352">
        <v>10078</v>
      </c>
      <c r="BE81" s="352">
        <v>2130</v>
      </c>
      <c r="BF81" s="352">
        <v>141153</v>
      </c>
      <c r="BG81" s="221">
        <v>0</v>
      </c>
      <c r="BH81" s="221">
        <v>89</v>
      </c>
      <c r="BI81" s="205">
        <v>0</v>
      </c>
      <c r="BJ81">
        <v>104</v>
      </c>
      <c r="BK81" s="352">
        <v>323501</v>
      </c>
      <c r="BL81" s="109">
        <f t="shared" si="77"/>
        <v>1.3730650877528066</v>
      </c>
      <c r="BM81">
        <v>142</v>
      </c>
      <c r="BN81" s="352">
        <v>62098</v>
      </c>
      <c r="BO81" s="109">
        <f t="shared" si="78"/>
        <v>0.26356826043589909</v>
      </c>
      <c r="BP81" s="352">
        <v>306365</v>
      </c>
      <c r="BQ81" s="205">
        <v>0</v>
      </c>
      <c r="BR81" s="356">
        <f t="shared" si="96"/>
        <v>649048</v>
      </c>
      <c r="BS81" s="352">
        <v>527521</v>
      </c>
      <c r="BT81" s="352">
        <v>1176569</v>
      </c>
      <c r="BU81" s="109">
        <f t="shared" si="79"/>
        <v>4.993820165106853</v>
      </c>
      <c r="BV81" s="108">
        <f t="shared" si="102"/>
        <v>20827.916445388564</v>
      </c>
      <c r="BW81" s="109">
        <f t="shared" si="80"/>
        <v>565.65817307692305</v>
      </c>
      <c r="BX81" s="109">
        <f t="shared" si="81"/>
        <v>5.4883173101592053</v>
      </c>
      <c r="BY81" s="109">
        <f t="shared" si="97"/>
        <v>3.6369872117860531</v>
      </c>
      <c r="BZ81">
        <v>24</v>
      </c>
      <c r="CA81">
        <v>1</v>
      </c>
      <c r="CB81">
        <v>5</v>
      </c>
      <c r="CC81" s="113">
        <f t="shared" si="98"/>
        <v>30</v>
      </c>
      <c r="CD81" s="352">
        <v>4041</v>
      </c>
      <c r="CE81">
        <v>8</v>
      </c>
      <c r="CF81">
        <v>168</v>
      </c>
      <c r="CG81" s="116">
        <f t="shared" si="99"/>
        <v>4217</v>
      </c>
      <c r="CH81" s="109">
        <f t="shared" si="82"/>
        <v>1.7898601472804056E-2</v>
      </c>
      <c r="CI81" s="352">
        <v>214377</v>
      </c>
      <c r="CJ81" s="109">
        <f t="shared" si="83"/>
        <v>0.90990004456611706</v>
      </c>
      <c r="CK81" s="352">
        <v>171597</v>
      </c>
      <c r="CL81" s="208" t="s">
        <v>7</v>
      </c>
      <c r="CM81" s="208" t="s">
        <v>7</v>
      </c>
      <c r="CN81" s="208" t="s">
        <v>7</v>
      </c>
      <c r="CO81">
        <v>7</v>
      </c>
      <c r="CP81" s="108">
        <f t="shared" si="104"/>
        <v>33657.857142857145</v>
      </c>
      <c r="CQ81">
        <v>4</v>
      </c>
      <c r="CR81">
        <v>45.49</v>
      </c>
      <c r="CS81">
        <v>56.49</v>
      </c>
      <c r="CT81" s="108">
        <f t="shared" si="103"/>
        <v>4170.7381837493358</v>
      </c>
      <c r="CU81">
        <v>163</v>
      </c>
      <c r="CV81" s="353">
        <v>98417</v>
      </c>
      <c r="CW81" s="209">
        <v>40</v>
      </c>
      <c r="CX81" s="208" t="s">
        <v>7</v>
      </c>
      <c r="CY81" s="208" t="s">
        <v>7</v>
      </c>
      <c r="CZ81">
        <v>0</v>
      </c>
      <c r="DA81">
        <v>0</v>
      </c>
      <c r="DB81">
        <v>160</v>
      </c>
      <c r="DC81" s="352">
        <v>20385</v>
      </c>
      <c r="DD81" s="352">
        <v>33807</v>
      </c>
      <c r="DE81" s="352">
        <v>270403</v>
      </c>
      <c r="DF81" s="205">
        <v>2704</v>
      </c>
      <c r="DG81" s="205">
        <v>52</v>
      </c>
      <c r="DH81" s="209">
        <f t="shared" si="84"/>
        <v>1.1476836230130939E-2</v>
      </c>
      <c r="DI81" s="205">
        <v>56</v>
      </c>
      <c r="DJ81" s="205">
        <v>56</v>
      </c>
      <c r="DL81" s="343">
        <v>2080</v>
      </c>
      <c r="DM81" s="204"/>
      <c r="DN81" t="s">
        <v>1109</v>
      </c>
      <c r="DO81" t="s">
        <v>125</v>
      </c>
      <c r="DP81" s="208"/>
      <c r="DQ81" s="206"/>
      <c r="DR81" s="368" t="s">
        <v>1025</v>
      </c>
      <c r="DS81" s="204" t="s">
        <v>1025</v>
      </c>
      <c r="DT81" s="227">
        <v>44013</v>
      </c>
      <c r="DU81" s="227">
        <v>44377</v>
      </c>
      <c r="DV81" t="s">
        <v>1240</v>
      </c>
      <c r="DW81" s="109">
        <f t="shared" si="85"/>
        <v>1.30033318477961</v>
      </c>
      <c r="DX81" s="109">
        <f t="shared" si="86"/>
        <v>0</v>
      </c>
      <c r="DY81" s="109">
        <f t="shared" si="87"/>
        <v>2.7548142017359565</v>
      </c>
      <c r="DZ81" s="109">
        <f t="shared" si="88"/>
        <v>2.2390059633708961</v>
      </c>
      <c r="EA81" s="110">
        <f t="shared" si="101"/>
        <v>0.27699539361511721</v>
      </c>
      <c r="EB81" s="199">
        <f t="shared" si="100"/>
        <v>0.32714906136438171</v>
      </c>
    </row>
    <row r="82" spans="1:132" ht="16.5" x14ac:dyDescent="0.3">
      <c r="A82" s="216" t="s">
        <v>1026</v>
      </c>
      <c r="B82" t="s">
        <v>1241</v>
      </c>
      <c r="C82" s="352">
        <v>1085297</v>
      </c>
      <c r="D82">
        <v>23</v>
      </c>
      <c r="E82"/>
      <c r="F82" s="221">
        <v>316224</v>
      </c>
      <c r="H82" s="108">
        <f t="shared" si="69"/>
        <v>316224</v>
      </c>
      <c r="I82" s="109">
        <v>0.37437999999999999</v>
      </c>
      <c r="J82" s="220">
        <v>11495626</v>
      </c>
      <c r="K82" s="220">
        <v>5561103</v>
      </c>
      <c r="L82" s="115">
        <f t="shared" si="89"/>
        <v>17056729</v>
      </c>
      <c r="M82" s="110">
        <f t="shared" si="70"/>
        <v>15.71618552340972</v>
      </c>
      <c r="N82" s="220">
        <v>3293206</v>
      </c>
      <c r="O82" s="220">
        <v>1159630</v>
      </c>
      <c r="P82" s="220">
        <v>156272</v>
      </c>
      <c r="Q82" s="220">
        <v>4609108</v>
      </c>
      <c r="R82" s="110">
        <f t="shared" si="71"/>
        <v>4.2468633010134553</v>
      </c>
      <c r="S82" s="220">
        <v>4004159</v>
      </c>
      <c r="T82" s="220">
        <v>25669996</v>
      </c>
      <c r="U82" s="207">
        <v>0</v>
      </c>
      <c r="V82" s="220">
        <v>25669996</v>
      </c>
      <c r="W82" s="110">
        <f t="shared" si="72"/>
        <v>23.652508023149423</v>
      </c>
      <c r="X82" s="111">
        <f t="shared" si="90"/>
        <v>0.66446169294299851</v>
      </c>
      <c r="Y82" s="111">
        <f t="shared" si="91"/>
        <v>0.1795523458593449</v>
      </c>
      <c r="Z82" s="111">
        <f t="shared" si="92"/>
        <v>0.15598596119765659</v>
      </c>
      <c r="AA82" s="111">
        <f t="shared" si="93"/>
        <v>0</v>
      </c>
      <c r="AB82" s="220">
        <v>12988073</v>
      </c>
      <c r="AE82" s="207"/>
      <c r="AF82" s="353">
        <v>0</v>
      </c>
      <c r="AG82" s="353">
        <v>26762363</v>
      </c>
      <c r="AH82" s="207"/>
      <c r="AI82" s="115">
        <f t="shared" si="73"/>
        <v>26762363</v>
      </c>
      <c r="AJ82" s="110">
        <f t="shared" si="74"/>
        <v>24.659022368992083</v>
      </c>
      <c r="AK82" s="353">
        <v>600416</v>
      </c>
      <c r="AL82" s="207">
        <v>26301</v>
      </c>
      <c r="AM82" s="353"/>
      <c r="AN82" s="353">
        <v>0</v>
      </c>
      <c r="AO82" s="115">
        <f t="shared" si="94"/>
        <v>0</v>
      </c>
      <c r="AP82" s="353">
        <v>27377279</v>
      </c>
      <c r="AQ82" s="112">
        <f t="shared" si="75"/>
        <v>25.225610132525937</v>
      </c>
      <c r="AR82" s="207"/>
      <c r="AS82" s="220">
        <v>0</v>
      </c>
      <c r="AT82" s="207">
        <v>0</v>
      </c>
      <c r="AU82" s="220">
        <v>0</v>
      </c>
      <c r="AV82" s="220">
        <v>0</v>
      </c>
      <c r="AW82" s="207"/>
      <c r="AX82" s="220">
        <v>14058</v>
      </c>
      <c r="AY82" s="115">
        <f t="shared" si="95"/>
        <v>14058</v>
      </c>
      <c r="AZ82" s="352">
        <v>1564015</v>
      </c>
      <c r="BA82" s="109">
        <f t="shared" si="76"/>
        <v>1.4410940046825891</v>
      </c>
      <c r="BB82" s="352">
        <v>23458</v>
      </c>
      <c r="BC82" s="352">
        <v>65516</v>
      </c>
      <c r="BD82">
        <v>0</v>
      </c>
      <c r="BE82" s="352">
        <v>2130</v>
      </c>
      <c r="BF82" s="352">
        <v>209701</v>
      </c>
      <c r="BG82" s="221">
        <v>9</v>
      </c>
      <c r="BH82" s="221">
        <v>89</v>
      </c>
      <c r="BI82" s="205">
        <v>0</v>
      </c>
      <c r="BJ82">
        <v>89</v>
      </c>
      <c r="BK82" s="352">
        <v>1886184</v>
      </c>
      <c r="BL82" s="109">
        <f t="shared" si="77"/>
        <v>1.7379427013987876</v>
      </c>
      <c r="BM82">
        <v>27</v>
      </c>
      <c r="BN82" s="352">
        <v>110534</v>
      </c>
      <c r="BO82" s="109">
        <f t="shared" si="78"/>
        <v>0.10184677558308924</v>
      </c>
      <c r="BP82" s="352">
        <v>4416251</v>
      </c>
      <c r="BQ82" s="205">
        <v>0</v>
      </c>
      <c r="BR82" s="356">
        <f t="shared" si="96"/>
        <v>5590751</v>
      </c>
      <c r="BS82" s="352">
        <v>3012170</v>
      </c>
      <c r="BT82" s="352">
        <v>8602921</v>
      </c>
      <c r="BU82" s="109">
        <f t="shared" si="79"/>
        <v>7.9267896253283663</v>
      </c>
      <c r="BV82" s="108">
        <f t="shared" si="102"/>
        <v>34070.97425742574</v>
      </c>
      <c r="BW82" s="109">
        <f t="shared" si="80"/>
        <v>1390.9330638641875</v>
      </c>
      <c r="BX82" s="109">
        <f t="shared" si="81"/>
        <v>11.599517030668958</v>
      </c>
      <c r="BY82" s="109">
        <f t="shared" si="97"/>
        <v>4.5610189673966062</v>
      </c>
      <c r="BZ82">
        <v>115</v>
      </c>
      <c r="CA82">
        <v>6</v>
      </c>
      <c r="CB82">
        <v>10</v>
      </c>
      <c r="CC82" s="113">
        <f t="shared" si="98"/>
        <v>131</v>
      </c>
      <c r="CD82">
        <v>38</v>
      </c>
      <c r="CE82">
        <v>58</v>
      </c>
      <c r="CF82">
        <v>0</v>
      </c>
      <c r="CG82" s="116">
        <f t="shared" si="99"/>
        <v>96</v>
      </c>
      <c r="CH82" s="109">
        <f t="shared" si="82"/>
        <v>8.8455049631575507E-5</v>
      </c>
      <c r="CI82" s="352">
        <v>741662</v>
      </c>
      <c r="CJ82" s="109">
        <f t="shared" si="83"/>
        <v>0.68337238562347447</v>
      </c>
      <c r="CK82" s="352">
        <v>371908</v>
      </c>
      <c r="CL82" s="208" t="s">
        <v>7</v>
      </c>
      <c r="CM82" s="208" t="s">
        <v>7</v>
      </c>
      <c r="CN82" s="208" t="s">
        <v>7</v>
      </c>
      <c r="CO82">
        <v>136.5</v>
      </c>
      <c r="CP82" s="108">
        <f t="shared" si="104"/>
        <v>7950.8937728937726</v>
      </c>
      <c r="CQ82">
        <v>0</v>
      </c>
      <c r="CR82">
        <v>116</v>
      </c>
      <c r="CS82">
        <v>252.5</v>
      </c>
      <c r="CT82" s="108">
        <f t="shared" si="103"/>
        <v>4298.205940594059</v>
      </c>
      <c r="CU82">
        <v>0</v>
      </c>
      <c r="CV82" s="353">
        <v>134664</v>
      </c>
      <c r="CW82" s="209">
        <v>40</v>
      </c>
      <c r="CX82" s="208" t="s">
        <v>7</v>
      </c>
      <c r="CY82" s="208" t="s">
        <v>7</v>
      </c>
      <c r="CZ82" s="352">
        <v>2437</v>
      </c>
      <c r="DA82">
        <v>211</v>
      </c>
      <c r="DB82">
        <v>451</v>
      </c>
      <c r="DC82" s="352">
        <v>31233</v>
      </c>
      <c r="DD82">
        <v>-1</v>
      </c>
      <c r="DE82" s="352">
        <v>3590882</v>
      </c>
      <c r="DF82" s="205">
        <v>8128</v>
      </c>
      <c r="DG82" s="205">
        <v>52</v>
      </c>
      <c r="DH82" s="209">
        <f t="shared" si="84"/>
        <v>7.4891942021400593E-3</v>
      </c>
      <c r="DI82" s="205">
        <v>69</v>
      </c>
      <c r="DJ82" s="205">
        <v>69</v>
      </c>
      <c r="DL82" s="343">
        <v>6185</v>
      </c>
      <c r="DM82" s="204"/>
      <c r="DN82" t="s">
        <v>1110</v>
      </c>
      <c r="DO82" t="s">
        <v>125</v>
      </c>
      <c r="DP82" s="208"/>
      <c r="DQ82" s="206"/>
      <c r="DR82" s="368" t="s">
        <v>1026</v>
      </c>
      <c r="DS82" s="204" t="s">
        <v>1026</v>
      </c>
      <c r="DT82" s="227">
        <v>44013</v>
      </c>
      <c r="DU82" s="227">
        <v>44377</v>
      </c>
      <c r="DV82" t="s">
        <v>1241</v>
      </c>
      <c r="DW82" s="109">
        <f t="shared" si="85"/>
        <v>4.0691635561509889</v>
      </c>
      <c r="DX82" s="109">
        <f t="shared" si="86"/>
        <v>0</v>
      </c>
      <c r="DY82" s="109">
        <f t="shared" si="87"/>
        <v>5.151355803987296</v>
      </c>
      <c r="DZ82" s="109">
        <f t="shared" si="88"/>
        <v>2.7754338213410708</v>
      </c>
      <c r="EA82" s="110">
        <f t="shared" si="101"/>
        <v>0.32909017106222221</v>
      </c>
      <c r="EB82" s="199">
        <f t="shared" si="100"/>
        <v>0.38498159134444604</v>
      </c>
    </row>
    <row r="83" spans="1:132" ht="17.25" thickBot="1" x14ac:dyDescent="0.35">
      <c r="A83" s="216" t="s">
        <v>1027</v>
      </c>
      <c r="B83" t="s">
        <v>1242</v>
      </c>
      <c r="C83" s="352">
        <v>19871</v>
      </c>
      <c r="D83"/>
      <c r="E83"/>
      <c r="F83" s="221">
        <v>13770</v>
      </c>
      <c r="H83" s="108">
        <f t="shared" si="69"/>
        <v>13770</v>
      </c>
      <c r="I83" s="109">
        <v>0.65651000000000004</v>
      </c>
      <c r="J83" s="220">
        <v>280776</v>
      </c>
      <c r="K83" s="220">
        <v>123149</v>
      </c>
      <c r="L83" s="115">
        <f t="shared" si="89"/>
        <v>403925</v>
      </c>
      <c r="M83" s="110">
        <f t="shared" si="70"/>
        <v>20.327361481556036</v>
      </c>
      <c r="N83" s="220">
        <v>23237</v>
      </c>
      <c r="O83" s="220">
        <v>275</v>
      </c>
      <c r="P83" s="220">
        <v>1237</v>
      </c>
      <c r="Q83" s="220">
        <v>24749</v>
      </c>
      <c r="R83" s="110">
        <f t="shared" si="71"/>
        <v>1.2454833677218056</v>
      </c>
      <c r="S83" s="220">
        <v>60713</v>
      </c>
      <c r="T83" s="220">
        <v>489387</v>
      </c>
      <c r="U83" s="207">
        <v>0</v>
      </c>
      <c r="V83" s="220">
        <v>489387</v>
      </c>
      <c r="W83" s="110">
        <f t="shared" si="72"/>
        <v>24.628201902269637</v>
      </c>
      <c r="X83" s="111">
        <f t="shared" si="90"/>
        <v>0.82536928851808489</v>
      </c>
      <c r="Y83" s="111">
        <f t="shared" si="91"/>
        <v>5.0571429155249321E-2</v>
      </c>
      <c r="Z83" s="111">
        <f t="shared" si="92"/>
        <v>0.12405928232666581</v>
      </c>
      <c r="AA83" s="111">
        <f t="shared" si="93"/>
        <v>0</v>
      </c>
      <c r="AB83" s="220">
        <v>0</v>
      </c>
      <c r="AE83" s="207"/>
      <c r="AF83" s="353">
        <v>0</v>
      </c>
      <c r="AG83" s="353">
        <v>412438</v>
      </c>
      <c r="AH83" s="207"/>
      <c r="AI83" s="115">
        <f t="shared" si="73"/>
        <v>412438</v>
      </c>
      <c r="AJ83" s="110">
        <f t="shared" si="74"/>
        <v>20.755774747118917</v>
      </c>
      <c r="AK83" s="353">
        <v>80765</v>
      </c>
      <c r="AL83" s="207">
        <v>93732</v>
      </c>
      <c r="AM83" s="353"/>
      <c r="AN83" s="353">
        <v>4250</v>
      </c>
      <c r="AO83" s="115">
        <f t="shared" si="94"/>
        <v>4250</v>
      </c>
      <c r="AP83" s="353">
        <v>501194</v>
      </c>
      <c r="AQ83" s="112">
        <f t="shared" si="75"/>
        <v>25.222384379246137</v>
      </c>
      <c r="AR83" s="207"/>
      <c r="AS83" s="220">
        <v>387164</v>
      </c>
      <c r="AT83" s="207">
        <v>0</v>
      </c>
      <c r="AU83" s="220">
        <v>0</v>
      </c>
      <c r="AV83" s="220">
        <v>0</v>
      </c>
      <c r="AW83" s="207"/>
      <c r="AX83" s="220">
        <v>0</v>
      </c>
      <c r="AY83" s="115">
        <f t="shared" si="95"/>
        <v>387164</v>
      </c>
      <c r="AZ83" s="352">
        <v>28628</v>
      </c>
      <c r="BA83" s="109">
        <f t="shared" si="76"/>
        <v>1.4406924664083338</v>
      </c>
      <c r="BB83" s="352">
        <v>1106</v>
      </c>
      <c r="BC83" s="352">
        <v>24274</v>
      </c>
      <c r="BD83" s="352">
        <v>1592</v>
      </c>
      <c r="BE83" s="352">
        <v>2130</v>
      </c>
      <c r="BF83" s="352">
        <v>129792</v>
      </c>
      <c r="BG83" s="221">
        <v>3</v>
      </c>
      <c r="BH83" s="221">
        <v>89</v>
      </c>
      <c r="BI83" s="205">
        <v>0</v>
      </c>
      <c r="BJ83">
        <v>86</v>
      </c>
      <c r="BK83" s="352">
        <v>188205</v>
      </c>
      <c r="BL83" s="109">
        <f t="shared" si="77"/>
        <v>9.4713401439283373</v>
      </c>
      <c r="BM83">
        <v>25</v>
      </c>
      <c r="BN83" s="352">
        <v>4224</v>
      </c>
      <c r="BO83" s="109">
        <f t="shared" si="78"/>
        <v>0.21257108348850082</v>
      </c>
      <c r="BP83" s="352">
        <v>4331</v>
      </c>
      <c r="BQ83" s="205">
        <v>0</v>
      </c>
      <c r="BR83" s="356">
        <f t="shared" si="96"/>
        <v>19558</v>
      </c>
      <c r="BS83" s="352">
        <v>91804</v>
      </c>
      <c r="BT83" s="352">
        <v>111362</v>
      </c>
      <c r="BU83" s="109">
        <f t="shared" si="79"/>
        <v>5.6042473957022798</v>
      </c>
      <c r="BV83" s="108">
        <f t="shared" si="102"/>
        <v>13101.411764705883</v>
      </c>
      <c r="BW83" s="109">
        <f t="shared" si="80"/>
        <v>12.614635251472587</v>
      </c>
      <c r="BX83" s="109">
        <f t="shared" si="81"/>
        <v>8.7817995426228208</v>
      </c>
      <c r="BY83" s="109">
        <f t="shared" si="97"/>
        <v>0.59170585266066256</v>
      </c>
      <c r="BZ83">
        <v>14</v>
      </c>
      <c r="CA83">
        <v>30</v>
      </c>
      <c r="CB83">
        <v>0</v>
      </c>
      <c r="CC83" s="113">
        <f t="shared" si="98"/>
        <v>44</v>
      </c>
      <c r="CD83" s="352">
        <v>2199</v>
      </c>
      <c r="CE83">
        <v>359</v>
      </c>
      <c r="CF83" s="352">
        <v>1186</v>
      </c>
      <c r="CG83" s="116">
        <f t="shared" si="99"/>
        <v>3744</v>
      </c>
      <c r="CH83" s="109">
        <f t="shared" si="82"/>
        <v>0.18841527854662574</v>
      </c>
      <c r="CI83" s="352">
        <v>12681</v>
      </c>
      <c r="CJ83" s="109">
        <f t="shared" si="83"/>
        <v>0.6381661718081626</v>
      </c>
      <c r="CK83" s="352">
        <v>6885</v>
      </c>
      <c r="CL83" s="208" t="s">
        <v>7</v>
      </c>
      <c r="CM83" s="208" t="s">
        <v>7</v>
      </c>
      <c r="CN83" s="208" t="s">
        <v>7</v>
      </c>
      <c r="CO83">
        <v>1</v>
      </c>
      <c r="CP83" s="108">
        <f t="shared" si="104"/>
        <v>19871</v>
      </c>
      <c r="CQ83">
        <v>0</v>
      </c>
      <c r="CR83">
        <v>7.5</v>
      </c>
      <c r="CS83">
        <v>8.5</v>
      </c>
      <c r="CT83" s="108">
        <f t="shared" si="103"/>
        <v>2337.7647058823532</v>
      </c>
      <c r="CU83">
        <v>287</v>
      </c>
      <c r="CV83" s="353">
        <v>68247</v>
      </c>
      <c r="CW83" s="209">
        <v>40</v>
      </c>
      <c r="CX83" s="208" t="s">
        <v>7</v>
      </c>
      <c r="CY83" s="208" t="s">
        <v>7</v>
      </c>
      <c r="CZ83">
        <v>72</v>
      </c>
      <c r="DA83">
        <v>0</v>
      </c>
      <c r="DB83">
        <v>22</v>
      </c>
      <c r="DC83" s="352">
        <v>1675</v>
      </c>
      <c r="DD83">
        <v>-1</v>
      </c>
      <c r="DE83" s="352">
        <v>259996</v>
      </c>
      <c r="DF83" s="205">
        <v>11063</v>
      </c>
      <c r="DG83" s="205">
        <v>52</v>
      </c>
      <c r="DH83" s="209">
        <f t="shared" si="84"/>
        <v>0.55674097931659206</v>
      </c>
      <c r="DI83" s="205">
        <v>48</v>
      </c>
      <c r="DJ83" s="205">
        <v>48</v>
      </c>
      <c r="DL83" s="345">
        <v>8828</v>
      </c>
      <c r="DM83" s="204"/>
      <c r="DN83" t="s">
        <v>1111</v>
      </c>
      <c r="DO83" t="s">
        <v>125</v>
      </c>
      <c r="DP83" s="208"/>
      <c r="DQ83" s="206"/>
      <c r="DR83" s="368" t="s">
        <v>1027</v>
      </c>
      <c r="DS83" s="204" t="s">
        <v>1027</v>
      </c>
      <c r="DT83" s="227">
        <v>44013</v>
      </c>
      <c r="DU83" s="227">
        <v>44377</v>
      </c>
      <c r="DV83" t="s">
        <v>1242</v>
      </c>
      <c r="DW83" s="109">
        <f t="shared" si="85"/>
        <v>0.21795581500679381</v>
      </c>
      <c r="DX83" s="109">
        <f t="shared" si="86"/>
        <v>0</v>
      </c>
      <c r="DY83" s="109">
        <f t="shared" si="87"/>
        <v>0.98424840219415233</v>
      </c>
      <c r="DZ83" s="109">
        <f t="shared" si="88"/>
        <v>4.6199989935081271</v>
      </c>
      <c r="EA83" s="110">
        <f t="shared" si="101"/>
        <v>0.97270710368788982</v>
      </c>
      <c r="EB83" s="199">
        <f t="shared" si="100"/>
        <v>2.9955121781186007E-3</v>
      </c>
    </row>
    <row r="84" spans="1:132" ht="16.5" x14ac:dyDescent="0.3">
      <c r="A84" s="216" t="s">
        <v>1028</v>
      </c>
      <c r="B84" t="s">
        <v>1243</v>
      </c>
      <c r="C84" s="352">
        <v>125789</v>
      </c>
      <c r="D84">
        <v>3</v>
      </c>
      <c r="E84"/>
      <c r="F84" s="221">
        <v>46670</v>
      </c>
      <c r="I84" s="109"/>
      <c r="J84" s="220">
        <v>1209232</v>
      </c>
      <c r="K84" s="220">
        <v>439509</v>
      </c>
      <c r="L84" s="115"/>
      <c r="N84" s="220">
        <v>147293</v>
      </c>
      <c r="O84" s="220">
        <v>67365</v>
      </c>
      <c r="P84" s="220">
        <v>3391</v>
      </c>
      <c r="Q84" s="220">
        <v>218049</v>
      </c>
      <c r="S84" s="220">
        <v>157451</v>
      </c>
      <c r="T84" s="220">
        <v>2024241</v>
      </c>
      <c r="U84" s="207"/>
      <c r="V84" s="220">
        <v>2024241</v>
      </c>
      <c r="AB84" s="220">
        <v>0</v>
      </c>
      <c r="AE84" s="207"/>
      <c r="AF84" s="353">
        <v>0</v>
      </c>
      <c r="AG84" s="353">
        <v>1965517</v>
      </c>
      <c r="AH84" s="207"/>
      <c r="AI84" s="115"/>
      <c r="AK84" s="353">
        <v>240891</v>
      </c>
      <c r="AL84" s="207"/>
      <c r="AM84" s="353"/>
      <c r="AN84" s="353">
        <v>6838</v>
      </c>
      <c r="AO84" s="115"/>
      <c r="AP84" s="353">
        <v>2313488</v>
      </c>
      <c r="AQ84" s="112"/>
      <c r="AR84" s="207"/>
      <c r="AS84" s="220"/>
      <c r="AT84" s="207"/>
      <c r="AU84" s="220"/>
      <c r="AV84" s="220"/>
      <c r="AW84" s="207"/>
      <c r="AX84" s="220"/>
      <c r="AY84" s="115"/>
      <c r="AZ84" s="352">
        <v>133722</v>
      </c>
      <c r="BB84" s="352">
        <v>5224</v>
      </c>
      <c r="BC84" s="352">
        <v>30111</v>
      </c>
      <c r="BD84" s="352">
        <v>5026</v>
      </c>
      <c r="BE84" s="352">
        <v>2443</v>
      </c>
      <c r="BF84" s="352">
        <v>167248</v>
      </c>
      <c r="BG84" s="221"/>
      <c r="BH84" s="221"/>
      <c r="BI84" s="205"/>
      <c r="BJ84">
        <v>91</v>
      </c>
      <c r="BK84" s="352">
        <v>347779</v>
      </c>
      <c r="BM84">
        <v>158</v>
      </c>
      <c r="BN84" s="352">
        <v>108364</v>
      </c>
      <c r="BP84" s="352">
        <v>59508</v>
      </c>
      <c r="BQ84" s="205"/>
      <c r="BR84" s="356"/>
      <c r="BS84" s="352">
        <v>63877</v>
      </c>
      <c r="BT84" s="352">
        <v>212250</v>
      </c>
      <c r="BU84" s="109"/>
      <c r="BW84" s="109"/>
      <c r="BX84" s="109"/>
      <c r="BY84" s="109"/>
      <c r="BZ84">
        <v>85</v>
      </c>
      <c r="CA84">
        <v>40</v>
      </c>
      <c r="CB84">
        <v>105</v>
      </c>
      <c r="CC84" s="113"/>
      <c r="CD84">
        <v>64</v>
      </c>
      <c r="CE84">
        <v>210</v>
      </c>
      <c r="CF84">
        <v>228</v>
      </c>
      <c r="CG84" s="116"/>
      <c r="CI84" s="352">
        <v>95555</v>
      </c>
      <c r="CK84" s="352">
        <v>46039</v>
      </c>
      <c r="CL84" s="208"/>
      <c r="CM84" s="208"/>
      <c r="CN84" s="208"/>
      <c r="CO84">
        <v>11</v>
      </c>
      <c r="CQ84">
        <v>0.3</v>
      </c>
      <c r="CR84">
        <v>21.1</v>
      </c>
      <c r="CS84">
        <v>32.4</v>
      </c>
      <c r="CU84">
        <v>245</v>
      </c>
      <c r="CV84" s="353">
        <v>88990</v>
      </c>
      <c r="CW84" s="351"/>
      <c r="CX84" s="208"/>
      <c r="CY84" s="208"/>
      <c r="CZ84" s="352">
        <v>14857</v>
      </c>
      <c r="DA84" s="352">
        <v>8564</v>
      </c>
      <c r="DB84">
        <v>121</v>
      </c>
      <c r="DC84" s="352">
        <v>21499</v>
      </c>
      <c r="DD84" s="352">
        <v>48041</v>
      </c>
      <c r="DE84" s="352">
        <v>104036</v>
      </c>
      <c r="DF84" s="205"/>
      <c r="DG84" s="205"/>
      <c r="DH84" s="209"/>
      <c r="DI84" s="205"/>
      <c r="DJ84" s="205"/>
      <c r="DL84" s="343"/>
      <c r="DM84" s="204"/>
      <c r="DN84" t="s">
        <v>1112</v>
      </c>
      <c r="DO84" t="s">
        <v>125</v>
      </c>
      <c r="DP84" s="208"/>
      <c r="DQ84" s="206"/>
      <c r="DR84" s="368" t="s">
        <v>1028</v>
      </c>
      <c r="DS84" s="204" t="s">
        <v>1028</v>
      </c>
      <c r="DT84" s="227">
        <v>44013</v>
      </c>
      <c r="DU84" s="227">
        <v>44377</v>
      </c>
      <c r="DV84" t="s">
        <v>1243</v>
      </c>
      <c r="EB84" s="199"/>
    </row>
    <row r="85" spans="1:132" ht="16.5" x14ac:dyDescent="0.3">
      <c r="A85" s="347"/>
      <c r="B85" t="s">
        <v>1244</v>
      </c>
      <c r="C85" s="352">
        <v>82781</v>
      </c>
      <c r="D85">
        <v>5</v>
      </c>
      <c r="E85">
        <v>1</v>
      </c>
      <c r="F85" s="221">
        <v>53813</v>
      </c>
      <c r="I85" s="109"/>
      <c r="J85" s="220">
        <v>983938</v>
      </c>
      <c r="K85" s="220">
        <v>383380</v>
      </c>
      <c r="L85" s="115"/>
      <c r="N85" s="220">
        <v>110418</v>
      </c>
      <c r="O85" s="220">
        <v>5781</v>
      </c>
      <c r="P85" s="220">
        <v>5017</v>
      </c>
      <c r="Q85" s="220">
        <v>121216</v>
      </c>
      <c r="S85" s="220">
        <v>484007</v>
      </c>
      <c r="T85" s="220">
        <v>1972541</v>
      </c>
      <c r="U85" s="207"/>
      <c r="V85" s="220">
        <v>1972541</v>
      </c>
      <c r="AB85" s="220">
        <v>108391</v>
      </c>
      <c r="AE85" s="207"/>
      <c r="AF85" s="353">
        <v>0</v>
      </c>
      <c r="AG85" s="353">
        <v>1853484</v>
      </c>
      <c r="AH85" s="207"/>
      <c r="AI85" s="115"/>
      <c r="AK85" s="353">
        <v>129609</v>
      </c>
      <c r="AL85" s="207"/>
      <c r="AM85" s="353"/>
      <c r="AN85" s="353">
        <v>2605</v>
      </c>
      <c r="AO85" s="115"/>
      <c r="AP85" s="353">
        <v>1996358</v>
      </c>
      <c r="AQ85" s="112"/>
      <c r="AR85" s="207"/>
      <c r="AS85" s="220"/>
      <c r="AT85" s="207"/>
      <c r="AU85" s="220"/>
      <c r="AV85" s="220"/>
      <c r="AW85" s="207"/>
      <c r="AX85" s="220"/>
      <c r="AY85" s="115"/>
      <c r="AZ85" s="352">
        <v>167998</v>
      </c>
      <c r="BB85" s="352">
        <v>3056</v>
      </c>
      <c r="BC85" s="352">
        <v>24347</v>
      </c>
      <c r="BD85" s="352">
        <v>6196</v>
      </c>
      <c r="BE85" s="352">
        <v>2130</v>
      </c>
      <c r="BF85" s="352">
        <v>131467</v>
      </c>
      <c r="BG85" s="221"/>
      <c r="BH85" s="221"/>
      <c r="BI85" s="205"/>
      <c r="BJ85">
        <v>94</v>
      </c>
      <c r="BK85" s="352">
        <v>337245</v>
      </c>
      <c r="BM85">
        <v>80</v>
      </c>
      <c r="BN85" s="352">
        <v>19192</v>
      </c>
      <c r="BP85" s="352">
        <v>97130</v>
      </c>
      <c r="BQ85" s="205"/>
      <c r="BR85" s="356"/>
      <c r="BS85" s="352">
        <v>85616</v>
      </c>
      <c r="BT85" s="352">
        <v>299244</v>
      </c>
      <c r="BU85" s="109"/>
      <c r="BW85" s="109"/>
      <c r="BX85" s="109"/>
      <c r="BY85" s="109"/>
      <c r="BZ85">
        <v>4</v>
      </c>
      <c r="CA85">
        <v>0</v>
      </c>
      <c r="CB85">
        <v>2</v>
      </c>
      <c r="CC85" s="113"/>
      <c r="CD85" s="205"/>
      <c r="CE85">
        <v>0</v>
      </c>
      <c r="CF85" s="205"/>
      <c r="CG85" s="116"/>
      <c r="CI85" s="352">
        <v>71721</v>
      </c>
      <c r="CK85" s="352">
        <v>27450</v>
      </c>
      <c r="CL85" s="208"/>
      <c r="CM85" s="208"/>
      <c r="CN85" s="208"/>
      <c r="CO85">
        <v>6</v>
      </c>
      <c r="CQ85">
        <v>1</v>
      </c>
      <c r="CR85">
        <v>29.68</v>
      </c>
      <c r="CS85">
        <v>36.68</v>
      </c>
      <c r="CU85">
        <v>49</v>
      </c>
      <c r="CV85" s="353">
        <v>87852</v>
      </c>
      <c r="CW85" s="351"/>
      <c r="CX85" s="208"/>
      <c r="CY85" s="208"/>
      <c r="CZ85">
        <v>48</v>
      </c>
      <c r="DA85">
        <v>60</v>
      </c>
      <c r="DB85">
        <v>66</v>
      </c>
      <c r="DC85" s="352">
        <v>11643</v>
      </c>
      <c r="DD85" s="352">
        <v>26150</v>
      </c>
      <c r="DE85" s="352">
        <v>47417</v>
      </c>
      <c r="DF85" s="205"/>
      <c r="DG85" s="205"/>
      <c r="DH85" s="209"/>
      <c r="DI85" s="205"/>
      <c r="DJ85" s="205"/>
      <c r="DL85" s="343"/>
      <c r="DM85" s="204"/>
      <c r="DN85" t="s">
        <v>1113</v>
      </c>
      <c r="DO85" t="s">
        <v>125</v>
      </c>
      <c r="DP85" s="208"/>
      <c r="DQ85" s="206"/>
      <c r="DR85" s="368" t="s">
        <v>1029</v>
      </c>
      <c r="DS85" s="204" t="s">
        <v>1029</v>
      </c>
      <c r="DT85" s="227">
        <v>44013</v>
      </c>
      <c r="DU85" s="227">
        <v>44377</v>
      </c>
      <c r="DV85" t="s">
        <v>1244</v>
      </c>
      <c r="EB85" s="199"/>
    </row>
    <row r="86" spans="1:132" ht="17.25" thickBot="1" x14ac:dyDescent="0.35">
      <c r="A86" s="347"/>
      <c r="B86" s="348"/>
      <c r="C86" s="343"/>
      <c r="D86" s="206"/>
      <c r="E86" s="206"/>
      <c r="F86" s="205"/>
      <c r="I86" s="109"/>
      <c r="J86" s="207"/>
      <c r="K86" s="207"/>
      <c r="L86" s="115"/>
      <c r="N86" s="207"/>
      <c r="O86" s="207"/>
      <c r="P86" s="220"/>
      <c r="Q86" s="115"/>
      <c r="S86" s="220"/>
      <c r="T86" s="207"/>
      <c r="U86" s="207"/>
      <c r="V86" s="207"/>
      <c r="AB86" s="207"/>
      <c r="AE86" s="207"/>
      <c r="AF86" s="207"/>
      <c r="AG86" s="207"/>
      <c r="AH86" s="207"/>
      <c r="AI86" s="115"/>
      <c r="AK86" s="207"/>
      <c r="AL86" s="207"/>
      <c r="AM86" s="207"/>
      <c r="AN86" s="207"/>
      <c r="AO86" s="115"/>
      <c r="AP86" s="207"/>
      <c r="AQ86" s="112"/>
      <c r="AR86" s="207"/>
      <c r="AS86" s="220"/>
      <c r="AT86" s="207"/>
      <c r="AU86" s="220"/>
      <c r="AV86" s="220"/>
      <c r="AW86" s="207"/>
      <c r="AX86" s="220"/>
      <c r="AY86" s="115"/>
      <c r="AZ86" s="205"/>
      <c r="BB86" s="221"/>
      <c r="BC86" s="221"/>
      <c r="BD86" s="221"/>
      <c r="BE86" s="221"/>
      <c r="BF86" s="221"/>
      <c r="BG86" s="221"/>
      <c r="BH86" s="221"/>
      <c r="BI86" s="205"/>
      <c r="BJ86" s="116"/>
      <c r="BK86" s="221"/>
      <c r="BM86" s="221"/>
      <c r="BN86" s="205"/>
      <c r="BP86" s="205"/>
      <c r="BQ86" s="205"/>
      <c r="BR86" s="356"/>
      <c r="BS86" s="228"/>
      <c r="BT86" s="221"/>
      <c r="BU86" s="109"/>
      <c r="BW86" s="109"/>
      <c r="BX86" s="109"/>
      <c r="BY86" s="109"/>
      <c r="BZ86" s="205"/>
      <c r="CA86" s="205"/>
      <c r="CB86" s="205"/>
      <c r="CC86" s="113"/>
      <c r="CD86" s="205"/>
      <c r="CE86" s="205"/>
      <c r="CF86" s="205"/>
      <c r="CG86" s="116"/>
      <c r="CI86" s="205"/>
      <c r="CK86" s="221"/>
      <c r="CL86" s="208"/>
      <c r="CM86" s="208"/>
      <c r="CN86" s="208"/>
      <c r="CO86" s="209"/>
      <c r="CQ86" s="209"/>
      <c r="CR86" s="209"/>
      <c r="CS86" s="349"/>
      <c r="CU86" s="205"/>
      <c r="CV86" s="350"/>
      <c r="CW86" s="351"/>
      <c r="CX86" s="208"/>
      <c r="CY86" s="208"/>
      <c r="CZ86" s="205"/>
      <c r="DA86" s="205"/>
      <c r="DB86" s="205"/>
      <c r="DC86" s="205"/>
      <c r="DD86" s="205"/>
      <c r="DE86" s="205"/>
      <c r="DF86" s="205"/>
      <c r="DG86" s="205"/>
      <c r="DH86" s="209"/>
      <c r="DI86" s="205"/>
      <c r="DJ86" s="205"/>
      <c r="DL86" s="343"/>
      <c r="DM86" s="204"/>
      <c r="DN86" s="208"/>
      <c r="DO86" s="208"/>
      <c r="DP86" s="208"/>
      <c r="DQ86" s="206"/>
      <c r="DR86" s="216"/>
      <c r="DS86" s="204"/>
      <c r="DT86" s="227"/>
      <c r="DU86" s="227"/>
      <c r="DV86" s="216"/>
      <c r="EB86" s="199"/>
    </row>
    <row r="87" spans="1:132" s="118" customFormat="1" ht="15.75" thickBot="1" x14ac:dyDescent="0.3">
      <c r="B87" s="87" t="s">
        <v>927</v>
      </c>
      <c r="C87" s="205"/>
      <c r="D87" s="53">
        <f>SUM(D2:D85)</f>
        <v>262</v>
      </c>
      <c r="E87" s="53">
        <f>SUM(E2:E85)</f>
        <v>15</v>
      </c>
      <c r="F87" s="53">
        <f>SUM(F2:F85)</f>
        <v>4855676</v>
      </c>
      <c r="G87" s="53">
        <f>SUM(G2:G85)</f>
        <v>0</v>
      </c>
      <c r="H87" s="53" t="e">
        <f>SUM(H2:H85)</f>
        <v>#VALUE!</v>
      </c>
      <c r="I87" s="158">
        <f>AVERAGE(I2:I85)</f>
        <v>0.55860402439024393</v>
      </c>
      <c r="J87" s="61">
        <f t="shared" ref="J87:Q87" si="105">SUM(J2:J85)</f>
        <v>121955087.55</v>
      </c>
      <c r="K87" s="61">
        <f t="shared" si="105"/>
        <v>49963779.850000001</v>
      </c>
      <c r="L87" s="61">
        <f t="shared" si="105"/>
        <v>168902808.40000001</v>
      </c>
      <c r="M87" s="170">
        <f t="shared" si="105"/>
        <v>1417.3847505645413</v>
      </c>
      <c r="N87" s="61">
        <f t="shared" si="105"/>
        <v>15755574.23</v>
      </c>
      <c r="O87" s="61">
        <f t="shared" si="105"/>
        <v>9854568.6199999992</v>
      </c>
      <c r="P87" s="54">
        <f t="shared" si="105"/>
        <v>2174904.46</v>
      </c>
      <c r="Q87" s="54">
        <f t="shared" si="105"/>
        <v>27785047.309999999</v>
      </c>
      <c r="R87" s="72">
        <f>AVERAGE(R2:R85)</f>
        <v>2.4980739271535892</v>
      </c>
      <c r="S87" s="54">
        <f>SUM(S2:S85)</f>
        <v>42595519.079999998</v>
      </c>
      <c r="T87" s="54">
        <f>SUM(T2:T85)</f>
        <v>242299433.79000002</v>
      </c>
      <c r="U87" s="54">
        <f>SUM(U2:U85)</f>
        <v>97195</v>
      </c>
      <c r="V87" s="54">
        <f>SUM(V2:V85)</f>
        <v>242299433.79000002</v>
      </c>
      <c r="W87" s="72">
        <f>AVERAGE(W2:W85)</f>
        <v>23.833334203665633</v>
      </c>
      <c r="X87" s="73">
        <f>AVERAGE(X2:X85)</f>
        <v>0.73322486346667848</v>
      </c>
      <c r="Y87" s="73">
        <f>AVERAGE(Y2:Y85)</f>
        <v>0.10056538281533596</v>
      </c>
      <c r="Z87" s="73">
        <f>AVERAGE(Z2:Z85)</f>
        <v>0.16620975371798577</v>
      </c>
      <c r="AA87" s="73">
        <f>AVERAGE(AA2:AA85)</f>
        <v>5.4782640478845412E-4</v>
      </c>
      <c r="AB87" s="54">
        <f>SUM(AB2:AB85)</f>
        <v>51978459</v>
      </c>
      <c r="AC87" s="54">
        <f>SUM(AF2:AF85)</f>
        <v>29267239</v>
      </c>
      <c r="AD87" s="54">
        <f>SUM(AG2:AG85)</f>
        <v>214722759</v>
      </c>
      <c r="AE87" s="54">
        <f>SUM(AE2:AE85)</f>
        <v>0</v>
      </c>
      <c r="AF87" s="54">
        <f>SUM(AF2:AF85)</f>
        <v>29267239</v>
      </c>
      <c r="AG87" s="54">
        <f>SUM(AG2:AG85)</f>
        <v>214722759</v>
      </c>
      <c r="AH87" s="54">
        <f>SUM(AH2:AH85)</f>
        <v>0</v>
      </c>
      <c r="AI87" s="54">
        <f>SUM(AI2:AI85)</f>
        <v>240170997</v>
      </c>
      <c r="AJ87" s="117">
        <f>AVERAGE(AJ2:AJ85)</f>
        <v>22.473312331344946</v>
      </c>
      <c r="AK87" s="54">
        <f t="shared" ref="AK87:AP87" si="106">SUM(AK2:AK85)</f>
        <v>14451054</v>
      </c>
      <c r="AL87" s="54">
        <f t="shared" si="106"/>
        <v>1570272</v>
      </c>
      <c r="AM87" s="54">
        <f t="shared" si="106"/>
        <v>0</v>
      </c>
      <c r="AN87" s="54">
        <f t="shared" si="106"/>
        <v>15479558</v>
      </c>
      <c r="AO87" s="54">
        <f t="shared" si="106"/>
        <v>15470115</v>
      </c>
      <c r="AP87" s="54">
        <f t="shared" si="106"/>
        <v>277151288</v>
      </c>
      <c r="AQ87" s="72">
        <f>AVERAGE(AQ2:AQ85)</f>
        <v>25.769166856154431</v>
      </c>
      <c r="AR87" s="54">
        <f t="shared" ref="AR87:AZ87" si="107">SUM(AR2:AR85)</f>
        <v>0</v>
      </c>
      <c r="AS87" s="54">
        <f t="shared" si="107"/>
        <v>17731099</v>
      </c>
      <c r="AT87" s="54">
        <f t="shared" si="107"/>
        <v>0</v>
      </c>
      <c r="AU87" s="54">
        <f t="shared" si="107"/>
        <v>450000</v>
      </c>
      <c r="AV87" s="54">
        <f t="shared" si="107"/>
        <v>144136</v>
      </c>
      <c r="AW87" s="54">
        <f t="shared" si="107"/>
        <v>0</v>
      </c>
      <c r="AX87" s="54">
        <f t="shared" si="107"/>
        <v>967789</v>
      </c>
      <c r="AY87" s="54">
        <f t="shared" si="107"/>
        <v>19293024</v>
      </c>
      <c r="AZ87" s="53">
        <f t="shared" si="107"/>
        <v>14869562</v>
      </c>
      <c r="BA87" s="74">
        <f>AVERAGE(BA2:BA85)</f>
        <v>1.792033036647688</v>
      </c>
      <c r="BB87" s="53">
        <f t="shared" ref="BB87:BK87" si="108">SUM(BB2:BB85)</f>
        <v>591219</v>
      </c>
      <c r="BC87" s="53">
        <f t="shared" si="108"/>
        <v>3493542</v>
      </c>
      <c r="BD87" s="53">
        <f t="shared" si="108"/>
        <v>926533</v>
      </c>
      <c r="BE87" s="53">
        <f t="shared" si="108"/>
        <v>377165</v>
      </c>
      <c r="BF87" s="53">
        <f t="shared" si="108"/>
        <v>15528968</v>
      </c>
      <c r="BG87" s="53">
        <f t="shared" si="108"/>
        <v>509</v>
      </c>
      <c r="BH87" s="53">
        <f t="shared" si="108"/>
        <v>7298</v>
      </c>
      <c r="BI87" s="53">
        <f t="shared" si="108"/>
        <v>0</v>
      </c>
      <c r="BJ87" s="53">
        <f t="shared" si="108"/>
        <v>7734</v>
      </c>
      <c r="BK87" s="53">
        <f t="shared" si="108"/>
        <v>36384609</v>
      </c>
      <c r="BL87" s="74">
        <f>AVERAGE(BL2:BL85)</f>
        <v>7.1829446509588957</v>
      </c>
      <c r="BM87" s="53">
        <f>SUM(BM2:BM85)</f>
        <v>13071</v>
      </c>
      <c r="BN87" s="53">
        <f>SUM(BN2:BN85)</f>
        <v>3323946</v>
      </c>
      <c r="BO87" s="74">
        <f>AVERAGE(BO2:BO85)</f>
        <v>0.33245709175040428</v>
      </c>
      <c r="BP87" s="53">
        <f>SUM(BP2:BP85)</f>
        <v>13668145</v>
      </c>
      <c r="BQ87" s="53">
        <f>SUM(BQ2:BQ85)</f>
        <v>0</v>
      </c>
      <c r="BR87" s="357">
        <f>SUM(BR2:BR85)</f>
        <v>23607869</v>
      </c>
      <c r="BS87" s="53">
        <f>SUM(BS2:BS85)</f>
        <v>24616986</v>
      </c>
      <c r="BT87" s="53">
        <f>SUM(BT2:BT85)</f>
        <v>48586856</v>
      </c>
      <c r="BU87" s="74">
        <f>AVERAGE(BU2:BU85)</f>
        <v>3.738997791934882</v>
      </c>
      <c r="BV87" s="53">
        <f>SUM(BV2:BV85)</f>
        <v>927162.65642645874</v>
      </c>
      <c r="BW87" s="74">
        <f>AVERAGE(BW2:BW85)</f>
        <v>95.434679049988944</v>
      </c>
      <c r="BX87" s="74">
        <f>AVERAGE(BX2:BX85)</f>
        <v>6.4088385529678416</v>
      </c>
      <c r="BY87" s="74">
        <f>AVERAGE(BY2:BY85)</f>
        <v>0.8712747121516603</v>
      </c>
      <c r="BZ87" s="53">
        <f t="shared" ref="BZ87:CG87" si="109">SUM(BZ2:BZ85)</f>
        <v>10398</v>
      </c>
      <c r="CA87" s="53">
        <f t="shared" si="109"/>
        <v>1577</v>
      </c>
      <c r="CB87" s="53">
        <f t="shared" si="109"/>
        <v>4561</v>
      </c>
      <c r="CC87" s="53">
        <f t="shared" si="109"/>
        <v>16300</v>
      </c>
      <c r="CD87" s="53">
        <f t="shared" si="109"/>
        <v>236590</v>
      </c>
      <c r="CE87" s="53">
        <f t="shared" si="109"/>
        <v>18791</v>
      </c>
      <c r="CF87" s="53">
        <f t="shared" si="109"/>
        <v>80394</v>
      </c>
      <c r="CG87" s="53">
        <f t="shared" si="109"/>
        <v>335273</v>
      </c>
      <c r="CH87" s="74">
        <f>AVERAGE(CH2:CH85)</f>
        <v>8.8903126511871572E-2</v>
      </c>
      <c r="CI87" s="53">
        <v>70316664</v>
      </c>
      <c r="CJ87" s="74">
        <f>AVERAGE(CJ2:CJ85)</f>
        <v>1.0138611254224486</v>
      </c>
      <c r="CK87" s="53">
        <f>SUM(CK2:CK85)</f>
        <v>5721290</v>
      </c>
      <c r="CL87" s="55">
        <f>COUNTIFS(CL2:CL85,"=YES")</f>
        <v>81</v>
      </c>
      <c r="CM87" s="55">
        <f>COUNTIFS(CM2:CM85,"=YES")</f>
        <v>82</v>
      </c>
      <c r="CN87" s="55">
        <f>COUNTIFS(CN2:CN85,"=YES")</f>
        <v>82</v>
      </c>
      <c r="CO87" s="60">
        <f>AVERAGE(CO2:CO85)</f>
        <v>9.2996428571428567</v>
      </c>
      <c r="CP87" s="53">
        <f>AVERAGE(CP2:CP85)</f>
        <v>15957.084378333566</v>
      </c>
      <c r="CQ87" s="60">
        <f>SUM(CQ2:CQ85)</f>
        <v>50.769999999999996</v>
      </c>
      <c r="CR87" s="60">
        <f>SUM(CR2:CR85)</f>
        <v>2299.9899999999998</v>
      </c>
      <c r="CS87" s="75">
        <f>AVERAGE(CS2:CS85)</f>
        <v>37.284880952380959</v>
      </c>
      <c r="CT87" s="77">
        <f>AVERAGE(CT2:CT85)</f>
        <v>3613.7609206646866</v>
      </c>
      <c r="CU87" s="53">
        <f>SUM(CU2:CU85)</f>
        <v>43713</v>
      </c>
      <c r="CV87" s="76">
        <f>AVERAGE(CV2:CV85)</f>
        <v>81999.345238095237</v>
      </c>
      <c r="CW87" s="168">
        <f>AVERAGE(CW2:CW85)</f>
        <v>37.307317073170729</v>
      </c>
      <c r="CX87" s="55">
        <f>COUNTIFS(CX2:CX85,"=YES")</f>
        <v>81</v>
      </c>
      <c r="CY87" s="55">
        <f>COUNTIFS(CY2:CY85,"=YES")</f>
        <v>80</v>
      </c>
      <c r="CZ87" s="53">
        <f t="shared" ref="CZ87:DF87" si="110">SUM(CZ2:CZ85)</f>
        <v>513696</v>
      </c>
      <c r="DA87" s="53">
        <f t="shared" si="110"/>
        <v>515283</v>
      </c>
      <c r="DB87" s="53">
        <f t="shared" si="110"/>
        <v>7345</v>
      </c>
      <c r="DC87" s="53">
        <f t="shared" si="110"/>
        <v>785088</v>
      </c>
      <c r="DD87" s="53">
        <f t="shared" si="110"/>
        <v>2155253</v>
      </c>
      <c r="DE87" s="53">
        <f t="shared" si="110"/>
        <v>32666661</v>
      </c>
      <c r="DF87" s="53">
        <f t="shared" si="110"/>
        <v>950930</v>
      </c>
      <c r="DG87" s="53">
        <f>AVERAGE(DG2:DG85)</f>
        <v>50.524390243902438</v>
      </c>
      <c r="DH87" s="53">
        <f>AVERAGE(DH2:DH85)</f>
        <v>0.28128763825153807</v>
      </c>
      <c r="DI87" s="53">
        <f>AVERAGE(DI2:DI85)</f>
        <v>45.975609756097562</v>
      </c>
      <c r="DJ87" s="53">
        <f>AVERAGE(DJ2:DJ85)</f>
        <v>45.780487804878049</v>
      </c>
      <c r="DK87" s="53">
        <f>SUM(DK2:DK85)</f>
        <v>179264</v>
      </c>
      <c r="DL87" s="53">
        <f>SUM(DL2:DL85)</f>
        <v>739631.5</v>
      </c>
      <c r="DM87" s="156"/>
      <c r="DN87" s="56" t="s">
        <v>913</v>
      </c>
      <c r="DO87" s="59" t="s">
        <v>913</v>
      </c>
      <c r="DP87" s="56">
        <f>COUNTIFS(DP2:DP85,"=MEMBER")</f>
        <v>0</v>
      </c>
      <c r="DQ87" s="157"/>
      <c r="DR87" s="57" t="s">
        <v>913</v>
      </c>
      <c r="DS87" s="58" t="s">
        <v>913</v>
      </c>
      <c r="DT87" s="58" t="s">
        <v>913</v>
      </c>
      <c r="DU87" s="58" t="s">
        <v>913</v>
      </c>
      <c r="DV87" s="58" t="s">
        <v>913</v>
      </c>
      <c r="DW87" s="183">
        <f t="shared" ref="DW87:EB87" si="111">AVERAGE(DW2:DW85)</f>
        <v>0.97036736670569801</v>
      </c>
      <c r="DX87" s="183">
        <f t="shared" si="111"/>
        <v>0</v>
      </c>
      <c r="DY87" s="183">
        <f t="shared" si="111"/>
        <v>2.0869680540050135</v>
      </c>
      <c r="DZ87" s="183">
        <f t="shared" si="111"/>
        <v>1.6520297379298698</v>
      </c>
      <c r="EA87" s="201">
        <f t="shared" si="111"/>
        <v>0.63319132090839281</v>
      </c>
      <c r="EB87" s="201">
        <f t="shared" si="111"/>
        <v>0.5194011075956626</v>
      </c>
    </row>
    <row r="88" spans="1:132" x14ac:dyDescent="0.2">
      <c r="A88" s="70"/>
      <c r="B88" s="70"/>
      <c r="C88" s="38"/>
      <c r="D88" s="38"/>
      <c r="E88" s="78"/>
      <c r="F88" s="38"/>
      <c r="H88" s="38"/>
      <c r="I88" s="39"/>
      <c r="J88" s="71"/>
      <c r="K88" s="71"/>
      <c r="L88" s="71"/>
      <c r="M88" s="162"/>
      <c r="N88" s="71"/>
      <c r="O88" s="71"/>
      <c r="P88" s="71"/>
      <c r="Q88" s="71"/>
      <c r="R88" s="162"/>
      <c r="S88" s="71"/>
      <c r="T88" s="71"/>
      <c r="U88" s="71"/>
      <c r="V88" s="71"/>
      <c r="W88" s="162"/>
      <c r="X88" s="80"/>
      <c r="Y88" s="80"/>
      <c r="Z88" s="80"/>
      <c r="AA88" s="80"/>
      <c r="AB88" s="71"/>
      <c r="AC88" s="71"/>
      <c r="AD88" s="71"/>
      <c r="AE88" s="71"/>
      <c r="AF88" s="71"/>
      <c r="AG88" s="71"/>
      <c r="AH88" s="71"/>
      <c r="AI88" s="71"/>
      <c r="AJ88" s="162"/>
      <c r="AK88" s="71"/>
      <c r="AL88" s="71"/>
      <c r="AM88" s="71"/>
      <c r="AN88" s="71"/>
      <c r="AO88" s="71"/>
      <c r="AP88" s="71"/>
      <c r="AQ88" s="162"/>
      <c r="AR88" s="71"/>
      <c r="AS88" s="71"/>
      <c r="AT88" s="71"/>
      <c r="AU88" s="71"/>
      <c r="AV88" s="71"/>
      <c r="AW88" s="71"/>
      <c r="AX88" s="71"/>
      <c r="AY88" s="71"/>
      <c r="AZ88" s="38"/>
      <c r="BA88" s="81"/>
      <c r="BB88" s="38"/>
      <c r="BC88" s="38"/>
      <c r="BD88" s="38"/>
      <c r="BE88" s="38"/>
      <c r="BF88" s="38"/>
      <c r="BG88" s="38"/>
      <c r="BH88" s="38"/>
      <c r="BI88" s="38"/>
      <c r="BJ88" s="38"/>
      <c r="BK88" s="38"/>
      <c r="BL88" s="81"/>
      <c r="BM88" s="38"/>
      <c r="BN88" s="38"/>
      <c r="BO88" s="81"/>
      <c r="BP88" s="38"/>
      <c r="BQ88" s="38"/>
      <c r="BR88" s="358"/>
      <c r="BS88" s="38"/>
      <c r="BT88" s="82"/>
      <c r="BU88" s="173"/>
      <c r="BV88" s="38"/>
      <c r="BW88" s="83"/>
      <c r="BX88" s="83"/>
      <c r="BY88" s="83"/>
      <c r="BZ88" s="38"/>
      <c r="CA88" s="38"/>
      <c r="CB88" s="38"/>
      <c r="CC88" s="38"/>
      <c r="CD88" s="38"/>
      <c r="CE88" s="38"/>
      <c r="CF88" s="38"/>
      <c r="CG88" s="38"/>
      <c r="CH88" s="81"/>
      <c r="CI88" s="38"/>
      <c r="CJ88" s="81"/>
      <c r="CK88" s="38"/>
      <c r="CL88" s="84"/>
      <c r="CM88" s="84"/>
      <c r="CN88" s="84"/>
      <c r="CO88" s="175"/>
      <c r="CP88" s="38"/>
      <c r="CQ88" s="175"/>
      <c r="CR88" s="175"/>
      <c r="CS88" s="175"/>
      <c r="CT88" s="38"/>
      <c r="CU88" s="38"/>
      <c r="CV88" s="71"/>
      <c r="CW88" s="79"/>
      <c r="CX88" s="84"/>
      <c r="CY88" s="84"/>
      <c r="CZ88" s="38"/>
      <c r="DA88" s="38"/>
      <c r="DB88" s="181"/>
      <c r="DC88" s="85"/>
      <c r="DD88" s="38"/>
      <c r="DE88" s="38"/>
      <c r="DF88" s="85"/>
      <c r="DG88" s="38"/>
      <c r="DH88" s="38"/>
      <c r="DI88" s="38"/>
      <c r="DJ88" s="38"/>
      <c r="DK88" s="38"/>
      <c r="DL88" s="38"/>
      <c r="DM88" s="119"/>
      <c r="DN88" s="120"/>
      <c r="DO88" s="84"/>
      <c r="DP88" s="84"/>
      <c r="DQ88" s="70"/>
      <c r="DR88" s="70"/>
      <c r="DS88" s="70"/>
      <c r="DT88" s="70"/>
      <c r="DU88" s="70"/>
      <c r="DV88" s="86"/>
      <c r="DW88" s="184"/>
      <c r="DX88" s="173"/>
      <c r="DY88" s="185"/>
      <c r="DZ88" s="185"/>
    </row>
    <row r="89" spans="1:132" x14ac:dyDescent="0.2">
      <c r="A89" s="190"/>
      <c r="B89" s="190">
        <v>2</v>
      </c>
      <c r="C89" s="191">
        <v>3</v>
      </c>
      <c r="D89" s="191">
        <v>4</v>
      </c>
      <c r="E89" s="190">
        <v>5</v>
      </c>
      <c r="F89" s="191">
        <v>6</v>
      </c>
      <c r="G89" s="191">
        <v>7</v>
      </c>
      <c r="H89" s="190">
        <v>8</v>
      </c>
      <c r="I89" s="191">
        <v>9</v>
      </c>
      <c r="J89" s="191">
        <v>10</v>
      </c>
      <c r="K89" s="190">
        <v>11</v>
      </c>
      <c r="L89" s="191">
        <v>12</v>
      </c>
      <c r="M89" s="191">
        <v>13</v>
      </c>
      <c r="N89" s="190">
        <v>14</v>
      </c>
      <c r="O89" s="191">
        <v>15</v>
      </c>
      <c r="P89" s="191">
        <v>16</v>
      </c>
      <c r="Q89" s="190">
        <v>17</v>
      </c>
      <c r="R89" s="191">
        <v>18</v>
      </c>
      <c r="S89" s="191">
        <v>19</v>
      </c>
      <c r="T89" s="190">
        <v>20</v>
      </c>
      <c r="U89" s="191">
        <v>21</v>
      </c>
      <c r="V89" s="191">
        <v>22</v>
      </c>
      <c r="W89" s="190">
        <v>23</v>
      </c>
      <c r="X89" s="191">
        <v>24</v>
      </c>
      <c r="Y89" s="191">
        <v>25</v>
      </c>
      <c r="Z89" s="190">
        <v>26</v>
      </c>
      <c r="AA89" s="191">
        <v>27</v>
      </c>
      <c r="AB89" s="191">
        <v>28</v>
      </c>
      <c r="AC89" s="190">
        <v>29</v>
      </c>
      <c r="AD89" s="191">
        <v>30</v>
      </c>
      <c r="AE89" s="191">
        <v>31</v>
      </c>
      <c r="AF89" s="190">
        <v>32</v>
      </c>
      <c r="AG89" s="191">
        <v>33</v>
      </c>
      <c r="AH89" s="191">
        <v>34</v>
      </c>
      <c r="AI89" s="190">
        <v>35</v>
      </c>
      <c r="AJ89" s="191">
        <v>36</v>
      </c>
      <c r="AK89" s="191">
        <v>37</v>
      </c>
      <c r="AL89" s="190">
        <v>38</v>
      </c>
      <c r="AM89" s="191">
        <v>39</v>
      </c>
      <c r="AN89" s="191">
        <v>40</v>
      </c>
      <c r="AO89" s="190">
        <v>41</v>
      </c>
      <c r="AP89" s="191">
        <v>42</v>
      </c>
      <c r="AQ89" s="191">
        <v>43</v>
      </c>
      <c r="AR89" s="190">
        <v>44</v>
      </c>
      <c r="AS89" s="191">
        <v>45</v>
      </c>
      <c r="AT89" s="191">
        <v>46</v>
      </c>
      <c r="AU89" s="190">
        <v>47</v>
      </c>
      <c r="AV89" s="191">
        <v>48</v>
      </c>
      <c r="AW89" s="191">
        <v>49</v>
      </c>
      <c r="AX89" s="190">
        <v>50</v>
      </c>
      <c r="AY89" s="191">
        <v>51</v>
      </c>
      <c r="AZ89" s="191">
        <v>52</v>
      </c>
      <c r="BA89" s="190">
        <v>53</v>
      </c>
      <c r="BB89" s="191">
        <v>54</v>
      </c>
      <c r="BC89" s="191">
        <v>55</v>
      </c>
      <c r="BD89" s="190">
        <v>56</v>
      </c>
      <c r="BE89" s="191">
        <v>57</v>
      </c>
      <c r="BF89" s="191">
        <v>58</v>
      </c>
      <c r="BG89" s="190">
        <v>59</v>
      </c>
      <c r="BH89" s="191">
        <v>60</v>
      </c>
      <c r="BI89" s="191">
        <v>61</v>
      </c>
      <c r="BJ89" s="190">
        <v>62</v>
      </c>
      <c r="BK89" s="191">
        <v>63</v>
      </c>
      <c r="BL89" s="191">
        <v>64</v>
      </c>
      <c r="BM89" s="190">
        <v>65</v>
      </c>
      <c r="BN89" s="191">
        <v>66</v>
      </c>
      <c r="BO89" s="191">
        <v>67</v>
      </c>
      <c r="BP89" s="190">
        <v>68</v>
      </c>
      <c r="BQ89" s="191">
        <v>69</v>
      </c>
      <c r="BR89" s="359">
        <v>70</v>
      </c>
      <c r="BS89" s="190">
        <v>71</v>
      </c>
      <c r="BT89" s="191">
        <v>72</v>
      </c>
      <c r="BU89" s="191">
        <v>73</v>
      </c>
      <c r="BV89" s="190">
        <v>74</v>
      </c>
      <c r="BW89" s="191">
        <v>75</v>
      </c>
      <c r="BX89" s="191">
        <v>76</v>
      </c>
      <c r="BY89" s="190">
        <v>77</v>
      </c>
      <c r="BZ89" s="191">
        <v>78</v>
      </c>
      <c r="CA89" s="191">
        <v>79</v>
      </c>
      <c r="CB89" s="190">
        <v>80</v>
      </c>
      <c r="CC89" s="191">
        <v>81</v>
      </c>
      <c r="CD89" s="191">
        <v>82</v>
      </c>
      <c r="CE89" s="190">
        <v>83</v>
      </c>
      <c r="CF89" s="191">
        <v>84</v>
      </c>
      <c r="CG89" s="191">
        <v>85</v>
      </c>
      <c r="CH89" s="190">
        <v>86</v>
      </c>
      <c r="CI89" s="191">
        <v>87</v>
      </c>
      <c r="CJ89" s="191">
        <v>88</v>
      </c>
      <c r="CK89" s="190">
        <v>89</v>
      </c>
      <c r="CL89" s="191">
        <v>90</v>
      </c>
      <c r="CM89" s="191">
        <v>91</v>
      </c>
      <c r="CN89" s="190">
        <v>92</v>
      </c>
      <c r="CO89" s="191">
        <v>93</v>
      </c>
      <c r="CP89" s="191">
        <v>94</v>
      </c>
      <c r="CQ89" s="190">
        <v>95</v>
      </c>
      <c r="CR89" s="191">
        <v>96</v>
      </c>
      <c r="CS89" s="191">
        <v>97</v>
      </c>
      <c r="CT89" s="190">
        <v>98</v>
      </c>
      <c r="CU89" s="191">
        <v>99</v>
      </c>
      <c r="CV89" s="191">
        <v>100</v>
      </c>
      <c r="CW89" s="190">
        <v>101</v>
      </c>
      <c r="CX89" s="191">
        <v>102</v>
      </c>
      <c r="CY89" s="191">
        <v>103</v>
      </c>
      <c r="CZ89" s="190">
        <v>104</v>
      </c>
      <c r="DA89" s="191">
        <v>105</v>
      </c>
      <c r="DB89" s="191">
        <v>106</v>
      </c>
      <c r="DC89" s="190">
        <v>107</v>
      </c>
      <c r="DD89" s="191">
        <v>108</v>
      </c>
      <c r="DE89" s="191">
        <v>109</v>
      </c>
      <c r="DF89" s="190">
        <v>110</v>
      </c>
      <c r="DG89" s="191">
        <v>111</v>
      </c>
      <c r="DH89" s="191">
        <v>112</v>
      </c>
      <c r="DI89" s="190">
        <v>113</v>
      </c>
      <c r="DJ89" s="191">
        <v>114</v>
      </c>
      <c r="DK89" s="191">
        <v>115</v>
      </c>
      <c r="DL89" s="190">
        <v>116</v>
      </c>
      <c r="DM89" s="191">
        <v>117</v>
      </c>
      <c r="DN89" s="191">
        <v>118</v>
      </c>
      <c r="DO89" s="190">
        <v>119</v>
      </c>
      <c r="DP89" s="191">
        <v>120</v>
      </c>
      <c r="DQ89" s="191">
        <v>121</v>
      </c>
      <c r="DR89" s="190">
        <v>122</v>
      </c>
      <c r="DS89" s="191">
        <v>123</v>
      </c>
      <c r="DT89" s="191">
        <v>124</v>
      </c>
      <c r="DU89" s="190">
        <v>125</v>
      </c>
      <c r="DV89" s="191">
        <v>126</v>
      </c>
      <c r="DW89" s="191">
        <v>127</v>
      </c>
      <c r="DX89" s="190">
        <v>128</v>
      </c>
      <c r="DY89" s="191">
        <v>129</v>
      </c>
      <c r="DZ89" s="191">
        <v>130</v>
      </c>
      <c r="EA89" s="190">
        <v>131</v>
      </c>
      <c r="EB89" s="191">
        <v>132</v>
      </c>
    </row>
    <row r="90" spans="1:132" x14ac:dyDescent="0.2">
      <c r="BT90" s="123"/>
      <c r="BU90" s="109"/>
      <c r="CL90" s="107"/>
      <c r="CO90" s="169"/>
      <c r="CX90" s="107"/>
      <c r="CZ90" s="108"/>
      <c r="DB90" s="143"/>
      <c r="DC90" s="108"/>
      <c r="DM90" s="124"/>
      <c r="DN90" s="120"/>
      <c r="DO90" s="107"/>
      <c r="DS90" s="109"/>
      <c r="DT90" s="114"/>
      <c r="DY90" s="145"/>
      <c r="DZ90" s="145"/>
    </row>
    <row r="91" spans="1:132" x14ac:dyDescent="0.2">
      <c r="BT91" s="123"/>
      <c r="BU91" s="109"/>
      <c r="CL91" s="107"/>
      <c r="CO91" s="169"/>
      <c r="CX91" s="107"/>
      <c r="CZ91" s="108"/>
      <c r="DB91" s="143"/>
      <c r="DC91" s="108"/>
      <c r="DM91" s="124"/>
      <c r="DN91" s="120"/>
      <c r="DO91" s="107"/>
      <c r="DS91" s="109"/>
      <c r="DT91" s="114"/>
      <c r="DY91" s="145"/>
      <c r="DZ91" s="145"/>
    </row>
    <row r="92" spans="1:132" ht="13.5" thickBot="1" x14ac:dyDescent="0.25">
      <c r="BT92" s="123"/>
      <c r="BU92" s="109"/>
      <c r="CL92" s="107"/>
      <c r="CO92" s="169"/>
      <c r="CX92" s="107"/>
      <c r="CZ92" s="108"/>
      <c r="DB92" s="143"/>
      <c r="DC92" s="108"/>
      <c r="DM92" s="124"/>
      <c r="DN92" s="120"/>
      <c r="DO92" s="107"/>
      <c r="DS92" s="109"/>
      <c r="DT92" s="114"/>
      <c r="DY92" s="145"/>
      <c r="DZ92" s="145"/>
    </row>
    <row r="93" spans="1:132" ht="13.5" thickBot="1" x14ac:dyDescent="0.25">
      <c r="B93" s="88" t="s">
        <v>200</v>
      </c>
      <c r="C93" s="108">
        <f t="shared" ref="C93:AB93" si="112">AVERAGEIFS(C2:C85,$C2:$C85,"&gt;=2000",$C2:$C85,"&lt;=4999")</f>
        <v>4634</v>
      </c>
      <c r="D93" s="108" t="e">
        <f t="shared" si="112"/>
        <v>#DIV/0!</v>
      </c>
      <c r="E93" s="108" t="e">
        <f t="shared" si="112"/>
        <v>#DIV/0!</v>
      </c>
      <c r="F93" s="108">
        <f t="shared" si="112"/>
        <v>9366</v>
      </c>
      <c r="G93" s="32" t="e">
        <f t="shared" si="112"/>
        <v>#DIV/0!</v>
      </c>
      <c r="H93" s="108">
        <f t="shared" si="112"/>
        <v>9366</v>
      </c>
      <c r="I93" s="109">
        <f t="shared" si="112"/>
        <v>0.88666999999999996</v>
      </c>
      <c r="J93" s="125">
        <f t="shared" si="112"/>
        <v>209816</v>
      </c>
      <c r="K93" s="125">
        <f t="shared" si="112"/>
        <v>88687</v>
      </c>
      <c r="L93" s="125">
        <f t="shared" si="112"/>
        <v>298503</v>
      </c>
      <c r="M93" s="110">
        <f t="shared" si="112"/>
        <v>64.415839447561495</v>
      </c>
      <c r="N93" s="125">
        <f t="shared" si="112"/>
        <v>28908</v>
      </c>
      <c r="O93" s="125">
        <f t="shared" si="112"/>
        <v>12665</v>
      </c>
      <c r="P93" s="125">
        <f t="shared" si="112"/>
        <v>4345</v>
      </c>
      <c r="Q93" s="125">
        <f t="shared" si="112"/>
        <v>45918</v>
      </c>
      <c r="R93" s="110">
        <f t="shared" si="112"/>
        <v>9.9089339663357787</v>
      </c>
      <c r="S93" s="125">
        <f t="shared" si="112"/>
        <v>90769</v>
      </c>
      <c r="T93" s="125">
        <f t="shared" si="112"/>
        <v>435190</v>
      </c>
      <c r="U93" s="125">
        <f t="shared" si="112"/>
        <v>0</v>
      </c>
      <c r="V93" s="125">
        <f t="shared" si="112"/>
        <v>435190</v>
      </c>
      <c r="W93" s="110">
        <f t="shared" si="112"/>
        <v>93.912386706948638</v>
      </c>
      <c r="X93" s="126">
        <f t="shared" si="112"/>
        <v>0.6859141983961029</v>
      </c>
      <c r="Y93" s="126">
        <f t="shared" si="112"/>
        <v>0.10551253475493462</v>
      </c>
      <c r="Z93" s="126">
        <f t="shared" si="112"/>
        <v>0.20857326684896252</v>
      </c>
      <c r="AA93" s="126">
        <f t="shared" si="112"/>
        <v>0</v>
      </c>
      <c r="AB93" s="125">
        <f t="shared" si="112"/>
        <v>1000500</v>
      </c>
      <c r="AC93" s="125">
        <f>AVERAGEIFS(AF2:AF85,$C2:$C85,"&gt;=2000",$C2:$C85,"&lt;=4999")</f>
        <v>403237</v>
      </c>
      <c r="AD93" s="125">
        <f>AVERAGEIFS(AG2:AG85,$C2:$C85,"&gt;=2000",$C2:$C85,"&lt;=4999")</f>
        <v>10000</v>
      </c>
      <c r="AE93" s="125" t="e">
        <f>AVERAGEIFS(AE2:AE85,$C2:$C85,"&gt;=2000",$C2:$C85,"&lt;=4999")</f>
        <v>#DIV/0!</v>
      </c>
      <c r="AF93" s="125" t="e">
        <f>AVERAGEIFS(#REF!,$C2:$C85,"&gt;=2000",$C2:$C85,"&lt;=4999")</f>
        <v>#REF!</v>
      </c>
      <c r="AG93" s="125" t="e">
        <f>AVERAGEIFS(#REF!,$C2:$C85,"&gt;=2000",$C2:$C85,"&lt;=4999")</f>
        <v>#REF!</v>
      </c>
      <c r="AH93" s="125" t="e">
        <f t="shared" ref="AH93:BM93" si="113">AVERAGEIFS(AH2:AH85,$C2:$C85,"&gt;=2000",$C2:$C85,"&lt;=4999")</f>
        <v>#DIV/0!</v>
      </c>
      <c r="AI93" s="125">
        <f t="shared" si="113"/>
        <v>413237</v>
      </c>
      <c r="AJ93" s="110">
        <f t="shared" si="113"/>
        <v>89.175010789814422</v>
      </c>
      <c r="AK93" s="125">
        <f t="shared" si="113"/>
        <v>3580</v>
      </c>
      <c r="AL93" s="125">
        <f t="shared" si="113"/>
        <v>19815</v>
      </c>
      <c r="AM93" s="125" t="e">
        <f t="shared" si="113"/>
        <v>#DIV/0!</v>
      </c>
      <c r="AN93" s="125">
        <f t="shared" si="113"/>
        <v>0</v>
      </c>
      <c r="AO93" s="125">
        <f t="shared" si="113"/>
        <v>0</v>
      </c>
      <c r="AP93" s="125">
        <f t="shared" si="113"/>
        <v>449135</v>
      </c>
      <c r="AQ93" s="110">
        <f t="shared" si="113"/>
        <v>96.921665947345701</v>
      </c>
      <c r="AR93" s="125" t="e">
        <f t="shared" si="113"/>
        <v>#DIV/0!</v>
      </c>
      <c r="AS93" s="125">
        <f t="shared" si="113"/>
        <v>0</v>
      </c>
      <c r="AT93" s="125">
        <f t="shared" si="113"/>
        <v>0</v>
      </c>
      <c r="AU93" s="125">
        <f t="shared" si="113"/>
        <v>0</v>
      </c>
      <c r="AV93" s="125">
        <f t="shared" si="113"/>
        <v>0</v>
      </c>
      <c r="AW93" s="125" t="e">
        <f t="shared" si="113"/>
        <v>#DIV/0!</v>
      </c>
      <c r="AX93" s="125">
        <f t="shared" si="113"/>
        <v>0</v>
      </c>
      <c r="AY93" s="125">
        <f t="shared" si="113"/>
        <v>0</v>
      </c>
      <c r="AZ93" s="108">
        <f t="shared" si="113"/>
        <v>30680</v>
      </c>
      <c r="BA93" s="109">
        <f t="shared" si="113"/>
        <v>6.6206301251618473</v>
      </c>
      <c r="BB93" s="108">
        <f t="shared" si="113"/>
        <v>580</v>
      </c>
      <c r="BC93" s="108">
        <f t="shared" si="113"/>
        <v>30111</v>
      </c>
      <c r="BD93" s="108">
        <f t="shared" si="113"/>
        <v>1596</v>
      </c>
      <c r="BE93" s="108">
        <f t="shared" si="113"/>
        <v>2443</v>
      </c>
      <c r="BF93" s="108">
        <f t="shared" si="113"/>
        <v>166680</v>
      </c>
      <c r="BG93" s="108">
        <f t="shared" si="113"/>
        <v>2</v>
      </c>
      <c r="BH93" s="108">
        <f t="shared" si="113"/>
        <v>89</v>
      </c>
      <c r="BI93" s="108">
        <f t="shared" si="113"/>
        <v>0</v>
      </c>
      <c r="BJ93" s="108">
        <f t="shared" si="113"/>
        <v>88</v>
      </c>
      <c r="BK93" s="108">
        <f t="shared" si="113"/>
        <v>236316</v>
      </c>
      <c r="BL93" s="109">
        <f t="shared" si="113"/>
        <v>50.996115666810532</v>
      </c>
      <c r="BM93" s="108">
        <f t="shared" si="113"/>
        <v>74</v>
      </c>
      <c r="BN93" s="108">
        <f t="shared" ref="BN93:CH93" si="114">AVERAGEIFS(BN2:BN85,$C2:$C85,"&gt;=2000",$C2:$C85,"&lt;=4999")</f>
        <v>3301</v>
      </c>
      <c r="BO93" s="109">
        <f t="shared" si="114"/>
        <v>0.71234354769097974</v>
      </c>
      <c r="BP93" s="108">
        <f t="shared" si="114"/>
        <v>10827</v>
      </c>
      <c r="BQ93" s="108">
        <f t="shared" si="114"/>
        <v>0</v>
      </c>
      <c r="BR93" s="360">
        <f t="shared" si="114"/>
        <v>22460</v>
      </c>
      <c r="BS93" s="108">
        <f t="shared" si="114"/>
        <v>11797</v>
      </c>
      <c r="BT93" s="108">
        <f t="shared" si="114"/>
        <v>34257</v>
      </c>
      <c r="BU93" s="109">
        <f t="shared" si="114"/>
        <v>7.392533448424687</v>
      </c>
      <c r="BV93" s="108">
        <f t="shared" si="114"/>
        <v>7019.877049180328</v>
      </c>
      <c r="BW93" s="109">
        <f t="shared" si="114"/>
        <v>3.5407751937984497</v>
      </c>
      <c r="BX93" s="109">
        <f t="shared" si="114"/>
        <v>2.0385004462957452</v>
      </c>
      <c r="BY93" s="109">
        <f t="shared" si="114"/>
        <v>0.14496267709338342</v>
      </c>
      <c r="BZ93" s="108">
        <f t="shared" si="114"/>
        <v>34</v>
      </c>
      <c r="CA93" s="108">
        <f t="shared" si="114"/>
        <v>5</v>
      </c>
      <c r="CB93" s="108">
        <f t="shared" si="114"/>
        <v>82</v>
      </c>
      <c r="CC93" s="108">
        <f t="shared" si="114"/>
        <v>121</v>
      </c>
      <c r="CD93" s="108">
        <f t="shared" si="114"/>
        <v>3521</v>
      </c>
      <c r="CE93" s="108">
        <f t="shared" si="114"/>
        <v>76</v>
      </c>
      <c r="CF93" s="108">
        <f t="shared" si="114"/>
        <v>1967</v>
      </c>
      <c r="CG93" s="108">
        <f t="shared" si="114"/>
        <v>5564</v>
      </c>
      <c r="CH93" s="109">
        <f t="shared" si="114"/>
        <v>1.2006905481225723</v>
      </c>
      <c r="CI93" s="108">
        <v>16991.18918918919</v>
      </c>
      <c r="CJ93" s="109">
        <f>AVERAGEIFS(CJ2:CJ85,$C2:$C85,"&gt;=2000",$C2:$C85,"&lt;=4999")</f>
        <v>3.626456624946051</v>
      </c>
      <c r="CK93" s="108">
        <f>AVERAGEIFS(CK2:CK85,$C2:$C85,"&gt;=2000",$C2:$C85,"&lt;=4999")</f>
        <v>41882</v>
      </c>
      <c r="CL93" s="128">
        <f>COUNTIFS(CL2:CL85,"YES",$C2:$C85,"&gt;=2000",$C2:$C85,"&lt;=4999")</f>
        <v>1</v>
      </c>
      <c r="CM93" s="128">
        <f>COUNTIFS(CM2:CM85,"YES",$C2:$C85,"&gt;=2000",$C2:$C85,"&lt;=4999")</f>
        <v>1</v>
      </c>
      <c r="CN93" s="128">
        <f>COUNTIFS(CN2:CN85,"YES",$C2:$C85,"&gt;=2000",$C2:$C85,"&lt;=4999")</f>
        <v>1</v>
      </c>
      <c r="CO93" s="169">
        <f t="shared" ref="CO93:CW93" si="115">AVERAGEIFS(CO2:CO85,$C2:$C85,"&gt;=2000",$C2:$C85,"&lt;=4999")</f>
        <v>3</v>
      </c>
      <c r="CP93" s="108">
        <f t="shared" si="115"/>
        <v>0</v>
      </c>
      <c r="CQ93" s="169">
        <f t="shared" si="115"/>
        <v>0</v>
      </c>
      <c r="CR93" s="169">
        <f t="shared" si="115"/>
        <v>1.88</v>
      </c>
      <c r="CS93" s="169">
        <f t="shared" si="115"/>
        <v>4.88</v>
      </c>
      <c r="CT93" s="108">
        <f t="shared" si="115"/>
        <v>949.5901639344263</v>
      </c>
      <c r="CU93" s="108" t="e">
        <f t="shared" si="115"/>
        <v>#DIV/0!</v>
      </c>
      <c r="CV93" s="125">
        <f t="shared" si="115"/>
        <v>64761</v>
      </c>
      <c r="CW93" s="109">
        <f t="shared" si="115"/>
        <v>40</v>
      </c>
      <c r="CX93" s="128">
        <f>COUNTIFS(CX2:CX85,"YES", $C2:$C85,"&gt;=2000",$C2:$C85,"&lt;=4999")</f>
        <v>1</v>
      </c>
      <c r="CY93" s="128">
        <f>COUNTIFS(CY2:CY85,"YES", $C2:$C85,"&gt;=2000",$C2:$C85,"&lt;=4999")</f>
        <v>1</v>
      </c>
      <c r="CZ93" s="108">
        <f t="shared" ref="CZ93:DL93" si="116">AVERAGEIFS(CZ2:CZ85,$C2:$C85,"&gt;=2000",$C2:$C85,"&lt;=4999")</f>
        <v>1732</v>
      </c>
      <c r="DA93" s="108">
        <f t="shared" si="116"/>
        <v>1349</v>
      </c>
      <c r="DB93" s="143">
        <f t="shared" si="116"/>
        <v>21</v>
      </c>
      <c r="DC93" s="108">
        <f t="shared" si="116"/>
        <v>3068</v>
      </c>
      <c r="DD93" s="108">
        <f t="shared" si="116"/>
        <v>8663</v>
      </c>
      <c r="DE93" s="108">
        <f t="shared" si="116"/>
        <v>10972</v>
      </c>
      <c r="DF93" s="108">
        <f t="shared" si="116"/>
        <v>12638</v>
      </c>
      <c r="DG93" s="108">
        <f t="shared" si="116"/>
        <v>52</v>
      </c>
      <c r="DH93" s="108">
        <f t="shared" si="116"/>
        <v>2.7272334915839447</v>
      </c>
      <c r="DI93" s="108">
        <f t="shared" si="116"/>
        <v>44</v>
      </c>
      <c r="DJ93" s="108">
        <f t="shared" si="116"/>
        <v>44</v>
      </c>
      <c r="DK93" s="108" t="e">
        <f t="shared" si="116"/>
        <v>#DIV/0!</v>
      </c>
      <c r="DL93" s="108">
        <f t="shared" si="116"/>
        <v>9675</v>
      </c>
      <c r="DM93" s="129"/>
      <c r="DN93" s="127"/>
      <c r="DO93" s="107"/>
      <c r="DS93" s="109"/>
      <c r="DT93" s="114"/>
      <c r="DW93" s="109">
        <f t="shared" ref="DW93:EB93" si="117">AVERAGEIFS(DW2:DW83,$C2:$C83,"&gt;=2000",$C2:$C83,"&lt;=4999")</f>
        <v>2.3364264134656882</v>
      </c>
      <c r="DX93" s="109">
        <f t="shared" si="117"/>
        <v>0</v>
      </c>
      <c r="DY93" s="109">
        <f t="shared" si="117"/>
        <v>4.8467846353042727</v>
      </c>
      <c r="DZ93" s="186">
        <f t="shared" si="117"/>
        <v>2.5457488131204142</v>
      </c>
      <c r="EA93" s="202">
        <f t="shared" si="117"/>
        <v>0.86844714152672209</v>
      </c>
      <c r="EB93" s="202">
        <f t="shared" si="117"/>
        <v>1.0735780283122829</v>
      </c>
    </row>
    <row r="94" spans="1:132" ht="13.5" thickBot="1" x14ac:dyDescent="0.25">
      <c r="B94" s="88" t="s">
        <v>126</v>
      </c>
      <c r="C94" s="108">
        <f t="shared" ref="C94:AB94" si="118">AVERAGEIFS(C2:C85,$C2:$C85,"&gt;=5000",$C2:$C85,"&lt;=9999")</f>
        <v>7313.666666666667</v>
      </c>
      <c r="D94" s="108" t="e">
        <f t="shared" si="118"/>
        <v>#DIV/0!</v>
      </c>
      <c r="E94" s="108" t="e">
        <f t="shared" si="118"/>
        <v>#DIV/0!</v>
      </c>
      <c r="F94" s="108">
        <f t="shared" si="118"/>
        <v>6800</v>
      </c>
      <c r="G94" s="32" t="e">
        <f t="shared" si="118"/>
        <v>#DIV/0!</v>
      </c>
      <c r="H94" s="108">
        <f t="shared" si="118"/>
        <v>6800</v>
      </c>
      <c r="I94" s="109">
        <f t="shared" si="118"/>
        <v>0.45776666666666666</v>
      </c>
      <c r="J94" s="125">
        <f t="shared" si="118"/>
        <v>178042.66666666666</v>
      </c>
      <c r="K94" s="125">
        <f t="shared" si="118"/>
        <v>66259</v>
      </c>
      <c r="L94" s="125">
        <f t="shared" si="118"/>
        <v>244301.66666666666</v>
      </c>
      <c r="M94" s="110">
        <f t="shared" si="118"/>
        <v>33.172804753773356</v>
      </c>
      <c r="N94" s="125">
        <f t="shared" si="118"/>
        <v>19874.893333333333</v>
      </c>
      <c r="O94" s="125">
        <f t="shared" si="118"/>
        <v>14973.090000000002</v>
      </c>
      <c r="P94" s="125">
        <f t="shared" si="118"/>
        <v>9890.5533333333333</v>
      </c>
      <c r="Q94" s="125">
        <f t="shared" si="118"/>
        <v>44738.53666666666</v>
      </c>
      <c r="R94" s="110">
        <f t="shared" si="118"/>
        <v>6.4270913781864429</v>
      </c>
      <c r="S94" s="125">
        <f t="shared" si="118"/>
        <v>62144.553333333337</v>
      </c>
      <c r="T94" s="125">
        <f t="shared" si="118"/>
        <v>351184.75666666665</v>
      </c>
      <c r="U94" s="125">
        <f t="shared" si="118"/>
        <v>0</v>
      </c>
      <c r="V94" s="125">
        <f t="shared" si="118"/>
        <v>351184.75666666665</v>
      </c>
      <c r="W94" s="110">
        <f t="shared" si="118"/>
        <v>47.817520029838754</v>
      </c>
      <c r="X94" s="126">
        <f t="shared" si="118"/>
        <v>0.69908182256021922</v>
      </c>
      <c r="Y94" s="126">
        <f t="shared" si="118"/>
        <v>0.12997488962876591</v>
      </c>
      <c r="Z94" s="126">
        <f t="shared" si="118"/>
        <v>0.17094328781101475</v>
      </c>
      <c r="AA94" s="126">
        <f t="shared" si="118"/>
        <v>0</v>
      </c>
      <c r="AB94" s="125">
        <f t="shared" si="118"/>
        <v>10550</v>
      </c>
      <c r="AC94" s="125">
        <f>AVERAGEIFS(AF2:AF85,$C2:$C85,"&gt;=5000",$C2:$C85,"&lt;=9999")</f>
        <v>310170</v>
      </c>
      <c r="AD94" s="125">
        <f>AVERAGEIFS(AG2:AG85,$C2:$C85,"&gt;=5000",$C2:$C85,"&lt;=9999")</f>
        <v>23500</v>
      </c>
      <c r="AE94" s="125" t="e">
        <f>AVERAGEIFS(AE2:AE85,$C2:$C85,"&gt;=5000",$C2:$C85,"&lt;=9999")</f>
        <v>#DIV/0!</v>
      </c>
      <c r="AF94" s="125" t="e">
        <f>AVERAGEIFS(#REF!,$C2:$C85,"&gt;=5000",$C2:$C85,"&lt;=9999")</f>
        <v>#REF!</v>
      </c>
      <c r="AG94" s="125" t="e">
        <f>AVERAGEIFS(#REF!,$C2:$C85,"&gt;=5000",$C2:$C85,"&lt;=9999")</f>
        <v>#REF!</v>
      </c>
      <c r="AH94" s="125" t="e">
        <f t="shared" ref="AH94:BM94" si="119">AVERAGEIFS(AH2:AH85,$C2:$C85,"&gt;=5000",$C2:$C85,"&lt;=9999")</f>
        <v>#DIV/0!</v>
      </c>
      <c r="AI94" s="125">
        <f t="shared" si="119"/>
        <v>333670</v>
      </c>
      <c r="AJ94" s="110">
        <f t="shared" si="119"/>
        <v>44.952435866643498</v>
      </c>
      <c r="AK94" s="125">
        <f t="shared" si="119"/>
        <v>5743.333333333333</v>
      </c>
      <c r="AL94" s="125">
        <f t="shared" si="119"/>
        <v>9293.3333333333339</v>
      </c>
      <c r="AM94" s="125" t="e">
        <f t="shared" si="119"/>
        <v>#DIV/0!</v>
      </c>
      <c r="AN94" s="125">
        <f t="shared" si="119"/>
        <v>3367.6666666666665</v>
      </c>
      <c r="AO94" s="125">
        <f t="shared" si="119"/>
        <v>3367.6666666666665</v>
      </c>
      <c r="AP94" s="125">
        <f t="shared" si="119"/>
        <v>356101.33333333331</v>
      </c>
      <c r="AQ94" s="110">
        <f t="shared" si="119"/>
        <v>48.393872938029283</v>
      </c>
      <c r="AR94" s="125" t="e">
        <f t="shared" si="119"/>
        <v>#DIV/0!</v>
      </c>
      <c r="AS94" s="125">
        <f t="shared" si="119"/>
        <v>10166.666666666666</v>
      </c>
      <c r="AT94" s="125">
        <f t="shared" si="119"/>
        <v>0</v>
      </c>
      <c r="AU94" s="125">
        <f t="shared" si="119"/>
        <v>0</v>
      </c>
      <c r="AV94" s="125">
        <f t="shared" si="119"/>
        <v>0</v>
      </c>
      <c r="AW94" s="125" t="e">
        <f t="shared" si="119"/>
        <v>#DIV/0!</v>
      </c>
      <c r="AX94" s="125">
        <f t="shared" si="119"/>
        <v>0</v>
      </c>
      <c r="AY94" s="125">
        <f t="shared" si="119"/>
        <v>10166.666666666666</v>
      </c>
      <c r="AZ94" s="108">
        <f t="shared" si="119"/>
        <v>23287</v>
      </c>
      <c r="BA94" s="109">
        <f t="shared" si="119"/>
        <v>3.094825658517546</v>
      </c>
      <c r="BB94" s="108">
        <f t="shared" si="119"/>
        <v>804</v>
      </c>
      <c r="BC94" s="108">
        <f t="shared" si="119"/>
        <v>28894</v>
      </c>
      <c r="BD94" s="108">
        <f t="shared" si="119"/>
        <v>1906.6666666666667</v>
      </c>
      <c r="BE94" s="108">
        <f t="shared" si="119"/>
        <v>2498.3333333333335</v>
      </c>
      <c r="BF94" s="108">
        <f t="shared" si="119"/>
        <v>155010</v>
      </c>
      <c r="BG94" s="108">
        <f t="shared" si="119"/>
        <v>4.333333333333333</v>
      </c>
      <c r="BH94" s="108">
        <f t="shared" si="119"/>
        <v>89</v>
      </c>
      <c r="BI94" s="108">
        <f t="shared" si="119"/>
        <v>0</v>
      </c>
      <c r="BJ94" s="108">
        <f t="shared" si="119"/>
        <v>91.333333333333329</v>
      </c>
      <c r="BK94" s="108">
        <f t="shared" si="119"/>
        <v>215284.66666666666</v>
      </c>
      <c r="BL94" s="109">
        <f t="shared" si="119"/>
        <v>30.948312985280438</v>
      </c>
      <c r="BM94" s="108">
        <f t="shared" si="119"/>
        <v>15.333333333333334</v>
      </c>
      <c r="BN94" s="108">
        <f t="shared" ref="BN94:CH94" si="120">AVERAGEIFS(BN2:BN85,$C2:$C85,"&gt;=5000",$C2:$C85,"&lt;=9999")</f>
        <v>5810.333333333333</v>
      </c>
      <c r="BO94" s="109">
        <f t="shared" si="120"/>
        <v>0.73650832857977988</v>
      </c>
      <c r="BP94" s="108">
        <f t="shared" si="120"/>
        <v>8478.6666666666661</v>
      </c>
      <c r="BQ94" s="108">
        <f t="shared" si="120"/>
        <v>0</v>
      </c>
      <c r="BR94" s="360">
        <f t="shared" si="120"/>
        <v>17361</v>
      </c>
      <c r="BS94" s="108">
        <f t="shared" si="120"/>
        <v>22653.333333333332</v>
      </c>
      <c r="BT94" s="108">
        <f t="shared" si="120"/>
        <v>40014.333333333336</v>
      </c>
      <c r="BU94" s="109">
        <f t="shared" si="120"/>
        <v>5.1218988605207745</v>
      </c>
      <c r="BV94" s="108">
        <f t="shared" si="120"/>
        <v>4388.8489360102258</v>
      </c>
      <c r="BW94" s="109">
        <f t="shared" si="120"/>
        <v>14.451362830069089</v>
      </c>
      <c r="BX94" s="109">
        <f t="shared" si="120"/>
        <v>5.2886213722458244</v>
      </c>
      <c r="BY94" s="109">
        <f t="shared" si="120"/>
        <v>0.17797937900403735</v>
      </c>
      <c r="BZ94" s="108">
        <f t="shared" si="120"/>
        <v>39.333333333333336</v>
      </c>
      <c r="CA94" s="108">
        <f t="shared" si="120"/>
        <v>2.6666666666666665</v>
      </c>
      <c r="CB94" s="108">
        <f t="shared" si="120"/>
        <v>21.333333333333332</v>
      </c>
      <c r="CC94" s="108">
        <f t="shared" si="120"/>
        <v>63.333333333333336</v>
      </c>
      <c r="CD94" s="108">
        <f t="shared" si="120"/>
        <v>331</v>
      </c>
      <c r="CE94" s="108">
        <f t="shared" si="120"/>
        <v>4.666666666666667</v>
      </c>
      <c r="CF94" s="108">
        <f t="shared" si="120"/>
        <v>102.66666666666667</v>
      </c>
      <c r="CG94" s="108">
        <f t="shared" si="120"/>
        <v>438.33333333333331</v>
      </c>
      <c r="CH94" s="109">
        <f t="shared" si="120"/>
        <v>5.5684506770894204E-2</v>
      </c>
      <c r="CI94" s="108">
        <v>25748.146551724138</v>
      </c>
      <c r="CJ94" s="109">
        <f>AVERAGEIFS(CJ2:CJ85,$C2:$C85,"&gt;=5000",$C2:$C85,"&lt;=9999")</f>
        <v>2.4096235631040139</v>
      </c>
      <c r="CK94" s="108">
        <f>AVERAGEIFS(CK2:CK85,$C2:$C85,"&gt;=5000",$C2:$C85,"&lt;=9999")</f>
        <v>5346.5</v>
      </c>
      <c r="CL94" s="128">
        <f>COUNTIFS(CL2:CL85,"YES",$C2:$C85,"&gt;=5000",$C2:$C85,"&lt;=9999")</f>
        <v>3</v>
      </c>
      <c r="CM94" s="128">
        <f>COUNTIFS(CM2:CM85,"YES",$C2:$C85,"&gt;=5000",$C2:$C85,"&lt;=9999")</f>
        <v>3</v>
      </c>
      <c r="CN94" s="128">
        <f>COUNTIFS(CN2:CN85,"YES",$C2:$C85,"&gt;=5000",$C2:$C85,"&lt;=9999")</f>
        <v>3</v>
      </c>
      <c r="CO94" s="169">
        <f t="shared" ref="CO94:CW94" si="121">AVERAGEIFS(CO2:CO85,$C2:$C85,"&gt;=5000",$C2:$C85,"&lt;=9999")</f>
        <v>1</v>
      </c>
      <c r="CP94" s="108">
        <f t="shared" si="121"/>
        <v>4852.333333333333</v>
      </c>
      <c r="CQ94" s="169">
        <f t="shared" si="121"/>
        <v>0</v>
      </c>
      <c r="CR94" s="169">
        <f t="shared" si="121"/>
        <v>4.5633333333333335</v>
      </c>
      <c r="CS94" s="169">
        <f t="shared" si="121"/>
        <v>5.5633333333333335</v>
      </c>
      <c r="CT94" s="108">
        <f t="shared" si="121"/>
        <v>702.8749530039853</v>
      </c>
      <c r="CU94" s="108">
        <f t="shared" si="121"/>
        <v>2</v>
      </c>
      <c r="CV94" s="125">
        <f t="shared" si="121"/>
        <v>59887</v>
      </c>
      <c r="CW94" s="109">
        <f t="shared" si="121"/>
        <v>28.666666666666668</v>
      </c>
      <c r="CX94" s="128">
        <f>COUNTIFS(CX2:CX85,"YES", $C2:$C85,"&gt;=5000",$C2:$C85,"&lt;=9999")</f>
        <v>3</v>
      </c>
      <c r="CY94" s="128">
        <f>COUNTIFS(CY2:CY85,"YES", $C2:$C85,"&gt;=5000",$C2:$C85,"&lt;=9999")</f>
        <v>2</v>
      </c>
      <c r="CZ94" s="108">
        <f t="shared" ref="CZ94:DL94" si="122">AVERAGEIFS(CZ2:CZ85,$C2:$C85,"&gt;=5000",$C2:$C85,"&lt;=9999")</f>
        <v>1721.3333333333333</v>
      </c>
      <c r="DA94" s="108">
        <f t="shared" si="122"/>
        <v>940.33333333333337</v>
      </c>
      <c r="DB94" s="143">
        <f t="shared" si="122"/>
        <v>17.333333333333332</v>
      </c>
      <c r="DC94" s="108">
        <f t="shared" si="122"/>
        <v>2611.6666666666665</v>
      </c>
      <c r="DD94" s="108">
        <f t="shared" si="122"/>
        <v>7757.333333333333</v>
      </c>
      <c r="DE94" s="108">
        <f t="shared" si="122"/>
        <v>13488.333333333334</v>
      </c>
      <c r="DF94" s="108">
        <f t="shared" si="122"/>
        <v>7990</v>
      </c>
      <c r="DG94" s="108">
        <f t="shared" si="122"/>
        <v>49.333333333333336</v>
      </c>
      <c r="DH94" s="108">
        <f t="shared" si="122"/>
        <v>1.3058874892339543</v>
      </c>
      <c r="DI94" s="108">
        <f t="shared" si="122"/>
        <v>45.666666666666664</v>
      </c>
      <c r="DJ94" s="108">
        <f t="shared" si="122"/>
        <v>45.666666666666664</v>
      </c>
      <c r="DK94" s="108" t="e">
        <f t="shared" si="122"/>
        <v>#DIV/0!</v>
      </c>
      <c r="DL94" s="108">
        <f t="shared" si="122"/>
        <v>5935.666666666667</v>
      </c>
      <c r="DM94" s="129"/>
      <c r="DN94" s="127"/>
      <c r="DO94" s="107"/>
      <c r="DS94" s="109"/>
      <c r="DT94" s="114"/>
      <c r="DW94" s="109">
        <f t="shared" ref="DW94:EB94" si="123">AVERAGEIFS(DW2:DW83,$C2:$C83,"&gt;=5000",$C2:$C83,"&lt;=9999")</f>
        <v>1.2485153053770981</v>
      </c>
      <c r="DX94" s="109">
        <f t="shared" si="123"/>
        <v>0</v>
      </c>
      <c r="DY94" s="109">
        <f t="shared" si="123"/>
        <v>2.5050864719914649</v>
      </c>
      <c r="DZ94" s="186">
        <f t="shared" si="123"/>
        <v>2.61681238852931</v>
      </c>
      <c r="EA94" s="202">
        <f t="shared" si="123"/>
        <v>0.7845354068807725</v>
      </c>
      <c r="EB94" s="202">
        <f t="shared" si="123"/>
        <v>1.9132662838045393</v>
      </c>
    </row>
    <row r="95" spans="1:132" ht="13.5" thickBot="1" x14ac:dyDescent="0.25">
      <c r="B95" s="88" t="s">
        <v>201</v>
      </c>
      <c r="C95" s="108">
        <f t="shared" ref="C95:AB95" si="124">AVERAGEIFS(C2:C85,$C2:$C85,"&gt;=10000",$C2:$C85,"&lt;=14999")</f>
        <v>13334</v>
      </c>
      <c r="D95" s="108" t="e">
        <f t="shared" si="124"/>
        <v>#DIV/0!</v>
      </c>
      <c r="E95" s="108" t="e">
        <f t="shared" si="124"/>
        <v>#DIV/0!</v>
      </c>
      <c r="F95" s="108">
        <f t="shared" si="124"/>
        <v>11919</v>
      </c>
      <c r="G95" s="32" t="e">
        <f t="shared" si="124"/>
        <v>#DIV/0!</v>
      </c>
      <c r="H95" s="108">
        <f t="shared" si="124"/>
        <v>11919</v>
      </c>
      <c r="I95" s="109">
        <f t="shared" si="124"/>
        <v>0.62716000000000005</v>
      </c>
      <c r="J95" s="125">
        <f t="shared" si="124"/>
        <v>292128.33333333331</v>
      </c>
      <c r="K95" s="125">
        <f t="shared" si="124"/>
        <v>116943.66666666667</v>
      </c>
      <c r="L95" s="125">
        <f t="shared" si="124"/>
        <v>409072</v>
      </c>
      <c r="M95" s="110">
        <f t="shared" si="124"/>
        <v>31.726620154034872</v>
      </c>
      <c r="N95" s="125">
        <f t="shared" si="124"/>
        <v>51080</v>
      </c>
      <c r="O95" s="125">
        <f t="shared" si="124"/>
        <v>29812</v>
      </c>
      <c r="P95" s="125">
        <f t="shared" si="124"/>
        <v>1739.6666666666667</v>
      </c>
      <c r="Q95" s="125">
        <f t="shared" si="124"/>
        <v>82631.666666666672</v>
      </c>
      <c r="R95" s="110">
        <f t="shared" si="124"/>
        <v>6.4805950455523531</v>
      </c>
      <c r="S95" s="125">
        <f t="shared" si="124"/>
        <v>98303</v>
      </c>
      <c r="T95" s="125">
        <f t="shared" si="124"/>
        <v>590006.66666666663</v>
      </c>
      <c r="U95" s="125">
        <f t="shared" si="124"/>
        <v>0</v>
      </c>
      <c r="V95" s="125">
        <f t="shared" si="124"/>
        <v>590006.66666666663</v>
      </c>
      <c r="W95" s="110">
        <f t="shared" si="124"/>
        <v>45.983873012881723</v>
      </c>
      <c r="X95" s="126">
        <f t="shared" si="124"/>
        <v>0.68581870725499539</v>
      </c>
      <c r="Y95" s="126">
        <f t="shared" si="124"/>
        <v>0.13240552446853623</v>
      </c>
      <c r="Z95" s="126">
        <f t="shared" si="124"/>
        <v>0.18177576827646832</v>
      </c>
      <c r="AA95" s="126">
        <f t="shared" si="124"/>
        <v>0</v>
      </c>
      <c r="AB95" s="125">
        <f t="shared" si="124"/>
        <v>58666.666666666664</v>
      </c>
      <c r="AC95" s="125">
        <f>AVERAGEIFS(AF2:AF85,$C2:$C85,"&gt;=10000",$C2:$C85,"&lt;=14999")</f>
        <v>573294</v>
      </c>
      <c r="AD95" s="125">
        <f>AVERAGEIFS(AG2:AG85,$C2:$C85,"&gt;=10000",$C2:$C85,"&lt;=14999")</f>
        <v>22500</v>
      </c>
      <c r="AE95" s="125" t="e">
        <f>AVERAGEIFS(AE2:AE85,$C2:$C85,"&gt;=10000",$C2:$C85,"&lt;=14999")</f>
        <v>#DIV/0!</v>
      </c>
      <c r="AF95" s="125" t="e">
        <f>AVERAGEIFS(#REF!,$C2:$C85,"&gt;=10000",$C2:$C85,"&lt;=14999")</f>
        <v>#REF!</v>
      </c>
      <c r="AG95" s="125" t="e">
        <f>AVERAGEIFS(#REF!,$C2:$C85,"&gt;=10000",$C2:$C85,"&lt;=14999")</f>
        <v>#REF!</v>
      </c>
      <c r="AH95" s="125" t="e">
        <f t="shared" ref="AH95:BM95" si="125">AVERAGEIFS(AH2:AH85,$C2:$C85,"&gt;=10000",$C2:$C85,"&lt;=14999")</f>
        <v>#DIV/0!</v>
      </c>
      <c r="AI95" s="125">
        <f t="shared" si="125"/>
        <v>595794</v>
      </c>
      <c r="AJ95" s="110">
        <f t="shared" si="125"/>
        <v>46.697590755299018</v>
      </c>
      <c r="AK95" s="125">
        <f t="shared" si="125"/>
        <v>8590.3333333333339</v>
      </c>
      <c r="AL95" s="125">
        <f t="shared" si="125"/>
        <v>217.33333333333334</v>
      </c>
      <c r="AM95" s="125" t="e">
        <f t="shared" si="125"/>
        <v>#DIV/0!</v>
      </c>
      <c r="AN95" s="125">
        <f t="shared" si="125"/>
        <v>10780</v>
      </c>
      <c r="AO95" s="125">
        <f t="shared" si="125"/>
        <v>10780</v>
      </c>
      <c r="AP95" s="125">
        <f t="shared" si="125"/>
        <v>630812</v>
      </c>
      <c r="AQ95" s="110">
        <f t="shared" si="125"/>
        <v>49.199124552476881</v>
      </c>
      <c r="AR95" s="125" t="e">
        <f t="shared" si="125"/>
        <v>#DIV/0!</v>
      </c>
      <c r="AS95" s="125">
        <f t="shared" si="125"/>
        <v>43073</v>
      </c>
      <c r="AT95" s="125">
        <f t="shared" si="125"/>
        <v>0</v>
      </c>
      <c r="AU95" s="125">
        <f t="shared" si="125"/>
        <v>133333.33333333334</v>
      </c>
      <c r="AV95" s="125">
        <f t="shared" si="125"/>
        <v>0</v>
      </c>
      <c r="AW95" s="125" t="e">
        <f t="shared" si="125"/>
        <v>#DIV/0!</v>
      </c>
      <c r="AX95" s="125">
        <f t="shared" si="125"/>
        <v>0</v>
      </c>
      <c r="AY95" s="125">
        <f t="shared" si="125"/>
        <v>176406.33333333334</v>
      </c>
      <c r="AZ95" s="108">
        <f t="shared" si="125"/>
        <v>46445.333333333336</v>
      </c>
      <c r="BA95" s="109">
        <f t="shared" si="125"/>
        <v>3.5037137508209604</v>
      </c>
      <c r="BB95" s="108">
        <f t="shared" si="125"/>
        <v>1428</v>
      </c>
      <c r="BC95" s="108">
        <f t="shared" si="125"/>
        <v>37913.333333333336</v>
      </c>
      <c r="BD95" s="108">
        <f t="shared" si="125"/>
        <v>2676.3333333333335</v>
      </c>
      <c r="BE95" s="108">
        <f t="shared" si="125"/>
        <v>2499.6666666666665</v>
      </c>
      <c r="BF95" s="108">
        <f t="shared" si="125"/>
        <v>180491</v>
      </c>
      <c r="BG95" s="108">
        <f t="shared" si="125"/>
        <v>7</v>
      </c>
      <c r="BH95" s="108">
        <f t="shared" si="125"/>
        <v>89</v>
      </c>
      <c r="BI95" s="108">
        <f t="shared" si="125"/>
        <v>0</v>
      </c>
      <c r="BJ95" s="108">
        <f t="shared" si="125"/>
        <v>90</v>
      </c>
      <c r="BK95" s="108">
        <f t="shared" si="125"/>
        <v>276519.66666666669</v>
      </c>
      <c r="BL95" s="109">
        <f t="shared" si="125"/>
        <v>20.921143422885589</v>
      </c>
      <c r="BM95" s="108">
        <f t="shared" si="125"/>
        <v>59</v>
      </c>
      <c r="BN95" s="108">
        <f t="shared" ref="BN95:CH95" si="126">AVERAGEIFS(BN2:BN85,$C2:$C85,"&gt;=10000",$C2:$C85,"&lt;=14999")</f>
        <v>4470</v>
      </c>
      <c r="BO95" s="109">
        <f t="shared" si="126"/>
        <v>0.30716222656296638</v>
      </c>
      <c r="BP95" s="108">
        <f t="shared" si="126"/>
        <v>21243.666666666668</v>
      </c>
      <c r="BQ95" s="108">
        <f t="shared" si="126"/>
        <v>0</v>
      </c>
      <c r="BR95" s="360">
        <f t="shared" si="126"/>
        <v>42858.333333333336</v>
      </c>
      <c r="BS95" s="108">
        <f t="shared" si="126"/>
        <v>39086.666666666664</v>
      </c>
      <c r="BT95" s="108">
        <f t="shared" si="126"/>
        <v>81945</v>
      </c>
      <c r="BU95" s="109">
        <f t="shared" si="126"/>
        <v>6.0915854104182188</v>
      </c>
      <c r="BV95" s="108">
        <f t="shared" si="126"/>
        <v>9591.6308527230849</v>
      </c>
      <c r="BW95" s="109">
        <f t="shared" si="126"/>
        <v>24.442885395596175</v>
      </c>
      <c r="BX95" s="109">
        <f t="shared" si="126"/>
        <v>2.7427360347885057</v>
      </c>
      <c r="BY95" s="109">
        <f t="shared" si="126"/>
        <v>0.27027025205444516</v>
      </c>
      <c r="BZ95" s="108">
        <f t="shared" si="126"/>
        <v>27.666666666666668</v>
      </c>
      <c r="CA95" s="108">
        <f t="shared" si="126"/>
        <v>3.3333333333333335</v>
      </c>
      <c r="CB95" s="108">
        <f t="shared" si="126"/>
        <v>3</v>
      </c>
      <c r="CC95" s="108">
        <f t="shared" si="126"/>
        <v>34</v>
      </c>
      <c r="CD95" s="108">
        <f t="shared" si="126"/>
        <v>7988.666666666667</v>
      </c>
      <c r="CE95" s="108">
        <f t="shared" si="126"/>
        <v>30</v>
      </c>
      <c r="CF95" s="108">
        <f t="shared" si="126"/>
        <v>552</v>
      </c>
      <c r="CG95" s="108">
        <f t="shared" si="126"/>
        <v>8570.6666666666661</v>
      </c>
      <c r="CH95" s="109">
        <f t="shared" si="126"/>
        <v>0.61294886045075436</v>
      </c>
      <c r="CI95" s="108">
        <v>34077.107142857145</v>
      </c>
      <c r="CJ95" s="109">
        <f>AVERAGEIFS(CJ2:CJ85,$C2:$C85,"&gt;=10000",$C2:$C85,"&lt;=14999")</f>
        <v>1.9826535113618069</v>
      </c>
      <c r="CK95" s="108">
        <f>AVERAGEIFS(CK2:CK85,$C2:$C85,"&gt;=10000",$C2:$C85,"&lt;=14999")</f>
        <v>7678.5</v>
      </c>
      <c r="CL95" s="128">
        <f>COUNTIFS(CL2:CL85,"YES",$C2:$C85,"&gt;=10000",$C2:$C85,"&lt;=14999")</f>
        <v>3</v>
      </c>
      <c r="CM95" s="128">
        <f>COUNTIFS(CM2:CM85,"YES",$C2:$C85,"&gt;=10000",$C2:$C85,"&lt;=14999")</f>
        <v>3</v>
      </c>
      <c r="CN95" s="128">
        <f>COUNTIFS(CN2:CN85,"YES",$C2:$C85,"&gt;=10000",$C2:$C85,"&lt;=14999")</f>
        <v>3</v>
      </c>
      <c r="CO95" s="169">
        <f t="shared" ref="CO95:CW95" si="127">AVERAGEIFS(CO2:CO85,$C2:$C85,"&gt;=10000",$C2:$C85,"&lt;=14999")</f>
        <v>3</v>
      </c>
      <c r="CP95" s="108">
        <f t="shared" si="127"/>
        <v>5553.2857142857138</v>
      </c>
      <c r="CQ95" s="169">
        <f t="shared" si="127"/>
        <v>0</v>
      </c>
      <c r="CR95" s="169">
        <f t="shared" si="127"/>
        <v>4.0666666666666664</v>
      </c>
      <c r="CS95" s="169">
        <f t="shared" si="127"/>
        <v>7.0666666666666664</v>
      </c>
      <c r="CT95" s="108">
        <f t="shared" si="127"/>
        <v>2455.0367341243391</v>
      </c>
      <c r="CU95" s="108">
        <f t="shared" si="127"/>
        <v>15</v>
      </c>
      <c r="CV95" s="125">
        <f t="shared" si="127"/>
        <v>61963.666666666664</v>
      </c>
      <c r="CW95" s="109">
        <f t="shared" si="127"/>
        <v>40</v>
      </c>
      <c r="CX95" s="128">
        <f>COUNTIFS(CX2:CX85,"YES", $C2:$C85,"&gt;=10000",$C2:$C85,"&lt;=14999")</f>
        <v>3</v>
      </c>
      <c r="CY95" s="128">
        <f>COUNTIFS(CY2:CY85,"YES", $C2:$C85,"&gt;=10000",$C2:$C85,"&lt;=14999")</f>
        <v>3</v>
      </c>
      <c r="CZ95" s="108">
        <f t="shared" ref="CZ95:DL95" si="128">AVERAGEIFS(CZ2:CZ85,$C2:$C85,"&gt;=10000",$C2:$C85,"&lt;=14999")</f>
        <v>1536.3333333333333</v>
      </c>
      <c r="DA95" s="108">
        <f t="shared" si="128"/>
        <v>1365</v>
      </c>
      <c r="DB95" s="143">
        <f t="shared" si="128"/>
        <v>16</v>
      </c>
      <c r="DC95" s="108">
        <f t="shared" si="128"/>
        <v>2869</v>
      </c>
      <c r="DD95" s="108">
        <f t="shared" si="128"/>
        <v>9353.3333333333339</v>
      </c>
      <c r="DE95" s="108">
        <f t="shared" si="128"/>
        <v>24831.666666666668</v>
      </c>
      <c r="DF95" s="108">
        <f t="shared" si="128"/>
        <v>7833</v>
      </c>
      <c r="DG95" s="108">
        <f t="shared" si="128"/>
        <v>51.666666666666664</v>
      </c>
      <c r="DH95" s="108">
        <f t="shared" si="128"/>
        <v>0.59597885842254439</v>
      </c>
      <c r="DI95" s="108">
        <f t="shared" si="128"/>
        <v>46.666666666666664</v>
      </c>
      <c r="DJ95" s="108">
        <f t="shared" si="128"/>
        <v>46.666666666666664</v>
      </c>
      <c r="DK95" s="108">
        <f t="shared" si="128"/>
        <v>4157</v>
      </c>
      <c r="DL95" s="108">
        <f t="shared" si="128"/>
        <v>5830.333333333333</v>
      </c>
      <c r="DM95" s="129"/>
      <c r="DN95" s="127"/>
      <c r="DO95" s="107"/>
      <c r="DS95" s="109"/>
      <c r="DT95" s="114"/>
      <c r="DW95" s="109">
        <f t="shared" ref="DW95:EB95" si="129">AVERAGEIFS(DW2:DW83,$C2:$C83,"&gt;=10000",$C2:$C83,"&lt;=14999")</f>
        <v>1.5727971573933497</v>
      </c>
      <c r="DX95" s="109">
        <f t="shared" si="129"/>
        <v>0</v>
      </c>
      <c r="DY95" s="109">
        <f t="shared" si="129"/>
        <v>3.2224140509432684</v>
      </c>
      <c r="DZ95" s="186">
        <f t="shared" si="129"/>
        <v>2.8691713594749508</v>
      </c>
      <c r="EA95" s="202">
        <f t="shared" si="129"/>
        <v>0.94714491030855097</v>
      </c>
      <c r="EB95" s="202">
        <f t="shared" si="129"/>
        <v>1.0890947559025215</v>
      </c>
    </row>
    <row r="96" spans="1:132" ht="13.5" thickBot="1" x14ac:dyDescent="0.25">
      <c r="B96" s="88" t="s">
        <v>202</v>
      </c>
      <c r="C96" s="108">
        <f t="shared" ref="C96:AB96" si="130">AVERAGEIFS(C2:C85,$C2:$C85,"&gt;=15000",$C2:$C85,"&lt;=24999")</f>
        <v>21456.333333333332</v>
      </c>
      <c r="D96" s="108">
        <f t="shared" si="130"/>
        <v>1</v>
      </c>
      <c r="E96" s="108" t="e">
        <f t="shared" si="130"/>
        <v>#DIV/0!</v>
      </c>
      <c r="F96" s="108">
        <f t="shared" si="130"/>
        <v>16781.400000000001</v>
      </c>
      <c r="G96" s="32" t="e">
        <f t="shared" si="130"/>
        <v>#DIV/0!</v>
      </c>
      <c r="H96" s="108" t="e">
        <f t="shared" si="130"/>
        <v>#VALUE!</v>
      </c>
      <c r="I96" s="109">
        <f t="shared" si="130"/>
        <v>0.69425000000000014</v>
      </c>
      <c r="J96" s="125">
        <f t="shared" si="130"/>
        <v>292127.16666666669</v>
      </c>
      <c r="K96" s="125">
        <f t="shared" si="130"/>
        <v>94459.333333333328</v>
      </c>
      <c r="L96" s="125">
        <f t="shared" si="130"/>
        <v>386586.5</v>
      </c>
      <c r="M96" s="110">
        <f t="shared" si="130"/>
        <v>18.053672548366709</v>
      </c>
      <c r="N96" s="125">
        <f t="shared" si="130"/>
        <v>28184</v>
      </c>
      <c r="O96" s="125">
        <f t="shared" si="130"/>
        <v>6458.333333333333</v>
      </c>
      <c r="P96" s="125">
        <f t="shared" si="130"/>
        <v>4176.333333333333</v>
      </c>
      <c r="Q96" s="125">
        <f t="shared" si="130"/>
        <v>38818.666666666664</v>
      </c>
      <c r="R96" s="110">
        <f t="shared" si="130"/>
        <v>1.8131993541698337</v>
      </c>
      <c r="S96" s="125">
        <f t="shared" si="130"/>
        <v>90597.5</v>
      </c>
      <c r="T96" s="125">
        <f t="shared" si="130"/>
        <v>516002.66666666669</v>
      </c>
      <c r="U96" s="125">
        <f t="shared" si="130"/>
        <v>0</v>
      </c>
      <c r="V96" s="125">
        <f t="shared" si="130"/>
        <v>516002.66666666669</v>
      </c>
      <c r="W96" s="110">
        <f t="shared" si="130"/>
        <v>24.19598513448409</v>
      </c>
      <c r="X96" s="126">
        <f t="shared" si="130"/>
        <v>0.74817509174030061</v>
      </c>
      <c r="Y96" s="126">
        <f t="shared" si="130"/>
        <v>7.2963176390823323E-2</v>
      </c>
      <c r="Z96" s="126">
        <f t="shared" si="130"/>
        <v>0.17886173186887602</v>
      </c>
      <c r="AA96" s="126">
        <f t="shared" si="130"/>
        <v>0</v>
      </c>
      <c r="AB96" s="125">
        <f t="shared" si="130"/>
        <v>862</v>
      </c>
      <c r="AC96" s="125">
        <f>AVERAGEIFS(AF2:AF85,$C2:$C85,"&gt;=15000",$C2:$C85,"&lt;=24999")</f>
        <v>145279.5</v>
      </c>
      <c r="AD96" s="125">
        <f>AVERAGEIFS(AG2:AG85,$C2:$C85,"&gt;=15000",$C2:$C85,"&lt;=24999")</f>
        <v>290993.16666666669</v>
      </c>
      <c r="AE96" s="125" t="e">
        <f>AVERAGEIFS(AE2:AE85,$C2:$C85,"&gt;=15000",$C2:$C85,"&lt;=24999")</f>
        <v>#DIV/0!</v>
      </c>
      <c r="AF96" s="125" t="e">
        <f>AVERAGEIFS(#REF!,$C2:$C85,"&gt;=15000",$C2:$C85,"&lt;=24999")</f>
        <v>#REF!</v>
      </c>
      <c r="AG96" s="125" t="e">
        <f>AVERAGEIFS(#REF!,$C2:$C85,"&gt;=15000",$C2:$C85,"&lt;=24999")</f>
        <v>#REF!</v>
      </c>
      <c r="AH96" s="125" t="e">
        <f t="shared" ref="AH96:BM96" si="131">AVERAGEIFS(AH2:AH85,$C2:$C85,"&gt;=15000",$C2:$C85,"&lt;=24999")</f>
        <v>#DIV/0!</v>
      </c>
      <c r="AI96" s="125">
        <f t="shared" si="131"/>
        <v>436272.66666666669</v>
      </c>
      <c r="AJ96" s="110">
        <f t="shared" si="131"/>
        <v>19.931013296881275</v>
      </c>
      <c r="AK96" s="125">
        <f t="shared" si="131"/>
        <v>57661.833333333336</v>
      </c>
      <c r="AL96" s="125">
        <f t="shared" si="131"/>
        <v>23669.166666666668</v>
      </c>
      <c r="AM96" s="125" t="e">
        <f t="shared" si="131"/>
        <v>#DIV/0!</v>
      </c>
      <c r="AN96" s="125">
        <f t="shared" si="131"/>
        <v>55216</v>
      </c>
      <c r="AO96" s="125">
        <f t="shared" si="131"/>
        <v>55216</v>
      </c>
      <c r="AP96" s="125">
        <f t="shared" si="131"/>
        <v>554789.66666666663</v>
      </c>
      <c r="AQ96" s="110">
        <f t="shared" si="131"/>
        <v>25.818090726502287</v>
      </c>
      <c r="AR96" s="125" t="e">
        <f t="shared" si="131"/>
        <v>#DIV/0!</v>
      </c>
      <c r="AS96" s="125">
        <f t="shared" si="131"/>
        <v>165920.16666666666</v>
      </c>
      <c r="AT96" s="125">
        <f t="shared" si="131"/>
        <v>0</v>
      </c>
      <c r="AU96" s="125">
        <f t="shared" si="131"/>
        <v>0</v>
      </c>
      <c r="AV96" s="125">
        <f t="shared" si="131"/>
        <v>0</v>
      </c>
      <c r="AW96" s="125" t="e">
        <f t="shared" si="131"/>
        <v>#DIV/0!</v>
      </c>
      <c r="AX96" s="125">
        <f t="shared" si="131"/>
        <v>0</v>
      </c>
      <c r="AY96" s="125">
        <f t="shared" si="131"/>
        <v>165920.16666666666</v>
      </c>
      <c r="AZ96" s="108">
        <f t="shared" si="131"/>
        <v>34475.833333333336</v>
      </c>
      <c r="BA96" s="109">
        <f t="shared" si="131"/>
        <v>1.5794864358837566</v>
      </c>
      <c r="BB96" s="108">
        <f t="shared" si="131"/>
        <v>1962.8333333333333</v>
      </c>
      <c r="BC96" s="108">
        <f t="shared" si="131"/>
        <v>32980.833333333336</v>
      </c>
      <c r="BD96" s="108">
        <f t="shared" si="131"/>
        <v>3171.6666666666665</v>
      </c>
      <c r="BE96" s="108">
        <f t="shared" si="131"/>
        <v>2421.3333333333335</v>
      </c>
      <c r="BF96" s="108">
        <f t="shared" si="131"/>
        <v>156019.5</v>
      </c>
      <c r="BG96" s="108">
        <f t="shared" si="131"/>
        <v>7.333333333333333</v>
      </c>
      <c r="BH96" s="108">
        <f t="shared" si="131"/>
        <v>89</v>
      </c>
      <c r="BI96" s="108">
        <f t="shared" si="131"/>
        <v>0</v>
      </c>
      <c r="BJ96" s="108">
        <f t="shared" si="131"/>
        <v>86.5</v>
      </c>
      <c r="BK96" s="108">
        <f t="shared" si="131"/>
        <v>234345.66666666666</v>
      </c>
      <c r="BL96" s="109">
        <f t="shared" si="131"/>
        <v>10.826480092460869</v>
      </c>
      <c r="BM96" s="108">
        <f t="shared" si="131"/>
        <v>28.5</v>
      </c>
      <c r="BN96" s="108">
        <f t="shared" ref="BN96:CH96" si="132">AVERAGEIFS(BN2:BN85,$C2:$C85,"&gt;=15000",$C2:$C85,"&lt;=24999")</f>
        <v>4488.833333333333</v>
      </c>
      <c r="BO96" s="109">
        <f t="shared" si="132"/>
        <v>0.20719128653220853</v>
      </c>
      <c r="BP96" s="108">
        <f t="shared" si="132"/>
        <v>19039.833333333332</v>
      </c>
      <c r="BQ96" s="108">
        <f t="shared" si="132"/>
        <v>0</v>
      </c>
      <c r="BR96" s="360">
        <f t="shared" si="132"/>
        <v>49266</v>
      </c>
      <c r="BS96" s="108">
        <f t="shared" si="132"/>
        <v>37533.5</v>
      </c>
      <c r="BT96" s="108">
        <f t="shared" si="132"/>
        <v>86799.5</v>
      </c>
      <c r="BU96" s="109">
        <f t="shared" si="132"/>
        <v>4.0582874774771724</v>
      </c>
      <c r="BV96" s="108">
        <f t="shared" si="132"/>
        <v>9903.1894781641095</v>
      </c>
      <c r="BW96" s="109">
        <f t="shared" si="132"/>
        <v>20.369326135674147</v>
      </c>
      <c r="BX96" s="109">
        <f t="shared" si="132"/>
        <v>8.0544084815099133</v>
      </c>
      <c r="BY96" s="109">
        <f t="shared" si="132"/>
        <v>0.36725827202147804</v>
      </c>
      <c r="BZ96" s="108">
        <f t="shared" si="132"/>
        <v>15.5</v>
      </c>
      <c r="CA96" s="108">
        <f t="shared" si="132"/>
        <v>13.833333333333334</v>
      </c>
      <c r="CB96" s="108">
        <f t="shared" si="132"/>
        <v>16.666666666666668</v>
      </c>
      <c r="CC96" s="108">
        <f t="shared" si="132"/>
        <v>46</v>
      </c>
      <c r="CD96" s="108">
        <f t="shared" si="132"/>
        <v>852.83333333333337</v>
      </c>
      <c r="CE96" s="108">
        <f t="shared" si="132"/>
        <v>140</v>
      </c>
      <c r="CF96" s="108">
        <f t="shared" si="132"/>
        <v>292.5</v>
      </c>
      <c r="CG96" s="108">
        <f t="shared" si="132"/>
        <v>1285.3333333333333</v>
      </c>
      <c r="CH96" s="109">
        <f t="shared" si="132"/>
        <v>6.0340702474975007E-2</v>
      </c>
      <c r="CI96" s="108">
        <v>66540.372881355928</v>
      </c>
      <c r="CJ96" s="109">
        <f>AVERAGEIFS(CJ2:CJ85,$C2:$C85,"&gt;=15000",$C2:$C85,"&lt;=24999")</f>
        <v>1.1015909591370183</v>
      </c>
      <c r="CK96" s="108">
        <f>AVERAGEIFS(CK2:CK85,$C2:$C85,"&gt;=15000",$C2:$C85,"&lt;=24999")</f>
        <v>7403.5</v>
      </c>
      <c r="CL96" s="128">
        <f>COUNTIFS(CL2:CL85,"YES",$C2:$C85,"&gt;=15000",$C2:$C85,"&lt;=24999")</f>
        <v>6</v>
      </c>
      <c r="CM96" s="128">
        <f>COUNTIFS(CM2:CM85,"YES",$C2:$C85,"&gt;=15000",$C2:$C85,"&lt;=24999")</f>
        <v>6</v>
      </c>
      <c r="CN96" s="128">
        <f>COUNTIFS(CN2:CN85,"YES",$C2:$C85,"&gt;=15000",$C2:$C85,"&lt;=24999")</f>
        <v>6</v>
      </c>
      <c r="CO96" s="169">
        <f t="shared" ref="CO96:CW96" si="133">AVERAGEIFS(CO2:CO85,$C2:$C85,"&gt;=15000",$C2:$C85,"&lt;=24999")</f>
        <v>1.7566666666666668</v>
      </c>
      <c r="CP96" s="108">
        <f t="shared" si="133"/>
        <v>6225.833333333333</v>
      </c>
      <c r="CQ96" s="169">
        <f t="shared" si="133"/>
        <v>0</v>
      </c>
      <c r="CR96" s="169">
        <f t="shared" si="133"/>
        <v>6.5083333333333329</v>
      </c>
      <c r="CS96" s="169">
        <f t="shared" si="133"/>
        <v>8.2650000000000006</v>
      </c>
      <c r="CT96" s="108">
        <f t="shared" si="133"/>
        <v>2759.2886849886218</v>
      </c>
      <c r="CU96" s="108">
        <f t="shared" si="133"/>
        <v>666.5</v>
      </c>
      <c r="CV96" s="125">
        <f t="shared" si="133"/>
        <v>69654.5</v>
      </c>
      <c r="CW96" s="109">
        <f t="shared" si="133"/>
        <v>38.199999999999996</v>
      </c>
      <c r="CX96" s="128">
        <f>COUNTIFS(CX2:CX85,"YES", $C2:$C85,"&gt;=15000",$C2:$C85,"&lt;=24999")</f>
        <v>6</v>
      </c>
      <c r="CY96" s="128">
        <f>COUNTIFS(CY2:CY85,"YES", $C2:$C85,"&gt;=15000",$C2:$C85,"&lt;=24999")</f>
        <v>6</v>
      </c>
      <c r="CZ96" s="108">
        <f t="shared" ref="CZ96:DL96" si="134">AVERAGEIFS(CZ2:CZ85,$C2:$C85,"&gt;=15000",$C2:$C85,"&lt;=24999")</f>
        <v>2945.3333333333335</v>
      </c>
      <c r="DA96" s="108">
        <f t="shared" si="134"/>
        <v>3348.5</v>
      </c>
      <c r="DB96" s="143">
        <f t="shared" si="134"/>
        <v>23.5</v>
      </c>
      <c r="DC96" s="108">
        <f t="shared" si="134"/>
        <v>2300.6666666666665</v>
      </c>
      <c r="DD96" s="108">
        <f t="shared" si="134"/>
        <v>12986.333333333334</v>
      </c>
      <c r="DE96" s="108">
        <f t="shared" si="134"/>
        <v>59031.333333333336</v>
      </c>
      <c r="DF96" s="108">
        <f t="shared" si="134"/>
        <v>13036.166666666666</v>
      </c>
      <c r="DG96" s="108">
        <f t="shared" si="134"/>
        <v>50.666666666666664</v>
      </c>
      <c r="DH96" s="108">
        <f t="shared" si="134"/>
        <v>0.64837222861196908</v>
      </c>
      <c r="DI96" s="108">
        <f t="shared" si="134"/>
        <v>42</v>
      </c>
      <c r="DJ96" s="108">
        <f t="shared" si="134"/>
        <v>42</v>
      </c>
      <c r="DK96" s="108" t="e">
        <f t="shared" si="134"/>
        <v>#DIV/0!</v>
      </c>
      <c r="DL96" s="108">
        <f t="shared" si="134"/>
        <v>9975.1666666666661</v>
      </c>
      <c r="DM96" s="129"/>
      <c r="DN96" s="127"/>
      <c r="DO96" s="107"/>
      <c r="DS96" s="109"/>
      <c r="DT96" s="114"/>
      <c r="DW96" s="109">
        <f t="shared" ref="DW96:EB96" si="135">AVERAGEIFS(DW2:DW83,$C2:$C83,"&gt;=15000",$C2:$C83,"&lt;=24999")</f>
        <v>0.85832134308951968</v>
      </c>
      <c r="DX96" s="109">
        <f t="shared" si="135"/>
        <v>0</v>
      </c>
      <c r="DY96" s="109">
        <f t="shared" si="135"/>
        <v>2.2672200673413099</v>
      </c>
      <c r="DZ96" s="186">
        <f t="shared" si="135"/>
        <v>1.7910674101358621</v>
      </c>
      <c r="EA96" s="202">
        <f t="shared" si="135"/>
        <v>0.75468285016558401</v>
      </c>
      <c r="EB96" s="202">
        <f t="shared" si="135"/>
        <v>0.36737494886775773</v>
      </c>
    </row>
    <row r="97" spans="1:132" ht="13.5" thickBot="1" x14ac:dyDescent="0.25">
      <c r="B97" s="88" t="s">
        <v>203</v>
      </c>
      <c r="C97" s="108">
        <f t="shared" ref="C97:AB97" si="136">AVERAGEIFS(C2:C85,$C2:$C85,"&gt;=25000",$C2:$C85,"&lt;=49999")</f>
        <v>41029.384615384617</v>
      </c>
      <c r="D97" s="108">
        <f t="shared" si="136"/>
        <v>2.6666666666666665</v>
      </c>
      <c r="E97" s="108">
        <f t="shared" si="136"/>
        <v>1</v>
      </c>
      <c r="F97" s="108">
        <f t="shared" si="136"/>
        <v>26955.307692307691</v>
      </c>
      <c r="G97" s="32" t="e">
        <f t="shared" si="136"/>
        <v>#DIV/0!</v>
      </c>
      <c r="H97" s="108">
        <f t="shared" si="136"/>
        <v>26955.307692307691</v>
      </c>
      <c r="I97" s="109">
        <f t="shared" si="136"/>
        <v>0.64216000000000006</v>
      </c>
      <c r="J97" s="125">
        <f t="shared" si="136"/>
        <v>526471.69230769225</v>
      </c>
      <c r="K97" s="125">
        <f t="shared" si="136"/>
        <v>201483.92307692306</v>
      </c>
      <c r="L97" s="125">
        <f t="shared" si="136"/>
        <v>727955.61538461538</v>
      </c>
      <c r="M97" s="110">
        <f t="shared" si="136"/>
        <v>17.828098307913407</v>
      </c>
      <c r="N97" s="125">
        <f t="shared" si="136"/>
        <v>62648.615384615383</v>
      </c>
      <c r="O97" s="125">
        <f t="shared" si="136"/>
        <v>24743</v>
      </c>
      <c r="P97" s="125">
        <f t="shared" si="136"/>
        <v>16069.461538461539</v>
      </c>
      <c r="Q97" s="125">
        <f t="shared" si="136"/>
        <v>103461.07692307692</v>
      </c>
      <c r="R97" s="110">
        <f t="shared" si="136"/>
        <v>2.5005616666633665</v>
      </c>
      <c r="S97" s="125">
        <f t="shared" si="136"/>
        <v>161776.30769230769</v>
      </c>
      <c r="T97" s="125">
        <f t="shared" si="136"/>
        <v>993193</v>
      </c>
      <c r="U97" s="125">
        <f t="shared" si="136"/>
        <v>0</v>
      </c>
      <c r="V97" s="125">
        <f t="shared" si="136"/>
        <v>993193</v>
      </c>
      <c r="W97" s="110">
        <f t="shared" si="136"/>
        <v>24.099431121228825</v>
      </c>
      <c r="X97" s="126">
        <f t="shared" si="136"/>
        <v>0.75071079047917322</v>
      </c>
      <c r="Y97" s="126">
        <f t="shared" si="136"/>
        <v>9.7355815505302645E-2</v>
      </c>
      <c r="Z97" s="126">
        <f t="shared" si="136"/>
        <v>0.15193339401552414</v>
      </c>
      <c r="AA97" s="126">
        <f t="shared" si="136"/>
        <v>0</v>
      </c>
      <c r="AB97" s="125">
        <f t="shared" si="136"/>
        <v>39485.230769230766</v>
      </c>
      <c r="AC97" s="125">
        <f>AVERAGEIFS(AF2:AF85,$C2:$C85,"&gt;=25000",$C2:$C85,"&lt;=49999")</f>
        <v>279626.15384615387</v>
      </c>
      <c r="AD97" s="125">
        <f>AVERAGEIFS(AG2:AG85,$C2:$C85,"&gt;=25000",$C2:$C85,"&lt;=49999")</f>
        <v>663208.15384615387</v>
      </c>
      <c r="AE97" s="125" t="e">
        <f>AVERAGEIFS(AE2:AE85,$C2:$C85,"&gt;=25000",$C2:$C85,"&lt;=49999")</f>
        <v>#DIV/0!</v>
      </c>
      <c r="AF97" s="125" t="e">
        <f>AVERAGEIFS(#REF!,$C2:$C85,"&gt;=25000",$C2:$C85,"&lt;=49999")</f>
        <v>#REF!</v>
      </c>
      <c r="AG97" s="125" t="e">
        <f>AVERAGEIFS(#REF!,$C2:$C85,"&gt;=25000",$C2:$C85,"&lt;=49999")</f>
        <v>#REF!</v>
      </c>
      <c r="AH97" s="125" t="e">
        <f t="shared" ref="AH97:BM97" si="137">AVERAGEIFS(AH2:AH85,$C2:$C85,"&gt;=25000",$C2:$C85,"&lt;=49999")</f>
        <v>#DIV/0!</v>
      </c>
      <c r="AI97" s="125">
        <f t="shared" si="137"/>
        <v>942834.30769230775</v>
      </c>
      <c r="AJ97" s="110">
        <f t="shared" si="137"/>
        <v>22.976747263696016</v>
      </c>
      <c r="AK97" s="125">
        <f t="shared" si="137"/>
        <v>120317.15384615384</v>
      </c>
      <c r="AL97" s="125">
        <f t="shared" si="137"/>
        <v>24696.076923076922</v>
      </c>
      <c r="AM97" s="125" t="e">
        <f t="shared" si="137"/>
        <v>#DIV/0!</v>
      </c>
      <c r="AN97" s="125">
        <f t="shared" si="137"/>
        <v>19554.384615384617</v>
      </c>
      <c r="AO97" s="125">
        <f t="shared" si="137"/>
        <v>19554.384615384617</v>
      </c>
      <c r="AP97" s="125">
        <f t="shared" si="137"/>
        <v>1092808.3846153845</v>
      </c>
      <c r="AQ97" s="110">
        <f t="shared" si="137"/>
        <v>26.530286619256305</v>
      </c>
      <c r="AR97" s="125" t="e">
        <f t="shared" si="137"/>
        <v>#DIV/0!</v>
      </c>
      <c r="AS97" s="125">
        <f t="shared" si="137"/>
        <v>10238.076923076924</v>
      </c>
      <c r="AT97" s="125">
        <f t="shared" si="137"/>
        <v>0</v>
      </c>
      <c r="AU97" s="125">
        <f t="shared" si="137"/>
        <v>0</v>
      </c>
      <c r="AV97" s="125">
        <f t="shared" si="137"/>
        <v>0</v>
      </c>
      <c r="AW97" s="125" t="e">
        <f t="shared" si="137"/>
        <v>#DIV/0!</v>
      </c>
      <c r="AX97" s="125">
        <f t="shared" si="137"/>
        <v>0</v>
      </c>
      <c r="AY97" s="125">
        <f t="shared" si="137"/>
        <v>10238.076923076924</v>
      </c>
      <c r="AZ97" s="108">
        <f t="shared" si="137"/>
        <v>81559.38461538461</v>
      </c>
      <c r="BA97" s="109">
        <f t="shared" si="137"/>
        <v>1.9778845287815965</v>
      </c>
      <c r="BB97" s="108">
        <f t="shared" si="137"/>
        <v>4108.0769230769229</v>
      </c>
      <c r="BC97" s="108">
        <f t="shared" si="137"/>
        <v>34561</v>
      </c>
      <c r="BD97" s="108">
        <f t="shared" si="137"/>
        <v>6381.7692307692305</v>
      </c>
      <c r="BE97" s="108">
        <f t="shared" si="137"/>
        <v>2592.5384615384614</v>
      </c>
      <c r="BF97" s="108">
        <f t="shared" si="137"/>
        <v>168218</v>
      </c>
      <c r="BG97" s="108">
        <f t="shared" si="137"/>
        <v>6.1538461538461542</v>
      </c>
      <c r="BH97" s="108">
        <f t="shared" si="137"/>
        <v>89</v>
      </c>
      <c r="BI97" s="108">
        <f t="shared" si="137"/>
        <v>0</v>
      </c>
      <c r="BJ97" s="108">
        <f t="shared" si="137"/>
        <v>91.07692307692308</v>
      </c>
      <c r="BK97" s="108">
        <f t="shared" si="137"/>
        <v>300887</v>
      </c>
      <c r="BL97" s="109">
        <f t="shared" si="137"/>
        <v>7.3860499750379542</v>
      </c>
      <c r="BM97" s="108">
        <f t="shared" si="137"/>
        <v>56.769230769230766</v>
      </c>
      <c r="BN97" s="108">
        <f t="shared" ref="BN97:CH97" si="138">AVERAGEIFS(BN2:BN85,$C2:$C85,"&gt;=25000",$C2:$C85,"&lt;=49999")</f>
        <v>13955.692307692309</v>
      </c>
      <c r="BO97" s="109">
        <f t="shared" si="138"/>
        <v>0.33055561317480525</v>
      </c>
      <c r="BP97" s="108">
        <f t="shared" si="138"/>
        <v>46448.076923076922</v>
      </c>
      <c r="BQ97" s="108">
        <f t="shared" si="138"/>
        <v>0</v>
      </c>
      <c r="BR97" s="360">
        <f t="shared" si="138"/>
        <v>97781.461538461532</v>
      </c>
      <c r="BS97" s="108">
        <f t="shared" si="138"/>
        <v>46711.384615384617</v>
      </c>
      <c r="BT97" s="108">
        <f t="shared" si="138"/>
        <v>144492.84615384616</v>
      </c>
      <c r="BU97" s="109">
        <f t="shared" si="138"/>
        <v>3.5409951021090387</v>
      </c>
      <c r="BV97" s="108">
        <f t="shared" si="138"/>
        <v>9406.0811315991177</v>
      </c>
      <c r="BW97" s="109">
        <f t="shared" si="138"/>
        <v>25.470673046986668</v>
      </c>
      <c r="BX97" s="109">
        <f t="shared" si="138"/>
        <v>2.8708889048109896</v>
      </c>
      <c r="BY97" s="109">
        <f t="shared" si="138"/>
        <v>0.42893949090370886</v>
      </c>
      <c r="BZ97" s="108">
        <f t="shared" si="138"/>
        <v>64</v>
      </c>
      <c r="CA97" s="108">
        <f t="shared" si="138"/>
        <v>3.5384615384615383</v>
      </c>
      <c r="CB97" s="108">
        <f t="shared" si="138"/>
        <v>18.153846153846153</v>
      </c>
      <c r="CC97" s="108">
        <f t="shared" si="138"/>
        <v>85.692307692307693</v>
      </c>
      <c r="CD97" s="108">
        <f t="shared" si="138"/>
        <v>2624.8461538461538</v>
      </c>
      <c r="CE97" s="108">
        <f t="shared" si="138"/>
        <v>56.92307692307692</v>
      </c>
      <c r="CF97" s="108">
        <f t="shared" si="138"/>
        <v>2627.6153846153848</v>
      </c>
      <c r="CG97" s="108">
        <f t="shared" si="138"/>
        <v>5309.3846153846152</v>
      </c>
      <c r="CH97" s="109">
        <f t="shared" si="138"/>
        <v>0.12166725041171468</v>
      </c>
      <c r="CI97" s="108">
        <v>112978.432855821</v>
      </c>
      <c r="CJ97" s="109">
        <f>AVERAGEIFS(CJ2:CJ85,$C2:$C85,"&gt;=25000",$C2:$C85,"&lt;=49999")</f>
        <v>1.2414244512436901</v>
      </c>
      <c r="CK97" s="108">
        <f>AVERAGEIFS(CK2:CK85,$C2:$C85,"&gt;=25000",$C2:$C85,"&lt;=49999")</f>
        <v>19342.076923076922</v>
      </c>
      <c r="CL97" s="128">
        <f>COUNTIFS(CL2:CL85,"YES",$C2:$C85,"&gt;=25000",$C2:$C85,"&lt;=49999")</f>
        <v>13</v>
      </c>
      <c r="CM97" s="128">
        <f>COUNTIFS(CM2:CM85,"YES",$C2:$C85,"&gt;=25000",$C2:$C85,"&lt;=49999")</f>
        <v>13</v>
      </c>
      <c r="CN97" s="128">
        <f>COUNTIFS(CN2:CN85,"YES",$C2:$C85,"&gt;=25000",$C2:$C85,"&lt;=49999")</f>
        <v>13</v>
      </c>
      <c r="CO97" s="169">
        <f t="shared" ref="CO97:CW97" si="139">AVERAGEIFS(CO2:CO85,$C2:$C85,"&gt;=25000",$C2:$C85,"&lt;=49999")</f>
        <v>3.5961538461538463</v>
      </c>
      <c r="CP97" s="108">
        <f t="shared" si="139"/>
        <v>7661.9175942450056</v>
      </c>
      <c r="CQ97" s="169">
        <f t="shared" si="139"/>
        <v>0.28846153846153844</v>
      </c>
      <c r="CR97" s="169">
        <f t="shared" si="139"/>
        <v>10.463846153846154</v>
      </c>
      <c r="CS97" s="169">
        <f t="shared" si="139"/>
        <v>14.348461538461541</v>
      </c>
      <c r="CT97" s="108">
        <f t="shared" si="139"/>
        <v>3494.0855135126039</v>
      </c>
      <c r="CU97" s="108">
        <f t="shared" si="139"/>
        <v>170.84615384615384</v>
      </c>
      <c r="CV97" s="125">
        <f t="shared" si="139"/>
        <v>69070.153846153844</v>
      </c>
      <c r="CW97" s="109">
        <f t="shared" si="139"/>
        <v>36.53846153846154</v>
      </c>
      <c r="CX97" s="128">
        <f>COUNTIFS(CX2:CX85,"YES", $C2:$C85,"&gt;=25000",$C2:$C85,"&lt;=49999")</f>
        <v>13</v>
      </c>
      <c r="CY97" s="128">
        <f>COUNTIFS(CY2:CY85,"YES", $C2:$C85,"&gt;=25000",$C2:$C85,"&lt;=49999")</f>
        <v>13</v>
      </c>
      <c r="CZ97" s="108">
        <f t="shared" ref="CZ97:DL97" si="140">AVERAGEIFS(CZ2:CZ85,$C2:$C85,"&gt;=25000",$C2:$C85,"&lt;=49999")</f>
        <v>3894.5384615384614</v>
      </c>
      <c r="DA97" s="108">
        <f t="shared" si="140"/>
        <v>2580.9230769230771</v>
      </c>
      <c r="DB97" s="143">
        <f t="shared" si="140"/>
        <v>35.846153846153847</v>
      </c>
      <c r="DC97" s="108">
        <f t="shared" si="140"/>
        <v>4964</v>
      </c>
      <c r="DD97" s="108">
        <f t="shared" si="140"/>
        <v>6574.833333333333</v>
      </c>
      <c r="DE97" s="108">
        <f t="shared" si="140"/>
        <v>18454</v>
      </c>
      <c r="DF97" s="108">
        <f t="shared" si="140"/>
        <v>12481.461538461539</v>
      </c>
      <c r="DG97" s="108">
        <f t="shared" si="140"/>
        <v>49.92307692307692</v>
      </c>
      <c r="DH97" s="108">
        <f t="shared" si="140"/>
        <v>0.31749413662017317</v>
      </c>
      <c r="DI97" s="108">
        <f t="shared" si="140"/>
        <v>43.53846153846154</v>
      </c>
      <c r="DJ97" s="108">
        <f t="shared" si="140"/>
        <v>43.53846153846154</v>
      </c>
      <c r="DK97" s="108">
        <f t="shared" si="140"/>
        <v>2700</v>
      </c>
      <c r="DL97" s="108">
        <f t="shared" si="140"/>
        <v>9329</v>
      </c>
      <c r="DM97" s="129"/>
      <c r="DN97" s="127"/>
      <c r="DO97" s="107"/>
      <c r="DS97" s="109"/>
      <c r="DT97" s="114"/>
      <c r="DW97" s="109">
        <f t="shared" ref="DW97:EB97" si="141">AVERAGEIFS(DW2:DW83,$C2:$C83,"&gt;=25000",$C2:$C83,"&lt;=49999")</f>
        <v>1.136520092808665</v>
      </c>
      <c r="DX97" s="109">
        <f t="shared" si="141"/>
        <v>0</v>
      </c>
      <c r="DY97" s="109">
        <f t="shared" si="141"/>
        <v>2.3983116393453305</v>
      </c>
      <c r="DZ97" s="186">
        <f t="shared" si="141"/>
        <v>1.142683462763709</v>
      </c>
      <c r="EA97" s="202">
        <f t="shared" si="141"/>
        <v>0.56590773644938053</v>
      </c>
      <c r="EB97" s="202">
        <f t="shared" si="141"/>
        <v>0.59157858702655686</v>
      </c>
    </row>
    <row r="98" spans="1:132" ht="13.5" thickBot="1" x14ac:dyDescent="0.25">
      <c r="B98" s="88" t="s">
        <v>204</v>
      </c>
      <c r="C98" s="108">
        <f t="shared" ref="C98:AB98" si="142">AVERAGEIFS(C2:C85,$C2:$C85,"&gt;=50000",$C2:$C85,"&lt;=99999")</f>
        <v>73181.814814814818</v>
      </c>
      <c r="D98" s="108">
        <f t="shared" si="142"/>
        <v>3.35</v>
      </c>
      <c r="E98" s="108">
        <f t="shared" si="142"/>
        <v>1</v>
      </c>
      <c r="F98" s="108">
        <f t="shared" si="142"/>
        <v>35689.814814814818</v>
      </c>
      <c r="G98" s="32" t="e">
        <f t="shared" si="142"/>
        <v>#DIV/0!</v>
      </c>
      <c r="H98" s="108">
        <f t="shared" si="142"/>
        <v>34992.769230769234</v>
      </c>
      <c r="I98" s="109">
        <f t="shared" si="142"/>
        <v>0.57149269230769228</v>
      </c>
      <c r="J98" s="125">
        <f t="shared" si="142"/>
        <v>756613.70370370371</v>
      </c>
      <c r="K98" s="125">
        <f t="shared" si="142"/>
        <v>296581.37037037039</v>
      </c>
      <c r="L98" s="125">
        <f t="shared" si="142"/>
        <v>1041113.4230769231</v>
      </c>
      <c r="M98" s="110">
        <f t="shared" si="142"/>
        <v>14.064456837479367</v>
      </c>
      <c r="N98" s="125">
        <f t="shared" si="142"/>
        <v>95768.037037037036</v>
      </c>
      <c r="O98" s="125">
        <f t="shared" si="142"/>
        <v>25520.703703703704</v>
      </c>
      <c r="P98" s="125">
        <f t="shared" si="142"/>
        <v>12848</v>
      </c>
      <c r="Q98" s="125">
        <f t="shared" si="142"/>
        <v>134136.74074074073</v>
      </c>
      <c r="R98" s="110">
        <f t="shared" si="142"/>
        <v>1.8055865911154216</v>
      </c>
      <c r="S98" s="125">
        <f t="shared" si="142"/>
        <v>266210.22222222225</v>
      </c>
      <c r="T98" s="125">
        <f t="shared" si="142"/>
        <v>1453542.0370370371</v>
      </c>
      <c r="U98" s="125">
        <f t="shared" si="142"/>
        <v>1406.6153846153845</v>
      </c>
      <c r="V98" s="125">
        <f t="shared" si="142"/>
        <v>1453542.0370370371</v>
      </c>
      <c r="W98" s="110">
        <f t="shared" si="142"/>
        <v>19.331603795134228</v>
      </c>
      <c r="X98" s="126">
        <f t="shared" si="142"/>
        <v>0.72397457733760062</v>
      </c>
      <c r="Y98" s="126">
        <f t="shared" si="142"/>
        <v>9.8102218466449523E-2</v>
      </c>
      <c r="Z98" s="126">
        <f t="shared" si="142"/>
        <v>0.17792320419594981</v>
      </c>
      <c r="AA98" s="126">
        <f t="shared" si="142"/>
        <v>1.0189004135351398E-3</v>
      </c>
      <c r="AB98" s="125">
        <f t="shared" si="142"/>
        <v>36534.666666666664</v>
      </c>
      <c r="AC98" s="125">
        <f>AVERAGEIFS(AF2:AF85,$C2:$C85,"&gt;=50000",$C2:$C85,"&lt;=99999")</f>
        <v>158034.22222222222</v>
      </c>
      <c r="AD98" s="125">
        <f>AVERAGEIFS(AG2:AG85,$C2:$C85,"&gt;=50000",$C2:$C85,"&lt;=99999")</f>
        <v>1146609.7407407407</v>
      </c>
      <c r="AE98" s="125" t="e">
        <f>AVERAGEIFS(AE2:AE85,$C2:$C85,"&gt;=50000",$C2:$C85,"&lt;=99999")</f>
        <v>#DIV/0!</v>
      </c>
      <c r="AF98" s="125" t="e">
        <f>AVERAGEIFS(#REF!,$C2:$C85,"&gt;=50000",$C2:$C85,"&lt;=99999")</f>
        <v>#REF!</v>
      </c>
      <c r="AG98" s="125" t="e">
        <f>AVERAGEIFS(#REF!,$C2:$C85,"&gt;=50000",$C2:$C85,"&lt;=99999")</f>
        <v>#REF!</v>
      </c>
      <c r="AH98" s="125" t="e">
        <f t="shared" ref="AH98:BM98" si="143">AVERAGEIFS(AH2:AH85,$C2:$C85,"&gt;=50000",$C2:$C85,"&lt;=99999")</f>
        <v>#DIV/0!</v>
      </c>
      <c r="AI98" s="125">
        <f t="shared" si="143"/>
        <v>1283534.7307692308</v>
      </c>
      <c r="AJ98" s="110">
        <f t="shared" si="143"/>
        <v>17.441362751194301</v>
      </c>
      <c r="AK98" s="125">
        <f t="shared" si="143"/>
        <v>155633.33333333334</v>
      </c>
      <c r="AL98" s="125">
        <f t="shared" si="143"/>
        <v>22372.461538461539</v>
      </c>
      <c r="AM98" s="125" t="e">
        <f t="shared" si="143"/>
        <v>#DIV/0!</v>
      </c>
      <c r="AN98" s="125">
        <f t="shared" si="143"/>
        <v>80456.814814814818</v>
      </c>
      <c r="AO98" s="125">
        <f t="shared" si="143"/>
        <v>83451.11538461539</v>
      </c>
      <c r="AP98" s="125">
        <f t="shared" si="143"/>
        <v>1582601.3333333333</v>
      </c>
      <c r="AQ98" s="110">
        <f t="shared" si="143"/>
        <v>21.184844642006151</v>
      </c>
      <c r="AR98" s="125" t="e">
        <f t="shared" si="143"/>
        <v>#DIV/0!</v>
      </c>
      <c r="AS98" s="125">
        <f t="shared" si="143"/>
        <v>493784.03846153844</v>
      </c>
      <c r="AT98" s="125">
        <f t="shared" si="143"/>
        <v>0</v>
      </c>
      <c r="AU98" s="125">
        <f t="shared" si="143"/>
        <v>0</v>
      </c>
      <c r="AV98" s="125">
        <f t="shared" si="143"/>
        <v>3846.1538461538462</v>
      </c>
      <c r="AW98" s="125" t="e">
        <f t="shared" si="143"/>
        <v>#DIV/0!</v>
      </c>
      <c r="AX98" s="125">
        <f t="shared" si="143"/>
        <v>35051</v>
      </c>
      <c r="AY98" s="125">
        <f t="shared" si="143"/>
        <v>532681.19230769225</v>
      </c>
      <c r="AZ98" s="108">
        <f t="shared" si="143"/>
        <v>121805.18518518518</v>
      </c>
      <c r="BA98" s="109">
        <f t="shared" si="143"/>
        <v>1.6887519021280051</v>
      </c>
      <c r="BB98" s="108">
        <f t="shared" si="143"/>
        <v>4129.8888888888887</v>
      </c>
      <c r="BC98" s="108">
        <f t="shared" si="143"/>
        <v>35691.333333333336</v>
      </c>
      <c r="BD98" s="108">
        <f t="shared" si="143"/>
        <v>7415.4444444444443</v>
      </c>
      <c r="BE98" s="108">
        <f t="shared" si="143"/>
        <v>2507.4814814814813</v>
      </c>
      <c r="BF98" s="108">
        <f t="shared" si="143"/>
        <v>172635.62962962964</v>
      </c>
      <c r="BG98" s="108">
        <f t="shared" si="143"/>
        <v>6.5769230769230766</v>
      </c>
      <c r="BH98" s="108">
        <f t="shared" si="143"/>
        <v>89</v>
      </c>
      <c r="BI98" s="108">
        <f t="shared" si="143"/>
        <v>0</v>
      </c>
      <c r="BJ98" s="108">
        <f t="shared" si="143"/>
        <v>88.888888888888886</v>
      </c>
      <c r="BK98" s="108">
        <f t="shared" si="143"/>
        <v>348741.40740740742</v>
      </c>
      <c r="BL98" s="109">
        <f t="shared" si="143"/>
        <v>4.9294578851430844</v>
      </c>
      <c r="BM98" s="108">
        <f t="shared" si="143"/>
        <v>177.44444444444446</v>
      </c>
      <c r="BN98" s="108">
        <f t="shared" ref="BN98:CH98" si="144">AVERAGEIFS(BN2:BN85,$C2:$C85,"&gt;=50000",$C2:$C85,"&lt;=99999")</f>
        <v>24313.370370370369</v>
      </c>
      <c r="BO98" s="109">
        <f t="shared" si="144"/>
        <v>0.33265584907152262</v>
      </c>
      <c r="BP98" s="108">
        <f t="shared" si="144"/>
        <v>53533.444444444445</v>
      </c>
      <c r="BQ98" s="108">
        <f t="shared" si="144"/>
        <v>0</v>
      </c>
      <c r="BR98" s="360">
        <f t="shared" si="144"/>
        <v>118778.57692307692</v>
      </c>
      <c r="BS98" s="108">
        <f t="shared" si="144"/>
        <v>81894.481481481474</v>
      </c>
      <c r="BT98" s="108">
        <f t="shared" si="144"/>
        <v>204186</v>
      </c>
      <c r="BU98" s="109">
        <f t="shared" si="144"/>
        <v>2.7884294905931388</v>
      </c>
      <c r="BV98" s="108">
        <f t="shared" si="144"/>
        <v>9594.6825299543034</v>
      </c>
      <c r="BW98" s="109">
        <f t="shared" si="144"/>
        <v>33.183172380614771</v>
      </c>
      <c r="BX98" s="109">
        <f t="shared" si="144"/>
        <v>8.5043883573194936</v>
      </c>
      <c r="BY98" s="109">
        <f t="shared" si="144"/>
        <v>0.55013928127191158</v>
      </c>
      <c r="BZ98" s="108">
        <f t="shared" si="144"/>
        <v>170.37037037037038</v>
      </c>
      <c r="CA98" s="108">
        <f t="shared" si="144"/>
        <v>26.111111111111111</v>
      </c>
      <c r="CB98" s="108">
        <f t="shared" si="144"/>
        <v>71.481481481481481</v>
      </c>
      <c r="CC98" s="108">
        <f t="shared" si="144"/>
        <v>278.03846153846155</v>
      </c>
      <c r="CD98" s="108">
        <f t="shared" si="144"/>
        <v>3987.6538461538462</v>
      </c>
      <c r="CE98" s="108">
        <f t="shared" si="144"/>
        <v>244.26923076923077</v>
      </c>
      <c r="CF98" s="108">
        <f t="shared" si="144"/>
        <v>471.42307692307691</v>
      </c>
      <c r="CG98" s="108">
        <f t="shared" si="144"/>
        <v>4703.3461538461543</v>
      </c>
      <c r="CH98" s="109">
        <f t="shared" si="144"/>
        <v>6.3665111305589481E-2</v>
      </c>
      <c r="CI98" s="108">
        <v>186963.25806451612</v>
      </c>
      <c r="CJ98" s="109">
        <f>AVERAGEIFS(CJ2:CJ85,$C2:$C85,"&gt;=50000",$C2:$C85,"&lt;=99999")</f>
        <v>0.71683058692363477</v>
      </c>
      <c r="CK98" s="108">
        <f>AVERAGEIFS(CK2:CK85,$C2:$C85,"&gt;=50000",$C2:$C85,"&lt;=99999")</f>
        <v>32532.407407407409</v>
      </c>
      <c r="CL98" s="128">
        <f>COUNTIFS(CL2:CL85,"YES",$C2:$C85,"&gt;=50000",$C2:$C85,"&lt;=99999")</f>
        <v>26</v>
      </c>
      <c r="CM98" s="128">
        <f>COUNTIFS(CM2:CM85,"YES",$C2:$C85,"&gt;=50000",$C2:$C85,"&lt;=99999")</f>
        <v>26</v>
      </c>
      <c r="CN98" s="128">
        <f>COUNTIFS(CN2:CN85,"YES",$C2:$C85,"&gt;=50000",$C2:$C85,"&lt;=99999")</f>
        <v>26</v>
      </c>
      <c r="CO98" s="169">
        <f t="shared" ref="CO98:CW98" si="145">AVERAGEIFS(CO2:CO85,$C2:$C85,"&gt;=50000",$C2:$C85,"&lt;=99999")</f>
        <v>4.1437037037037037</v>
      </c>
      <c r="CP98" s="108">
        <f t="shared" si="145"/>
        <v>19197.958881300885</v>
      </c>
      <c r="CQ98" s="169">
        <f t="shared" si="145"/>
        <v>0.70370370370370372</v>
      </c>
      <c r="CR98" s="169">
        <f t="shared" si="145"/>
        <v>17.125185185185188</v>
      </c>
      <c r="CS98" s="169">
        <f t="shared" si="145"/>
        <v>21.972592592592591</v>
      </c>
      <c r="CT98" s="108">
        <f t="shared" si="145"/>
        <v>4002.5302854403312</v>
      </c>
      <c r="CU98" s="108">
        <f t="shared" si="145"/>
        <v>264.81481481481484</v>
      </c>
      <c r="CV98" s="125">
        <f t="shared" si="145"/>
        <v>77752.074074074073</v>
      </c>
      <c r="CW98" s="109">
        <f t="shared" si="145"/>
        <v>38.730769230769234</v>
      </c>
      <c r="CX98" s="128">
        <f>COUNTIFS(CX2:CX85,"YES", $C2:$C85,"&gt;=50000",$C2:$C85,"&lt;=99999")</f>
        <v>26</v>
      </c>
      <c r="CY98" s="128">
        <f>COUNTIFS(CY2:CY85,"YES", $C2:$C85,"&gt;=50000",$C2:$C85,"&lt;=99999")</f>
        <v>26</v>
      </c>
      <c r="CZ98" s="108">
        <f t="shared" ref="CZ98:DL98" si="146">AVERAGEIFS(CZ2:CZ85,$C2:$C85,"&gt;=50000",$C2:$C85,"&lt;=99999")</f>
        <v>6140.7777777777774</v>
      </c>
      <c r="DA98" s="108">
        <f t="shared" si="146"/>
        <v>4108</v>
      </c>
      <c r="DB98" s="143">
        <f t="shared" si="146"/>
        <v>56.518518518518519</v>
      </c>
      <c r="DC98" s="108">
        <f t="shared" si="146"/>
        <v>8095.2222222222226</v>
      </c>
      <c r="DD98" s="108">
        <f t="shared" si="146"/>
        <v>28691.592592592591</v>
      </c>
      <c r="DE98" s="108">
        <f t="shared" si="146"/>
        <v>93026.777777777781</v>
      </c>
      <c r="DF98" s="108">
        <f t="shared" si="146"/>
        <v>13693</v>
      </c>
      <c r="DG98" s="108">
        <f t="shared" si="146"/>
        <v>49.730769230769234</v>
      </c>
      <c r="DH98" s="108">
        <f t="shared" si="146"/>
        <v>0.1949811496664538</v>
      </c>
      <c r="DI98" s="108">
        <f t="shared" si="146"/>
        <v>46.115384615384613</v>
      </c>
      <c r="DJ98" s="108">
        <f t="shared" si="146"/>
        <v>46.192307692307693</v>
      </c>
      <c r="DK98" s="108">
        <f t="shared" si="146"/>
        <v>12324.6</v>
      </c>
      <c r="DL98" s="108">
        <f t="shared" si="146"/>
        <v>10657.365384615385</v>
      </c>
      <c r="DM98" s="129"/>
      <c r="DN98" s="127"/>
      <c r="DO98" s="107"/>
      <c r="DS98" s="109"/>
      <c r="DT98" s="114"/>
      <c r="DW98" s="109">
        <f t="shared" ref="DW98:EB98" si="147">AVERAGEIFS(DW2:DW83,$C2:$C83,"&gt;=50000",$C2:$C83,"&lt;=99999")</f>
        <v>0.73450204914472517</v>
      </c>
      <c r="DX98" s="109">
        <f t="shared" si="147"/>
        <v>0</v>
      </c>
      <c r="DY98" s="109">
        <f t="shared" si="147"/>
        <v>1.6644747333612873</v>
      </c>
      <c r="DZ98" s="186">
        <f t="shared" si="147"/>
        <v>1.1239547572318513</v>
      </c>
      <c r="EA98" s="202">
        <f t="shared" si="147"/>
        <v>0.74694372274972498</v>
      </c>
      <c r="EB98" s="202">
        <f t="shared" si="147"/>
        <v>0.47366890251654442</v>
      </c>
    </row>
    <row r="99" spans="1:132" ht="13.5" thickBot="1" x14ac:dyDescent="0.25">
      <c r="B99" s="88" t="s">
        <v>205</v>
      </c>
      <c r="C99" s="108">
        <f t="shared" ref="C99:AB99" si="148">AVERAGEIFS(C2:C85,$C2:$C85,"&gt;=100000",$C2:$C85,"&lt;=249999")</f>
        <v>161862.375</v>
      </c>
      <c r="D99" s="108">
        <f t="shared" si="148"/>
        <v>5.7777777777777777</v>
      </c>
      <c r="E99" s="108">
        <f t="shared" si="148"/>
        <v>1.1666666666666667</v>
      </c>
      <c r="F99" s="108">
        <f t="shared" si="148"/>
        <v>67273.458333333328</v>
      </c>
      <c r="G99" s="32" t="e">
        <f t="shared" si="148"/>
        <v>#DIV/0!</v>
      </c>
      <c r="H99" s="108">
        <f t="shared" si="148"/>
        <v>68169.260869565216</v>
      </c>
      <c r="I99" s="109">
        <f t="shared" si="148"/>
        <v>0.49835956521739133</v>
      </c>
      <c r="J99" s="125">
        <f t="shared" si="148"/>
        <v>1532654.6895833332</v>
      </c>
      <c r="K99" s="125">
        <f t="shared" si="148"/>
        <v>613917.74375000002</v>
      </c>
      <c r="L99" s="125">
        <f t="shared" si="148"/>
        <v>2168217.2782608694</v>
      </c>
      <c r="M99" s="110">
        <f t="shared" si="148"/>
        <v>13.733657827375085</v>
      </c>
      <c r="N99" s="125">
        <f t="shared" si="148"/>
        <v>168673.64791666667</v>
      </c>
      <c r="O99" s="125">
        <f t="shared" si="148"/>
        <v>76840.389583333337</v>
      </c>
      <c r="P99" s="125">
        <f t="shared" si="148"/>
        <v>28788.7</v>
      </c>
      <c r="Q99" s="125">
        <f t="shared" si="148"/>
        <v>274302.73749999999</v>
      </c>
      <c r="R99" s="110">
        <f t="shared" si="148"/>
        <v>1.7303612025763977</v>
      </c>
      <c r="S99" s="125">
        <f t="shared" si="148"/>
        <v>422615.22583333333</v>
      </c>
      <c r="T99" s="125">
        <f t="shared" si="148"/>
        <v>2843490.3966666665</v>
      </c>
      <c r="U99" s="125">
        <f t="shared" si="148"/>
        <v>1925.6521739130435</v>
      </c>
      <c r="V99" s="125">
        <f t="shared" si="148"/>
        <v>2843490.3966666665</v>
      </c>
      <c r="W99" s="110">
        <f t="shared" si="148"/>
        <v>18.311265333629759</v>
      </c>
      <c r="X99" s="126">
        <f t="shared" si="148"/>
        <v>0.75240174484294431</v>
      </c>
      <c r="Y99" s="126">
        <f t="shared" si="148"/>
        <v>9.4521500041288564E-2</v>
      </c>
      <c r="Z99" s="126">
        <f t="shared" si="148"/>
        <v>0.15307675511576721</v>
      </c>
      <c r="AA99" s="126">
        <f t="shared" si="148"/>
        <v>7.5332167830681051E-4</v>
      </c>
      <c r="AB99" s="125">
        <f t="shared" si="148"/>
        <v>775905.875</v>
      </c>
      <c r="AC99" s="125">
        <f>AVERAGEIFS(AF2:AF85,$C2:$C85,"&gt;=100000",$C2:$C85,"&lt;=249999")</f>
        <v>397859.875</v>
      </c>
      <c r="AD99" s="125">
        <f>AVERAGEIFS(AG2:AG85,$C2:$C85,"&gt;=100000",$C2:$C85,"&lt;=249999")</f>
        <v>2303226.0833333335</v>
      </c>
      <c r="AE99" s="125" t="e">
        <f>AVERAGEIFS(AE2:AE85,$C2:$C85,"&gt;=100000",$C2:$C85,"&lt;=249999")</f>
        <v>#DIV/0!</v>
      </c>
      <c r="AF99" s="125" t="e">
        <f>AVERAGEIFS(#REF!,$C2:$C85,"&gt;=100000",$C2:$C85,"&lt;=249999")</f>
        <v>#REF!</v>
      </c>
      <c r="AG99" s="125" t="e">
        <f>AVERAGEIFS(#REF!,$C2:$C85,"&gt;=100000",$C2:$C85,"&lt;=249999")</f>
        <v>#REF!</v>
      </c>
      <c r="AH99" s="125" t="e">
        <f t="shared" ref="AH99:BM99" si="149">AVERAGEIFS(AH2:AH85,$C2:$C85,"&gt;=100000",$C2:$C85,"&lt;=249999")</f>
        <v>#DIV/0!</v>
      </c>
      <c r="AI99" s="125">
        <f t="shared" si="149"/>
        <v>2733067.2173913042</v>
      </c>
      <c r="AJ99" s="110">
        <f t="shared" si="149"/>
        <v>17.424225398541179</v>
      </c>
      <c r="AK99" s="125">
        <f t="shared" si="149"/>
        <v>232688.875</v>
      </c>
      <c r="AL99" s="125">
        <f t="shared" si="149"/>
        <v>14421.95652173913</v>
      </c>
      <c r="AM99" s="125" t="e">
        <f t="shared" si="149"/>
        <v>#DIV/0!</v>
      </c>
      <c r="AN99" s="125">
        <f t="shared" si="149"/>
        <v>63270.166666666664</v>
      </c>
      <c r="AO99" s="125">
        <f t="shared" si="149"/>
        <v>65723.739130434784</v>
      </c>
      <c r="AP99" s="125">
        <f t="shared" si="149"/>
        <v>3030936.8333333335</v>
      </c>
      <c r="AQ99" s="110">
        <f t="shared" si="149"/>
        <v>19.512424217072478</v>
      </c>
      <c r="AR99" s="125" t="e">
        <f t="shared" si="149"/>
        <v>#DIV/0!</v>
      </c>
      <c r="AS99" s="125">
        <f t="shared" si="149"/>
        <v>22109.82608695652</v>
      </c>
      <c r="AT99" s="125">
        <f t="shared" si="149"/>
        <v>0</v>
      </c>
      <c r="AU99" s="125">
        <f t="shared" si="149"/>
        <v>2173.913043478261</v>
      </c>
      <c r="AV99" s="125">
        <f t="shared" si="149"/>
        <v>1918.9565217391305</v>
      </c>
      <c r="AW99" s="125" t="e">
        <f t="shared" si="149"/>
        <v>#DIV/0!</v>
      </c>
      <c r="AX99" s="125">
        <f t="shared" si="149"/>
        <v>1843.695652173913</v>
      </c>
      <c r="AY99" s="125">
        <f t="shared" si="149"/>
        <v>28046.391304347828</v>
      </c>
      <c r="AZ99" s="108">
        <f t="shared" si="149"/>
        <v>210785.83333333334</v>
      </c>
      <c r="BA99" s="109">
        <f t="shared" si="149"/>
        <v>1.3668542608196013</v>
      </c>
      <c r="BB99" s="108">
        <f t="shared" si="149"/>
        <v>7646.833333333333</v>
      </c>
      <c r="BC99" s="108">
        <f t="shared" si="149"/>
        <v>43675.833333333336</v>
      </c>
      <c r="BD99" s="108">
        <f t="shared" si="149"/>
        <v>14829.166666666666</v>
      </c>
      <c r="BE99" s="108">
        <f t="shared" si="149"/>
        <v>5119</v>
      </c>
      <c r="BF99" s="108">
        <f t="shared" si="149"/>
        <v>201739.91666666666</v>
      </c>
      <c r="BG99" s="108">
        <f t="shared" si="149"/>
        <v>5.3913043478260869</v>
      </c>
      <c r="BH99" s="108">
        <f t="shared" si="149"/>
        <v>89</v>
      </c>
      <c r="BI99" s="108">
        <f t="shared" si="149"/>
        <v>0</v>
      </c>
      <c r="BJ99" s="108">
        <f t="shared" si="149"/>
        <v>94.5</v>
      </c>
      <c r="BK99" s="108">
        <f t="shared" si="149"/>
        <v>495127.75</v>
      </c>
      <c r="BL99" s="109">
        <f t="shared" si="149"/>
        <v>3.336631011239362</v>
      </c>
      <c r="BM99" s="108">
        <f t="shared" si="149"/>
        <v>125.125</v>
      </c>
      <c r="BN99" s="108">
        <f t="shared" ref="BN99:CH99" si="150">AVERAGEIFS(BN2:BN85,$C2:$C85,"&gt;=100000",$C2:$C85,"&lt;=249999")</f>
        <v>54523.333333333336</v>
      </c>
      <c r="BO99" s="109">
        <f t="shared" si="150"/>
        <v>0.32097172688404296</v>
      </c>
      <c r="BP99" s="108">
        <f t="shared" si="150"/>
        <v>132389.70833333334</v>
      </c>
      <c r="BQ99" s="108">
        <f t="shared" si="150"/>
        <v>0</v>
      </c>
      <c r="BR99" s="360">
        <f t="shared" si="150"/>
        <v>306985.86956521741</v>
      </c>
      <c r="BS99" s="108">
        <f t="shared" si="150"/>
        <v>225010.20833333334</v>
      </c>
      <c r="BT99" s="108">
        <f t="shared" si="150"/>
        <v>525387.20833333337</v>
      </c>
      <c r="BU99" s="109">
        <f t="shared" si="150"/>
        <v>3.2890371330046633</v>
      </c>
      <c r="BV99" s="108">
        <f t="shared" si="150"/>
        <v>13100.169187808415</v>
      </c>
      <c r="BW99" s="109">
        <f t="shared" si="150"/>
        <v>126.18371026882541</v>
      </c>
      <c r="BX99" s="109">
        <f t="shared" si="150"/>
        <v>4.6904943152027068</v>
      </c>
      <c r="BY99" s="109">
        <f t="shared" si="150"/>
        <v>1.1492711527769861</v>
      </c>
      <c r="BZ99" s="108">
        <f t="shared" si="150"/>
        <v>122.79166666666667</v>
      </c>
      <c r="CA99" s="108">
        <f t="shared" si="150"/>
        <v>21.625</v>
      </c>
      <c r="CB99" s="108">
        <f t="shared" si="150"/>
        <v>84.291666666666671</v>
      </c>
      <c r="CC99" s="108">
        <f t="shared" si="150"/>
        <v>228.65217391304347</v>
      </c>
      <c r="CD99" s="108">
        <f t="shared" si="150"/>
        <v>1746.5416666666667</v>
      </c>
      <c r="CE99" s="108">
        <f t="shared" si="150"/>
        <v>348.58333333333331</v>
      </c>
      <c r="CF99" s="108">
        <f t="shared" si="150"/>
        <v>449.04166666666669</v>
      </c>
      <c r="CG99" s="108">
        <f t="shared" si="150"/>
        <v>2632.9565217391305</v>
      </c>
      <c r="CH99" s="109">
        <f t="shared" si="150"/>
        <v>1.5484674871923848E-2</v>
      </c>
      <c r="CI99" s="108">
        <v>430873.56666666665</v>
      </c>
      <c r="CJ99" s="109">
        <f>AVERAGEIFS(CJ2:CJ85,$C2:$C85,"&gt;=100000",$C2:$C85,"&lt;=249999")</f>
        <v>0.78567565351098712</v>
      </c>
      <c r="CK99" s="108">
        <f>AVERAGEIFS(CK2:CK85,$C2:$C85,"&gt;=100000",$C2:$C85,"&lt;=249999")</f>
        <v>83101.041666666672</v>
      </c>
      <c r="CL99" s="128">
        <f>COUNTIFS(CL2:CL85,"YES",$C2:$C85,"&gt;=100000",$C2:$C85,"&lt;=249999")</f>
        <v>23</v>
      </c>
      <c r="CM99" s="128">
        <f>COUNTIFS(CM2:CM85,"YES",$C2:$C85,"&gt;=100000",$C2:$C85,"&lt;=249999")</f>
        <v>23</v>
      </c>
      <c r="CN99" s="128">
        <f>COUNTIFS(CN2:CN85,"YES",$C2:$C85,"&gt;=100000",$C2:$C85,"&lt;=249999")</f>
        <v>23</v>
      </c>
      <c r="CO99" s="169">
        <f t="shared" ref="CO99:CW99" si="151">AVERAGEIFS(CO2:CO85,$C2:$C85,"&gt;=100000",$C2:$C85,"&lt;=249999")</f>
        <v>8.41</v>
      </c>
      <c r="CP99" s="108">
        <f t="shared" si="151"/>
        <v>23456.446264211245</v>
      </c>
      <c r="CQ99" s="169">
        <f t="shared" si="151"/>
        <v>0.87833333333333341</v>
      </c>
      <c r="CR99" s="169">
        <f t="shared" si="151"/>
        <v>32.303333333333335</v>
      </c>
      <c r="CS99" s="169">
        <f t="shared" si="151"/>
        <v>41.591666666666661</v>
      </c>
      <c r="CT99" s="108">
        <f t="shared" si="151"/>
        <v>4228.959438064664</v>
      </c>
      <c r="CU99" s="108">
        <f t="shared" si="151"/>
        <v>1032.5217391304348</v>
      </c>
      <c r="CV99" s="125">
        <f t="shared" si="151"/>
        <v>89181</v>
      </c>
      <c r="CW99" s="109">
        <f t="shared" si="151"/>
        <v>37.304347826086953</v>
      </c>
      <c r="CX99" s="128">
        <f>COUNTIFS(CX2:CX85,"YES", $C2:$C85,"&gt;=100000",$C2:$C85,"&lt;=249999")</f>
        <v>23</v>
      </c>
      <c r="CY99" s="128">
        <f>COUNTIFS(CY2:CY85,"YES", $C2:$C85,"&gt;=100000",$C2:$C85,"&lt;=249999")</f>
        <v>23</v>
      </c>
      <c r="CZ99" s="108">
        <f t="shared" ref="CZ99:DL99" si="152">AVERAGEIFS(CZ2:CZ85,$C2:$C85,"&gt;=100000",$C2:$C85,"&lt;=249999")</f>
        <v>7064.666666666667</v>
      </c>
      <c r="DA99" s="108">
        <f t="shared" si="152"/>
        <v>7048.125</v>
      </c>
      <c r="DB99" s="143">
        <f t="shared" si="152"/>
        <v>102.45833333333333</v>
      </c>
      <c r="DC99" s="108">
        <f t="shared" si="152"/>
        <v>12562.166666666666</v>
      </c>
      <c r="DD99" s="108">
        <f t="shared" si="152"/>
        <v>21013.875</v>
      </c>
      <c r="DE99" s="108">
        <f t="shared" si="152"/>
        <v>115045.83333333333</v>
      </c>
      <c r="DF99" s="108">
        <f t="shared" si="152"/>
        <v>8201.5217391304341</v>
      </c>
      <c r="DG99" s="108">
        <f t="shared" si="152"/>
        <v>51.521739130434781</v>
      </c>
      <c r="DH99" s="108">
        <f t="shared" si="152"/>
        <v>5.399027807890603E-2</v>
      </c>
      <c r="DI99" s="108">
        <f t="shared" si="152"/>
        <v>48</v>
      </c>
      <c r="DJ99" s="108">
        <f t="shared" si="152"/>
        <v>47.217391304347828</v>
      </c>
      <c r="DK99" s="108">
        <f t="shared" si="152"/>
        <v>17435.8</v>
      </c>
      <c r="DL99" s="108">
        <f t="shared" si="152"/>
        <v>6514.913043478261</v>
      </c>
      <c r="DM99" s="129"/>
      <c r="DN99" s="127"/>
      <c r="DO99" s="107"/>
      <c r="DS99" s="109"/>
      <c r="DT99" s="114"/>
      <c r="DW99" s="109">
        <f t="shared" ref="DW99:EB99" si="153">AVERAGEIFS(DW2:DW83,$C2:$C83,"&gt;=100000",$C2:$C83,"&lt;=249999")</f>
        <v>0.81924597739557103</v>
      </c>
      <c r="DX99" s="109">
        <f t="shared" si="153"/>
        <v>0</v>
      </c>
      <c r="DY99" s="109">
        <f t="shared" si="153"/>
        <v>1.8868504409557671</v>
      </c>
      <c r="DZ99" s="186">
        <f t="shared" si="153"/>
        <v>1.4021866920488963</v>
      </c>
      <c r="EA99" s="202">
        <f t="shared" si="153"/>
        <v>0.45813858354941478</v>
      </c>
      <c r="EB99" s="202">
        <f t="shared" si="153"/>
        <v>0.33440721502329701</v>
      </c>
    </row>
    <row r="100" spans="1:132" x14ac:dyDescent="0.2">
      <c r="B100" s="89" t="s">
        <v>206</v>
      </c>
      <c r="C100" s="130">
        <f t="shared" ref="C100:AB100" si="154">AVERAGEIFS(C2:C85,$C2:$C85,"&gt;=250000")</f>
        <v>556826.42857142852</v>
      </c>
      <c r="D100" s="130">
        <f t="shared" si="154"/>
        <v>12.166666666666666</v>
      </c>
      <c r="E100" s="130">
        <f t="shared" si="154"/>
        <v>1</v>
      </c>
      <c r="F100" s="130">
        <f t="shared" si="154"/>
        <v>253948.42857142858</v>
      </c>
      <c r="G100" s="213" t="e">
        <f t="shared" si="154"/>
        <v>#DIV/0!</v>
      </c>
      <c r="H100" s="130">
        <f t="shared" si="154"/>
        <v>253948.42857142858</v>
      </c>
      <c r="I100" s="139">
        <f t="shared" si="154"/>
        <v>0.4042028571428572</v>
      </c>
      <c r="J100" s="131">
        <f t="shared" si="154"/>
        <v>7789368.7142857146</v>
      </c>
      <c r="K100" s="131">
        <f t="shared" si="154"/>
        <v>3342530.7142857141</v>
      </c>
      <c r="L100" s="131">
        <f t="shared" si="154"/>
        <v>11131899.428571429</v>
      </c>
      <c r="M100" s="132">
        <f t="shared" si="154"/>
        <v>19.51904504234151</v>
      </c>
      <c r="N100" s="131">
        <f t="shared" si="154"/>
        <v>1128051.5714285714</v>
      </c>
      <c r="O100" s="131">
        <f t="shared" si="154"/>
        <v>973415.85714285716</v>
      </c>
      <c r="P100" s="131">
        <f t="shared" si="154"/>
        <v>123411.85714285714</v>
      </c>
      <c r="Q100" s="131">
        <f t="shared" si="154"/>
        <v>2224879.2857142859</v>
      </c>
      <c r="R100" s="132">
        <f t="shared" si="154"/>
        <v>3.7257159955916057</v>
      </c>
      <c r="S100" s="131">
        <f t="shared" si="154"/>
        <v>3149469.8571428573</v>
      </c>
      <c r="T100" s="131">
        <f t="shared" si="154"/>
        <v>16506248.571428571</v>
      </c>
      <c r="U100" s="131">
        <f t="shared" si="154"/>
        <v>2333.2857142857142</v>
      </c>
      <c r="V100" s="131">
        <f t="shared" si="154"/>
        <v>16506248.571428571</v>
      </c>
      <c r="W100" s="132">
        <f t="shared" si="154"/>
        <v>28.109646019374086</v>
      </c>
      <c r="X100" s="133">
        <f t="shared" si="154"/>
        <v>0.70099329251278342</v>
      </c>
      <c r="Y100" s="133">
        <f t="shared" si="154"/>
        <v>0.13223582468850073</v>
      </c>
      <c r="Z100" s="133">
        <f t="shared" si="154"/>
        <v>0.16677088279871596</v>
      </c>
      <c r="AA100" s="133">
        <f t="shared" si="154"/>
        <v>1.5770797709756558E-4</v>
      </c>
      <c r="AB100" s="131">
        <f t="shared" si="154"/>
        <v>4377664.5714285718</v>
      </c>
      <c r="AC100" s="131">
        <f>AVERAGEIFS(AF2:AF85,$C2:$C85,"&gt;=250000")</f>
        <v>1127318.857142857</v>
      </c>
      <c r="AD100" s="131">
        <f>AVERAGEIFS(AG2:AG85,$C2:$C85,"&gt;=250000")</f>
        <v>16853029.285714287</v>
      </c>
      <c r="AE100" s="131" t="e">
        <f>AVERAGEIFS(AE2:AE85,$C2:$C85,"&gt;=250000")</f>
        <v>#DIV/0!</v>
      </c>
      <c r="AF100" s="131" t="e">
        <f>AVERAGEIFS(#REF!,$C2:$C85,"&gt;=250000")</f>
        <v>#REF!</v>
      </c>
      <c r="AG100" s="131" t="e">
        <f>AVERAGEIFS(#REF!,$C2:$C85,"&gt;=250000")</f>
        <v>#REF!</v>
      </c>
      <c r="AH100" s="131" t="e">
        <f t="shared" ref="AH100:BM100" si="155">AVERAGEIFS(AH2:AH85,$C2:$C85,"&gt;=250000")</f>
        <v>#DIV/0!</v>
      </c>
      <c r="AI100" s="131">
        <f t="shared" si="155"/>
        <v>17980348.142857142</v>
      </c>
      <c r="AJ100" s="132">
        <f t="shared" si="155"/>
        <v>29.452872943972693</v>
      </c>
      <c r="AK100" s="131">
        <f t="shared" si="155"/>
        <v>386820.85714285716</v>
      </c>
      <c r="AL100" s="131">
        <f t="shared" si="155"/>
        <v>20781.714285714286</v>
      </c>
      <c r="AM100" s="131" t="e">
        <f t="shared" si="155"/>
        <v>#DIV/0!</v>
      </c>
      <c r="AN100" s="131">
        <f t="shared" si="155"/>
        <v>1594399.142857143</v>
      </c>
      <c r="AO100" s="131">
        <f t="shared" si="155"/>
        <v>1594399.142857143</v>
      </c>
      <c r="AP100" s="131">
        <f t="shared" si="155"/>
        <v>20104778</v>
      </c>
      <c r="AQ100" s="132">
        <f t="shared" si="155"/>
        <v>31.99671938451802</v>
      </c>
      <c r="AR100" s="131" t="e">
        <f t="shared" si="155"/>
        <v>#DIV/0!</v>
      </c>
      <c r="AS100" s="131">
        <f t="shared" si="155"/>
        <v>442264.71428571426</v>
      </c>
      <c r="AT100" s="131">
        <f t="shared" si="155"/>
        <v>0</v>
      </c>
      <c r="AU100" s="131">
        <f t="shared" si="155"/>
        <v>0</v>
      </c>
      <c r="AV100" s="131">
        <f t="shared" si="155"/>
        <v>0</v>
      </c>
      <c r="AW100" s="131" t="e">
        <f t="shared" si="155"/>
        <v>#DIV/0!</v>
      </c>
      <c r="AX100" s="131">
        <f t="shared" si="155"/>
        <v>2008.2857142857142</v>
      </c>
      <c r="AY100" s="131">
        <f t="shared" si="155"/>
        <v>444273</v>
      </c>
      <c r="AZ100" s="130">
        <f t="shared" si="155"/>
        <v>716422.57142857148</v>
      </c>
      <c r="BA100" s="139">
        <f t="shared" si="155"/>
        <v>1.4279779583272589</v>
      </c>
      <c r="BB100" s="130">
        <f t="shared" si="155"/>
        <v>31961.428571428572</v>
      </c>
      <c r="BC100" s="130">
        <f t="shared" si="155"/>
        <v>86277.857142857145</v>
      </c>
      <c r="BD100" s="130">
        <f t="shared" si="155"/>
        <v>36154</v>
      </c>
      <c r="BE100" s="130">
        <f t="shared" si="155"/>
        <v>17277</v>
      </c>
      <c r="BF100" s="130">
        <f t="shared" si="155"/>
        <v>247130.57142857142</v>
      </c>
      <c r="BG100" s="130">
        <f t="shared" si="155"/>
        <v>7.7142857142857144</v>
      </c>
      <c r="BH100" s="130">
        <f t="shared" si="155"/>
        <v>89</v>
      </c>
      <c r="BI100" s="130">
        <f t="shared" si="155"/>
        <v>0</v>
      </c>
      <c r="BJ100" s="130">
        <f t="shared" si="155"/>
        <v>104.42857142857143</v>
      </c>
      <c r="BK100" s="130">
        <f t="shared" si="155"/>
        <v>1150884.4285714286</v>
      </c>
      <c r="BL100" s="139">
        <f t="shared" si="155"/>
        <v>2.358718283548122</v>
      </c>
      <c r="BM100" s="130">
        <f t="shared" si="155"/>
        <v>581.57142857142856</v>
      </c>
      <c r="BN100" s="130">
        <f t="shared" ref="BN100:CH100" si="156">AVERAGEIFS(BN2:BN85,$C2:$C85,"&gt;=250000")</f>
        <v>159489.42857142858</v>
      </c>
      <c r="BO100" s="139">
        <f t="shared" si="156"/>
        <v>0.26376483225080682</v>
      </c>
      <c r="BP100" s="130">
        <f t="shared" si="156"/>
        <v>1175333</v>
      </c>
      <c r="BQ100" s="130">
        <f t="shared" si="156"/>
        <v>0</v>
      </c>
      <c r="BR100" s="361">
        <f t="shared" si="156"/>
        <v>1669868.2857142857</v>
      </c>
      <c r="BS100" s="130">
        <f t="shared" si="156"/>
        <v>2282303.4285714286</v>
      </c>
      <c r="BT100" s="130">
        <f t="shared" si="156"/>
        <v>3952171.7142857141</v>
      </c>
      <c r="BU100" s="139">
        <f t="shared" si="156"/>
        <v>6.7193072386584891</v>
      </c>
      <c r="BV100" s="130">
        <f t="shared" si="156"/>
        <v>20819.644476128527</v>
      </c>
      <c r="BW100" s="139">
        <f t="shared" si="156"/>
        <v>498.15680538920867</v>
      </c>
      <c r="BX100" s="139">
        <f t="shared" si="156"/>
        <v>12.106959354913281</v>
      </c>
      <c r="BY100" s="139">
        <f t="shared" si="156"/>
        <v>3.0625991407642643</v>
      </c>
      <c r="BZ100" s="130">
        <f t="shared" si="156"/>
        <v>241.57142857142858</v>
      </c>
      <c r="CA100" s="130">
        <f t="shared" si="156"/>
        <v>28.714285714285715</v>
      </c>
      <c r="CB100" s="130">
        <f t="shared" si="156"/>
        <v>16.714285714285715</v>
      </c>
      <c r="CC100" s="130">
        <f t="shared" si="156"/>
        <v>287</v>
      </c>
      <c r="CD100" s="130">
        <f t="shared" si="156"/>
        <v>3324.8571428571427</v>
      </c>
      <c r="CE100" s="130">
        <f t="shared" si="156"/>
        <v>330.57142857142856</v>
      </c>
      <c r="CF100" s="130">
        <f t="shared" si="156"/>
        <v>2502.1428571428573</v>
      </c>
      <c r="CG100" s="130">
        <f t="shared" si="156"/>
        <v>6157.5714285714284</v>
      </c>
      <c r="CH100" s="139">
        <f t="shared" si="156"/>
        <v>1.8329548283462439E-2</v>
      </c>
      <c r="CI100" s="130">
        <v>2028440.8125</v>
      </c>
      <c r="CJ100" s="139">
        <f>AVERAGEIFS(CJ2:CJ85,$C2:$C85,"&gt;=250000")</f>
        <v>0.98244650350571372</v>
      </c>
      <c r="CK100" s="130">
        <f>AVERAGEIFS(CK2:CK85,$C2:$C85,"&gt;=250000")</f>
        <v>354955.71428571426</v>
      </c>
      <c r="CL100" s="135">
        <f>COUNTIFS(CL2:CL85,"YES",$C2:$C85,"&gt;=250000")</f>
        <v>6</v>
      </c>
      <c r="CM100" s="135">
        <f>COUNTIFS(CM2:CM85,"YES",$C2:$C85,"&gt;=250000")</f>
        <v>7</v>
      </c>
      <c r="CN100" s="135">
        <f>COUNTIFS(CN2:CN85,"YES",$C2:$C85,"&gt;=250000")</f>
        <v>7</v>
      </c>
      <c r="CO100" s="176">
        <f t="shared" ref="CO100:CW100" si="157">AVERAGEIFS(CO2:CO85,$C2:$C85,"&gt;=250000")</f>
        <v>56.451428571428565</v>
      </c>
      <c r="CP100" s="130">
        <f t="shared" si="157"/>
        <v>14522.705452089851</v>
      </c>
      <c r="CQ100" s="176">
        <f t="shared" si="157"/>
        <v>0.99142857142857133</v>
      </c>
      <c r="CR100" s="176">
        <f t="shared" si="157"/>
        <v>122.78285714285714</v>
      </c>
      <c r="CS100" s="176">
        <f t="shared" si="157"/>
        <v>180.22571428571428</v>
      </c>
      <c r="CT100" s="130">
        <f t="shared" si="157"/>
        <v>3227.7674266647923</v>
      </c>
      <c r="CU100" s="130">
        <f t="shared" si="157"/>
        <v>937</v>
      </c>
      <c r="CV100" s="131">
        <f t="shared" si="157"/>
        <v>128877.57142857143</v>
      </c>
      <c r="CW100" s="139">
        <f t="shared" si="157"/>
        <v>34.857142857142854</v>
      </c>
      <c r="CX100" s="135">
        <f>COUNTIFS(CX2:CX85,"YES", $C2:$C85,"&gt;250000")</f>
        <v>6</v>
      </c>
      <c r="CY100" s="135">
        <f>COUNTIFS(CY2:CY85,"YES", $C2:$C85,"&gt;250000")</f>
        <v>6</v>
      </c>
      <c r="CZ100" s="130">
        <f t="shared" ref="CZ100:DL100" si="158">AVERAGEIFS(CZ2:CZ85,$C2:$C85,"&gt;=250000")</f>
        <v>14076.714285714286</v>
      </c>
      <c r="DA100" s="130">
        <f t="shared" si="158"/>
        <v>24757.714285714286</v>
      </c>
      <c r="DB100" s="182">
        <f t="shared" si="158"/>
        <v>376</v>
      </c>
      <c r="DC100" s="130">
        <f t="shared" si="158"/>
        <v>23882.714285714286</v>
      </c>
      <c r="DD100" s="130">
        <f t="shared" si="158"/>
        <v>94205.142857142855</v>
      </c>
      <c r="DE100" s="130">
        <f t="shared" si="158"/>
        <v>3810545.1428571427</v>
      </c>
      <c r="DF100" s="130">
        <f t="shared" si="158"/>
        <v>15099.142857142857</v>
      </c>
      <c r="DG100" s="130">
        <f t="shared" si="158"/>
        <v>51</v>
      </c>
      <c r="DH100" s="130">
        <f t="shared" si="158"/>
        <v>4.3401481027997492E-2</v>
      </c>
      <c r="DI100" s="130">
        <f t="shared" si="158"/>
        <v>46.857142857142854</v>
      </c>
      <c r="DJ100" s="130">
        <f t="shared" si="158"/>
        <v>46.857142857142854</v>
      </c>
      <c r="DK100" s="130">
        <f t="shared" si="158"/>
        <v>5097</v>
      </c>
      <c r="DL100" s="130">
        <f t="shared" si="158"/>
        <v>12370.857142857143</v>
      </c>
      <c r="DM100" s="136"/>
      <c r="DN100" s="134"/>
      <c r="DO100" s="137"/>
      <c r="DP100" s="137"/>
      <c r="DQ100" s="138"/>
      <c r="DR100" s="138"/>
      <c r="DS100" s="139"/>
      <c r="DT100" s="138"/>
      <c r="DU100" s="138"/>
      <c r="DV100" s="138"/>
      <c r="DW100" s="139">
        <f t="shared" ref="DW100:EB100" si="159">AVERAGEIFS(DW2:DW83,$C2:$C83,"&gt;=250000")</f>
        <v>1.5579086064542105</v>
      </c>
      <c r="DX100" s="139">
        <f t="shared" si="159"/>
        <v>0</v>
      </c>
      <c r="DY100" s="139">
        <f t="shared" si="159"/>
        <v>2.5209741856270536</v>
      </c>
      <c r="DZ100" s="187">
        <f t="shared" si="159"/>
        <v>4.1983330530314351</v>
      </c>
      <c r="EA100" s="203">
        <f t="shared" si="159"/>
        <v>0.57365404763267069</v>
      </c>
      <c r="EB100" s="203">
        <f t="shared" si="159"/>
        <v>0.37267156284187458</v>
      </c>
    </row>
    <row r="101" spans="1:132" x14ac:dyDescent="0.2">
      <c r="G101" s="52"/>
      <c r="AB101" s="125">
        <f>SUM(AB2:AB100)</f>
        <v>110257115.01053114</v>
      </c>
      <c r="BT101" s="123"/>
      <c r="BU101" s="109"/>
      <c r="CL101" s="107"/>
      <c r="CO101" s="169"/>
      <c r="CX101" s="107"/>
      <c r="CZ101" s="108"/>
      <c r="DB101" s="143"/>
      <c r="DC101" s="108"/>
      <c r="DM101" s="124"/>
      <c r="DN101" s="120"/>
      <c r="DO101" s="107"/>
      <c r="DS101" s="109"/>
      <c r="DT101" s="114"/>
    </row>
    <row r="102" spans="1:132" ht="13.5" thickBot="1" x14ac:dyDescent="0.25">
      <c r="BT102" s="123"/>
      <c r="BU102" s="109"/>
      <c r="CL102" s="107"/>
      <c r="CO102" s="169"/>
      <c r="CX102" s="107"/>
      <c r="CZ102" s="108"/>
      <c r="DB102" s="143"/>
      <c r="DC102" s="108"/>
      <c r="DM102" s="124"/>
      <c r="DN102" s="120"/>
      <c r="DO102" s="107"/>
      <c r="DS102" s="109"/>
      <c r="DT102" s="114"/>
    </row>
    <row r="103" spans="1:132" s="107" customFormat="1" ht="66.599999999999994" customHeight="1" thickBot="1" x14ac:dyDescent="0.25">
      <c r="A103" s="90" t="s">
        <v>901</v>
      </c>
      <c r="B103" s="90"/>
      <c r="C103" s="36" t="s">
        <v>12</v>
      </c>
      <c r="D103" s="36" t="s">
        <v>19</v>
      </c>
      <c r="E103" s="36" t="s">
        <v>20</v>
      </c>
      <c r="F103" s="36" t="s">
        <v>21</v>
      </c>
      <c r="G103" s="36" t="s">
        <v>119</v>
      </c>
      <c r="H103" s="36" t="s">
        <v>120</v>
      </c>
      <c r="I103" s="37" t="s">
        <v>121</v>
      </c>
      <c r="J103" s="165" t="s">
        <v>22</v>
      </c>
      <c r="K103" s="165" t="s">
        <v>23</v>
      </c>
      <c r="L103" s="165" t="s">
        <v>24</v>
      </c>
      <c r="M103" s="163" t="s">
        <v>98</v>
      </c>
      <c r="N103" s="165" t="s">
        <v>25</v>
      </c>
      <c r="O103" s="165" t="s">
        <v>26</v>
      </c>
      <c r="P103" s="165" t="s">
        <v>27</v>
      </c>
      <c r="Q103" s="165" t="s">
        <v>28</v>
      </c>
      <c r="R103" s="163" t="s">
        <v>99</v>
      </c>
      <c r="S103" s="165" t="s">
        <v>29</v>
      </c>
      <c r="T103" s="165" t="s">
        <v>30</v>
      </c>
      <c r="U103" s="165" t="s">
        <v>31</v>
      </c>
      <c r="V103" s="165" t="s">
        <v>32</v>
      </c>
      <c r="W103" s="163" t="s">
        <v>100</v>
      </c>
      <c r="X103" s="93" t="s">
        <v>115</v>
      </c>
      <c r="Y103" s="93" t="s">
        <v>116</v>
      </c>
      <c r="Z103" s="93" t="s">
        <v>117</v>
      </c>
      <c r="AA103" s="93" t="s">
        <v>118</v>
      </c>
      <c r="AB103" s="165" t="s">
        <v>33</v>
      </c>
      <c r="AC103" s="165" t="s">
        <v>34</v>
      </c>
      <c r="AD103" s="165" t="s">
        <v>35</v>
      </c>
      <c r="AE103" s="165" t="s">
        <v>36</v>
      </c>
      <c r="AF103" s="165" t="s">
        <v>37</v>
      </c>
      <c r="AG103" s="165" t="s">
        <v>38</v>
      </c>
      <c r="AH103" s="165" t="s">
        <v>39</v>
      </c>
      <c r="AI103" s="165" t="s">
        <v>40</v>
      </c>
      <c r="AJ103" s="163" t="s">
        <v>101</v>
      </c>
      <c r="AK103" s="165" t="s">
        <v>41</v>
      </c>
      <c r="AL103" s="165" t="s">
        <v>42</v>
      </c>
      <c r="AM103" s="165" t="s">
        <v>43</v>
      </c>
      <c r="AN103" s="165" t="s">
        <v>44</v>
      </c>
      <c r="AO103" s="165" t="s">
        <v>45</v>
      </c>
      <c r="AP103" s="165" t="s">
        <v>46</v>
      </c>
      <c r="AQ103" s="163" t="s">
        <v>102</v>
      </c>
      <c r="AR103" s="165" t="s">
        <v>47</v>
      </c>
      <c r="AS103" s="165" t="s">
        <v>48</v>
      </c>
      <c r="AT103" s="165" t="s">
        <v>49</v>
      </c>
      <c r="AU103" s="165" t="s">
        <v>50</v>
      </c>
      <c r="AV103" s="165" t="s">
        <v>51</v>
      </c>
      <c r="AW103" s="165" t="s">
        <v>52</v>
      </c>
      <c r="AX103" s="165" t="s">
        <v>53</v>
      </c>
      <c r="AY103" s="165" t="s">
        <v>54</v>
      </c>
      <c r="AZ103" s="36" t="s">
        <v>55</v>
      </c>
      <c r="BA103" s="92" t="s">
        <v>103</v>
      </c>
      <c r="BB103" s="36" t="s">
        <v>56</v>
      </c>
      <c r="BC103" s="36" t="s">
        <v>57</v>
      </c>
      <c r="BD103" s="36" t="s">
        <v>58</v>
      </c>
      <c r="BE103" s="36" t="s">
        <v>59</v>
      </c>
      <c r="BF103" s="36" t="s">
        <v>60</v>
      </c>
      <c r="BG103" s="36" t="s">
        <v>61</v>
      </c>
      <c r="BH103" s="36" t="s">
        <v>62</v>
      </c>
      <c r="BI103" s="36" t="s">
        <v>63</v>
      </c>
      <c r="BJ103" s="36" t="s">
        <v>64</v>
      </c>
      <c r="BK103" s="36" t="s">
        <v>65</v>
      </c>
      <c r="BL103" s="92" t="s">
        <v>104</v>
      </c>
      <c r="BM103" s="36" t="s">
        <v>66</v>
      </c>
      <c r="BN103" s="36" t="s">
        <v>67</v>
      </c>
      <c r="BO103" s="92" t="s">
        <v>110</v>
      </c>
      <c r="BP103" s="36" t="s">
        <v>885</v>
      </c>
      <c r="BQ103" s="36" t="s">
        <v>886</v>
      </c>
      <c r="BR103" s="362" t="s">
        <v>887</v>
      </c>
      <c r="BS103" s="36" t="s">
        <v>888</v>
      </c>
      <c r="BT103" s="36" t="s">
        <v>889</v>
      </c>
      <c r="BU103" s="92" t="s">
        <v>105</v>
      </c>
      <c r="BV103" s="36" t="s">
        <v>106</v>
      </c>
      <c r="BW103" s="94" t="s">
        <v>107</v>
      </c>
      <c r="BX103" s="37" t="s">
        <v>108</v>
      </c>
      <c r="BY103" s="37" t="s">
        <v>109</v>
      </c>
      <c r="BZ103" s="36" t="s">
        <v>73</v>
      </c>
      <c r="CA103" s="36" t="s">
        <v>74</v>
      </c>
      <c r="CB103" s="36" t="s">
        <v>75</v>
      </c>
      <c r="CC103" s="36" t="s">
        <v>76</v>
      </c>
      <c r="CD103" s="36" t="s">
        <v>77</v>
      </c>
      <c r="CE103" s="36" t="s">
        <v>78</v>
      </c>
      <c r="CF103" s="36" t="s">
        <v>79</v>
      </c>
      <c r="CG103" s="36" t="s">
        <v>80</v>
      </c>
      <c r="CH103" s="92" t="s">
        <v>111</v>
      </c>
      <c r="CI103" s="36" t="s">
        <v>890</v>
      </c>
      <c r="CJ103" s="92" t="s">
        <v>112</v>
      </c>
      <c r="CK103" s="36" t="s">
        <v>891</v>
      </c>
      <c r="CL103" s="91" t="s">
        <v>892</v>
      </c>
      <c r="CM103" s="91" t="s">
        <v>208</v>
      </c>
      <c r="CN103" s="91" t="s">
        <v>207</v>
      </c>
      <c r="CO103" s="95" t="s">
        <v>81</v>
      </c>
      <c r="CP103" s="36" t="s">
        <v>113</v>
      </c>
      <c r="CQ103" s="95" t="s">
        <v>82</v>
      </c>
      <c r="CR103" s="95" t="s">
        <v>83</v>
      </c>
      <c r="CS103" s="95" t="s">
        <v>84</v>
      </c>
      <c r="CT103" s="36" t="s">
        <v>114</v>
      </c>
      <c r="CU103" s="36" t="s">
        <v>85</v>
      </c>
      <c r="CV103" s="165" t="s">
        <v>86</v>
      </c>
      <c r="CW103" s="92" t="s">
        <v>87</v>
      </c>
      <c r="CX103" s="91" t="s">
        <v>88</v>
      </c>
      <c r="CY103" s="91" t="s">
        <v>209</v>
      </c>
      <c r="CZ103" s="36" t="s">
        <v>90</v>
      </c>
      <c r="DA103" s="36" t="s">
        <v>91</v>
      </c>
      <c r="DB103" s="36" t="s">
        <v>210</v>
      </c>
      <c r="DC103" s="36" t="s">
        <v>211</v>
      </c>
      <c r="DD103" s="36" t="s">
        <v>92</v>
      </c>
      <c r="DE103" s="36" t="s">
        <v>93</v>
      </c>
      <c r="DF103" s="36" t="s">
        <v>94</v>
      </c>
      <c r="DG103" s="36" t="s">
        <v>95</v>
      </c>
      <c r="DH103" s="36" t="s">
        <v>910</v>
      </c>
      <c r="DI103" s="36" t="s">
        <v>212</v>
      </c>
      <c r="DJ103" s="36" t="s">
        <v>213</v>
      </c>
      <c r="DK103" s="67" t="s">
        <v>122</v>
      </c>
      <c r="DL103" s="67" t="s">
        <v>123</v>
      </c>
      <c r="DM103" s="91" t="s">
        <v>14</v>
      </c>
      <c r="DN103" s="90" t="s">
        <v>10</v>
      </c>
      <c r="DO103" s="90" t="s">
        <v>11</v>
      </c>
      <c r="DP103" s="90" t="s">
        <v>6</v>
      </c>
      <c r="DQ103" s="90" t="s">
        <v>13</v>
      </c>
      <c r="DR103" s="90" t="s">
        <v>15</v>
      </c>
      <c r="DS103" s="90" t="s">
        <v>16</v>
      </c>
      <c r="DT103" s="91" t="s">
        <v>17</v>
      </c>
      <c r="DU103" s="91" t="s">
        <v>18</v>
      </c>
      <c r="DV103" s="68" t="s">
        <v>4</v>
      </c>
      <c r="DW103" s="37" t="s">
        <v>127</v>
      </c>
      <c r="DX103" s="37" t="s">
        <v>128</v>
      </c>
      <c r="DY103" s="37" t="s">
        <v>129</v>
      </c>
      <c r="DZ103" s="37" t="s">
        <v>130</v>
      </c>
      <c r="EA103" s="200" t="s">
        <v>929</v>
      </c>
      <c r="EB103" s="200" t="s">
        <v>930</v>
      </c>
    </row>
    <row r="104" spans="1:132" x14ac:dyDescent="0.2">
      <c r="B104" s="96" t="s">
        <v>0</v>
      </c>
      <c r="BT104" s="123"/>
      <c r="BU104" s="109"/>
      <c r="CL104" s="107"/>
      <c r="CO104" s="169"/>
      <c r="CX104" s="107"/>
      <c r="CZ104" s="108"/>
      <c r="DB104" s="143"/>
      <c r="DC104" s="108"/>
      <c r="DM104" s="124"/>
      <c r="DN104" s="120"/>
      <c r="DO104" s="107"/>
      <c r="DS104" s="109"/>
      <c r="DT104" s="114"/>
    </row>
    <row r="105" spans="1:132" x14ac:dyDescent="0.2">
      <c r="B105" s="114" t="str">
        <f>VLOOKUP(Input!$C$11,'2021Data'!$A2:$DX85, 122,FALSE )</f>
        <v>ALAMANCE</v>
      </c>
      <c r="C105" s="108">
        <f>VLOOKUP(Input!$C11,'2021Data'!$A2:$DX85,3,FALSE)</f>
        <v>164997</v>
      </c>
      <c r="D105" s="108">
        <f>VLOOKUP(Input!$C11,'2021Data'!$A2:$DX85,4,FALSE)</f>
        <v>3</v>
      </c>
      <c r="E105" s="108">
        <f>VLOOKUP(Input!$C11,'2021Data'!$A1:$DX85,5,FALSE)</f>
        <v>0</v>
      </c>
      <c r="F105" s="108">
        <f>VLOOKUP(Input!$C11,'2021Data'!$A1:$DX85,6,0)</f>
        <v>55734</v>
      </c>
      <c r="G105" s="32">
        <f>VLOOKUP(Input!$C11,'2021Data'!$A1:$DX85,7,0)</f>
        <v>0</v>
      </c>
      <c r="H105" s="108">
        <f>VLOOKUP(Input!$C11,'2021Data'!$A1:$DX85,8,0)</f>
        <v>55734</v>
      </c>
      <c r="I105" s="109">
        <f>VLOOKUP(Input!$C11,'2021Data'!$A1:$DX85,9,0)</f>
        <v>0.34588999999999998</v>
      </c>
      <c r="J105" s="125">
        <f>VLOOKUP(Input!$C11,'2021Data'!$A1:$DX85,10,0)</f>
        <v>1597813</v>
      </c>
      <c r="K105" s="125">
        <f>VLOOKUP(Input!$C11,'2021Data'!$A1:$DX85,11,0)</f>
        <v>657579</v>
      </c>
      <c r="L105" s="125">
        <f>VLOOKUP(Input!$C11,'2021Data'!$A1:$DX85,12,0)</f>
        <v>2255392</v>
      </c>
      <c r="M105" s="110">
        <f>VLOOKUP(Input!$C11,'2021Data'!$A1:$DX85,13,0)</f>
        <v>13.669290956805275</v>
      </c>
      <c r="N105" s="125">
        <f>VLOOKUP(Input!$C11,'2021Data'!$A1:$DX85,14,0)</f>
        <v>158000</v>
      </c>
      <c r="O105" s="125">
        <f>VLOOKUP(Input!$C11,'2021Data'!$A1:$DX85,15,0)</f>
        <v>90000</v>
      </c>
      <c r="P105" s="125">
        <f>VLOOKUP(Input!$C11,'2021Data'!$A1:$DX85,16,0)</f>
        <v>62000</v>
      </c>
      <c r="Q105" s="125">
        <f>VLOOKUP(Input!$C11,'2021Data'!$A1:$DX85,17,0)</f>
        <v>310000</v>
      </c>
      <c r="R105" s="110">
        <f>VLOOKUP(Input!$C11,'2021Data'!$A1:$DX85,18,0)</f>
        <v>1.8788220391885913</v>
      </c>
      <c r="S105" s="125">
        <f>VLOOKUP(Input!$C11,'2021Data'!$A1:$DX85,19,0)</f>
        <v>461475</v>
      </c>
      <c r="T105" s="125">
        <f>VLOOKUP(Input!$C11,'2021Data'!$A1:$DX85,20,0)</f>
        <v>3026867</v>
      </c>
      <c r="U105" s="125">
        <f>VLOOKUP(Input!$C11,'2021Data'!$A1:$DX85,21,0)</f>
        <v>0</v>
      </c>
      <c r="V105" s="125">
        <f>VLOOKUP(Input!$C11,'2021Data'!$A1:$DX85,22,0)</f>
        <v>3026867</v>
      </c>
      <c r="W105" s="110">
        <f>VLOOKUP(Input!$C11,'2021Data'!$A1:$DX85,23,0)</f>
        <v>18.344982029976304</v>
      </c>
      <c r="X105" s="126">
        <f>VLOOKUP(Input!$C11,'2021Data'!$A1:$DX85,24,0)</f>
        <v>0.74512424893462448</v>
      </c>
      <c r="Y105" s="126">
        <f>VLOOKUP(Input!$C11,'2021Data'!$A1:$DX85,25,0)</f>
        <v>0.10241612862408557</v>
      </c>
      <c r="Z105" s="126">
        <f>VLOOKUP(Input!$C11,'2021Data'!$A1:$DX85,26,0)</f>
        <v>0.15245962244128997</v>
      </c>
      <c r="AA105" s="126">
        <f>VLOOKUP(Input!$C11,'2021Data'!$A1:$DX85,27,0)</f>
        <v>0</v>
      </c>
      <c r="AB105" s="125">
        <f>VLOOKUP(Input!$C11,'2021Data'!$A1:$DX85,28,0)</f>
        <v>377087</v>
      </c>
      <c r="AC105" s="125">
        <f>VLOOKUP(Input!$C11,'2021Data'!$A1:$DX85,29,0)</f>
        <v>0</v>
      </c>
      <c r="AD105" s="125">
        <f>VLOOKUP(Input!$C11,'2021Data'!$A1:$DX85,30,0)</f>
        <v>0</v>
      </c>
      <c r="AE105" s="125">
        <f>VLOOKUP(Input!$C11,'2021Data'!$A1:$DX85,31,0)</f>
        <v>0</v>
      </c>
      <c r="AF105" s="125">
        <f>VLOOKUP(Input!$C11,'2021Data'!$A1:$DX85,32,0)</f>
        <v>299838</v>
      </c>
      <c r="AG105" s="125">
        <f>VLOOKUP(Input!$C11,'2021Data'!$A1:$DX85,33,0)</f>
        <v>2727029</v>
      </c>
      <c r="AH105" s="125">
        <f>VLOOKUP(Input!$C11,'2021Data'!$A1:$DX85,34,0)</f>
        <v>0</v>
      </c>
      <c r="AI105" s="125">
        <f>VLOOKUP(Input!$C11,'2021Data'!$A1:$DX85,35,0)</f>
        <v>3026867</v>
      </c>
      <c r="AJ105" s="110">
        <f>VLOOKUP(Input!$C11,'2021Data'!$A1:$DX85,36,0)</f>
        <v>18.344982029976304</v>
      </c>
      <c r="AK105" s="125">
        <f>VLOOKUP(Input!$C11,'2021Data'!$A1:$DX85,37,0)</f>
        <v>175947</v>
      </c>
      <c r="AL105" s="125">
        <f>VLOOKUP(Input!$C11,'2021Data'!$A1:$DX85,38,0)</f>
        <v>50000</v>
      </c>
      <c r="AM105" s="125">
        <f>VLOOKUP(Input!$C11,'2021Data'!$A1:$DX85,39,0)</f>
        <v>0</v>
      </c>
      <c r="AN105" s="125">
        <f>VLOOKUP(Input!$C11,'2021Data'!$A1:$DX85,40,0)</f>
        <v>64410</v>
      </c>
      <c r="AO105" s="125">
        <f>VLOOKUP(Input!$C11,'2021Data'!$A1:$DX85,41,0)</f>
        <v>64410</v>
      </c>
      <c r="AP105" s="125">
        <f>VLOOKUP(Input!$C11,'2021Data'!$A1:$DX85,42,0)</f>
        <v>3331620</v>
      </c>
      <c r="AQ105" s="110">
        <f>VLOOKUP(Input!$C11,'2021Data'!$A1:$DX85,43,0)</f>
        <v>20.192003490972564</v>
      </c>
      <c r="AR105" s="125">
        <f>VLOOKUP(Input!$C11,'2021Data'!$A1:$DX85,44,0)</f>
        <v>0</v>
      </c>
      <c r="AS105" s="125">
        <f>VLOOKUP(Input!$C11,'2021Data'!$A1:$DX85,45,0)</f>
        <v>0</v>
      </c>
      <c r="AT105" s="125">
        <f>VLOOKUP(Input!$C11,'2021Data'!$A1:$DX85,46,0)</f>
        <v>0</v>
      </c>
      <c r="AU105" s="125">
        <f>VLOOKUP(Input!$C11,'2021Data'!$A1:$DX85,47,0)</f>
        <v>0</v>
      </c>
      <c r="AV105" s="125">
        <f>VLOOKUP(Input!$C11,'2021Data'!$A1:$DX85,48,0)</f>
        <v>0</v>
      </c>
      <c r="AW105" s="125">
        <f>VLOOKUP(Input!$C11,'2021Data'!$A1:$DX85,49,0)</f>
        <v>0</v>
      </c>
      <c r="AX105" s="125">
        <f>VLOOKUP(Input!$C11,'2021Data'!$A1:$DX85,50,0)</f>
        <v>0</v>
      </c>
      <c r="AY105" s="125">
        <f>VLOOKUP(Input!$C11,'2021Data'!$A1:$DX85,51,0)</f>
        <v>0</v>
      </c>
      <c r="AZ105" s="108">
        <f>VLOOKUP(Input!$C11,'2021Data'!$A1:$DX85,52,0)</f>
        <v>167660</v>
      </c>
      <c r="BA105" s="109">
        <f>VLOOKUP(Input!$C11,'2021Data'!$A1:$DX85,53,0)</f>
        <v>1.0161396873882556</v>
      </c>
      <c r="BB105" s="108">
        <f>VLOOKUP(Input!$C11,'2021Data'!$A1:$DX85,54,0)</f>
        <v>13195</v>
      </c>
      <c r="BC105" s="108">
        <f>VLOOKUP(Input!$C11,'2021Data'!$A1:$DX85,55,0)</f>
        <v>25728</v>
      </c>
      <c r="BD105" s="108">
        <f>VLOOKUP(Input!$C11,'2021Data'!$A1:$DX85,56,0)</f>
        <v>24579</v>
      </c>
      <c r="BE105" s="108">
        <f>VLOOKUP(Input!$C11,'2021Data'!$A1:$DX85,57,0)</f>
        <v>2130</v>
      </c>
      <c r="BF105" s="108">
        <f>VLOOKUP(Input!$C11,'2021Data'!$A1:$DX85,58,0)</f>
        <v>133979</v>
      </c>
      <c r="BG105" s="108">
        <f>VLOOKUP(Input!$C11,'2021Data'!$A1:$DX85,59,0)</f>
        <v>7</v>
      </c>
      <c r="BH105" s="108">
        <f>VLOOKUP(Input!$C11,'2021Data'!$A1:$DX85,60,0)</f>
        <v>89</v>
      </c>
      <c r="BI105" s="108">
        <f>VLOOKUP(Input!$C11,'2021Data'!$A1:$DX85,61,0)</f>
        <v>0</v>
      </c>
      <c r="BJ105" s="108">
        <f>VLOOKUP(Input!$C11,'2021Data'!$A1:$DX85,62,0)</f>
        <v>93</v>
      </c>
      <c r="BK105" s="108">
        <f>VLOOKUP(Input!$C11,'2021Data'!$A1:$DX85,63,0)</f>
        <v>379581</v>
      </c>
      <c r="BL105" s="109">
        <f>VLOOKUP(Input!$C11,'2021Data'!$A1:$DX85,64,0)</f>
        <v>2.300532736958854</v>
      </c>
      <c r="BM105" s="108">
        <f>VLOOKUP(Input!$C11,'2021Data'!$A1:$DX85,65,0)</f>
        <v>189</v>
      </c>
      <c r="BN105" s="108">
        <f>VLOOKUP(Input!$C11,'2021Data'!$A1:$DX85,66,0)</f>
        <v>20756</v>
      </c>
      <c r="BO105" s="109">
        <f>VLOOKUP(Input!$C11,'2021Data'!$A1:$DX85,67,0)</f>
        <v>0.12579622659805936</v>
      </c>
      <c r="BP105" s="108">
        <f>VLOOKUP(Input!$C11,'2021Data'!$A1:$DX85,68,0)</f>
        <v>88749</v>
      </c>
      <c r="BQ105" s="108">
        <f>VLOOKUP(Input!$C11,'2021Data'!$A1:$DX85,69,0)</f>
        <v>0</v>
      </c>
      <c r="BR105" s="360">
        <f>VLOOKUP(Input!$C11,'2021Data'!$A1:$DX85,70,0)</f>
        <v>248640</v>
      </c>
      <c r="BS105" s="108">
        <f>VLOOKUP(Input!$C11,'2021Data'!$A1:$DX85,71,0)</f>
        <v>129317</v>
      </c>
      <c r="BT105" s="108">
        <f>VLOOKUP(Input!$C11,'2021Data'!$A1:$DX85,72,0)</f>
        <v>377957</v>
      </c>
      <c r="BU105" s="109">
        <f>VLOOKUP(Input!$C11,'2021Data'!$A1:$DX85,73,0)</f>
        <v>2.2906901337600076</v>
      </c>
      <c r="BV105" s="108">
        <f>VLOOKUP(Input!$C11,'2021Data'!$A1:$DX85,74,0)</f>
        <v>5814.7230769230773</v>
      </c>
      <c r="BW105" s="109">
        <f>VLOOKUP(Input!$C11,'2021Data'!$A1:$DX85,75,0)</f>
        <v>44.009897531439215</v>
      </c>
      <c r="BX105" s="109">
        <f>VLOOKUP(Input!$C11,'2021Data'!$A1:$DX85,76,0)</f>
        <v>4.3085279801192389</v>
      </c>
      <c r="BY105" s="109">
        <f>VLOOKUP(Input!$C11,'2021Data'!$A1:$DX85,77,0)</f>
        <v>0.99572159828863926</v>
      </c>
      <c r="BZ105" s="108">
        <f>VLOOKUP(Input!$C11,'2021Data'!$A1:$DX85,78,0)</f>
        <v>115</v>
      </c>
      <c r="CA105" s="108">
        <f>VLOOKUP(Input!$C11,'2021Data'!$A1:$DX85,79,0)</f>
        <v>35</v>
      </c>
      <c r="CB105" s="108">
        <f>VLOOKUP(Input!$C11,'2021Data'!$A1:$DX85,80,0)</f>
        <v>87</v>
      </c>
      <c r="CC105" s="108">
        <f>VLOOKUP(Input!$C11,'2021Data'!$A1:$DX85,81,0)</f>
        <v>237</v>
      </c>
      <c r="CD105" s="108">
        <f>VLOOKUP(Input!$C11,'2021Data'!$A1:$DX85,82,0)</f>
        <v>2573</v>
      </c>
      <c r="CE105" s="108">
        <f>VLOOKUP(Input!$C11,'2021Data'!$A1:$DX85,85,0)</f>
        <v>4647</v>
      </c>
      <c r="CF105" s="108">
        <f>VLOOKUP(Input!$C11,'2021Data'!$A1:$DX85,84,0)</f>
        <v>1225</v>
      </c>
      <c r="CG105" s="108">
        <f>VLOOKUP(Input!$C11,'2021Data'!$A1:$DX85,85,0)</f>
        <v>4647</v>
      </c>
      <c r="CH105" s="109">
        <f>VLOOKUP(Input!$C11,'2021Data'!$A1:$DX85,86,0)</f>
        <v>2.8164148439062529E-2</v>
      </c>
      <c r="CI105" s="108">
        <f>VLOOKUP(Input!$C11,'2021Data'!$A1:$DX85,87,0)</f>
        <v>87723</v>
      </c>
      <c r="CJ105" s="109">
        <f>VLOOKUP(Input!$C11,'2021Data'!$A1:$DX85,88,0)</f>
        <v>0.53166421207658321</v>
      </c>
      <c r="CK105" s="108">
        <f>VLOOKUP(Input!$C11,'2021Data'!$A1:$DX85,89,0)</f>
        <v>94158</v>
      </c>
      <c r="CL105" s="107" t="str">
        <f>VLOOKUP(Input!$C11,'2021Data'!$A1:$DX85,90,0)</f>
        <v>Yes</v>
      </c>
      <c r="CM105" s="107" t="str">
        <f>VLOOKUP(Input!$C11,'2021Data'!$A1:$DX85,91,0)</f>
        <v>Yes</v>
      </c>
      <c r="CN105" s="107" t="str">
        <f>VLOOKUP(Input!$C11,'2021Data'!$A1:$DX85,92,0)</f>
        <v>Yes</v>
      </c>
      <c r="CO105" s="169">
        <f>VLOOKUP(Input!$C11,'2021Data'!$A1:$DX85,93,0)</f>
        <v>11</v>
      </c>
      <c r="CP105" s="108">
        <f>VLOOKUP(Input!$C11,'2021Data'!$A1:$DX85,94,0)</f>
        <v>14999.727272727272</v>
      </c>
      <c r="CQ105" s="169">
        <f>VLOOKUP(Input!$C11,'2021Data'!$A1:$DX85,95,0)</f>
        <v>0</v>
      </c>
      <c r="CR105" s="169">
        <f>VLOOKUP(Input!$C11,'2021Data'!$A1:$DX85,96,0)</f>
        <v>54</v>
      </c>
      <c r="CS105" s="169">
        <f>VLOOKUP(Input!$C11,'2021Data'!$A1:$DX85,97,0)</f>
        <v>65</v>
      </c>
      <c r="CT105" s="108">
        <f>VLOOKUP(Input!$C11,'2021Data'!$A1:$DX85,98,0)</f>
        <v>2538.4153846153845</v>
      </c>
      <c r="CU105" s="108">
        <f>VLOOKUP(Input!$C11,'2021Data'!$A1:$DX85,99,0)</f>
        <v>375</v>
      </c>
      <c r="CV105" s="125">
        <f>VLOOKUP(Input!$C11,'2021Data'!$A1:$DX85,100,0)</f>
        <v>79060</v>
      </c>
      <c r="CW105" s="109">
        <f>VLOOKUP(Input!$C11,'2021Data'!$A1:$DX85,101,0)</f>
        <v>40</v>
      </c>
      <c r="CX105" s="107" t="str">
        <f>VLOOKUP(Input!$C11,'2021Data'!$A1:$DX85,102,0)</f>
        <v>Yes</v>
      </c>
      <c r="CY105" s="107" t="str">
        <f>VLOOKUP(Input!$C11,'2021Data'!$A1:$DX85,103,0)</f>
        <v>Yes</v>
      </c>
      <c r="CZ105" s="108">
        <f>VLOOKUP(Input!$C11,'2021Data'!$A1:$DX85,104,0)</f>
        <v>56</v>
      </c>
      <c r="DA105" s="108">
        <f>VLOOKUP(Input!$C11,'2021Data'!$A1:$DX85,105,0)</f>
        <v>194</v>
      </c>
      <c r="DB105" s="143">
        <f>VLOOKUP(Input!$C11,'2021Data'!$A1:$DX85,106,0)</f>
        <v>97</v>
      </c>
      <c r="DC105" s="108">
        <f>VLOOKUP(Input!$C11,'2021Data'!$A1:$DX85,107,0)</f>
        <v>9016</v>
      </c>
      <c r="DD105" s="141">
        <f>VLOOKUP(Input!$C11,'2021Data'!$A1:$DX85,108,0)</f>
        <v>7282</v>
      </c>
      <c r="DE105" s="108">
        <f>VLOOKUP(Input!$C11,'2021Data'!$A1:$DX85,109,0)</f>
        <v>118525</v>
      </c>
      <c r="DF105" s="108">
        <f>VLOOKUP(Input!$C11,'2021Data'!$A1:$DX85,110,0)</f>
        <v>11458</v>
      </c>
      <c r="DG105" s="108">
        <f>VLOOKUP(Input!$C11,'2021Data'!$A1:$DX85,111,0)</f>
        <v>52</v>
      </c>
      <c r="DH105" s="108">
        <f>VLOOKUP(Input!$C11,'2021Data'!$A1:$DX85,112,0)</f>
        <v>6.944368685491252E-2</v>
      </c>
      <c r="DI105" s="108">
        <f>VLOOKUP(Input!$C11,'2021Data'!$A1:$DX85,113,0)</f>
        <v>63</v>
      </c>
      <c r="DJ105" s="108">
        <f>VLOOKUP(Input!$C11,'2021Data'!$A1:$DX85,114,0)</f>
        <v>63</v>
      </c>
      <c r="DK105" s="108">
        <f>VLOOKUP(Input!$C11,'2021Data'!$A1:$DX85,115,0)</f>
        <v>6254</v>
      </c>
      <c r="DL105" s="108">
        <f>VLOOKUP(Input!$C11,'2021Data'!$A1:$DX85,116,0)</f>
        <v>8588</v>
      </c>
      <c r="DM105" s="108">
        <f>VLOOKUP(Input!$C11,'2021Data'!$A1:$DX85,117,0)</f>
        <v>0</v>
      </c>
      <c r="DN105" s="108" t="str">
        <f>VLOOKUP(Input!$C11,'2021Data'!$A1:$DX85,118,0)</f>
        <v>NC0103</v>
      </c>
      <c r="DO105" s="210" t="str">
        <f>VLOOKUP(Input!$C11,'2021Data'!$A1:$DX85,119,0)</f>
        <v>County</v>
      </c>
      <c r="DP105" s="108">
        <f>VLOOKUP(Input!$C11,'2021Data'!$A1:$DX85,120,0)</f>
        <v>0</v>
      </c>
      <c r="DQ105" s="108">
        <f>VLOOKUP(Input!$C11,'2021Data'!$A1:$DX85,121,0)</f>
        <v>0</v>
      </c>
      <c r="DR105" s="108" t="str">
        <f>VLOOKUP(Input!$C11,'2021Data'!$A1:$DX85,122,0)</f>
        <v>ALAMANCE</v>
      </c>
      <c r="DS105" s="108" t="str">
        <f>VLOOKUP(Input!$C11,'2021Data'!$A1:$DX85,123,0)</f>
        <v>ALAMANCE</v>
      </c>
      <c r="DT105" s="197">
        <f>VLOOKUP(Input!$C11,'2021Data'!$A1:$DX85,124,0)</f>
        <v>44013</v>
      </c>
      <c r="DU105" s="197">
        <f>VLOOKUP(Input!$C11,'2021Data'!$A1:$DX85,125,0)</f>
        <v>44377</v>
      </c>
      <c r="DW105" s="109">
        <f>VLOOKUP(Input!$C11,'2021Data'!$A2:$DZ85,127,0)</f>
        <v>0.53788250695467188</v>
      </c>
      <c r="DX105" s="109">
        <f>VLOOKUP(Input!$C11,'2021Data'!$A2:$DZ85,128,0)</f>
        <v>0</v>
      </c>
      <c r="DY105" s="109">
        <f>VLOOKUP(Input!$C11,'2021Data'!$A2:$DZ85,129,0)</f>
        <v>1.5069364897543591</v>
      </c>
      <c r="DZ105" s="109">
        <f>VLOOKUP(Input!$C11,'2021Data'!$A2:$DZ85,130,0)</f>
        <v>0.78375364400564862</v>
      </c>
      <c r="EA105" s="110">
        <f>VLOOKUP(Input!$C11,'2021Data'!$A2:$EB85,131,0)</f>
        <v>0.4683021675276906</v>
      </c>
      <c r="EB105" s="110">
        <f>VLOOKUP(Input!$C11,'2021Data'!$A2:$EB85,132,0)</f>
        <v>0.69596418104348234</v>
      </c>
    </row>
    <row r="106" spans="1:132" ht="13.5" thickBot="1" x14ac:dyDescent="0.25">
      <c r="B106" s="114" t="str">
        <f>IF($C105&lt;1999,B92,(IF($C105&lt;4999,B93,(IF($C105&lt;9999,B94,(IF($C105&lt;14999,B95,(IF($C105&lt;24999,B96,(IF($C105&lt;49999,B97,(IF($C105&lt;99999,B98,(IF($C105&lt;249999,B99,B100)))))))))))))))</f>
        <v>Average 100,000-249,999 population</v>
      </c>
      <c r="C106" s="108">
        <f>IF($C105&lt;1999,#REF!,(IF($C105&lt;4999,C93,(IF($C105&lt;9999,C94,(IF($C105&lt;14999,C95,(IF($C105&lt;24999,C96,(IF($C105&lt;49999,C97,(IF($C105&lt;99999,C98,(IF($C105&lt;249999,C99,C100)))))))))))))))</f>
        <v>161862.375</v>
      </c>
      <c r="D106" s="108">
        <f>IF($C105&lt;1999,#REF!,(IF($C105&lt;4999,D93,(IF($C105&lt;9999,D94,(IF($C105&lt;14999,D95,(IF($C105&lt;24999,D96,(IF($C105&lt;49999,D97,(IF($C105&lt;99999,D98,(IF($C105&lt;249999,D99,D100)))))))))))))))</f>
        <v>5.7777777777777777</v>
      </c>
      <c r="E106" s="108">
        <f>IF($C105&lt;1999,#REF!,(IF($C105&lt;4999,E93,(IF($C105&lt;9999,E94,(IF($C105&lt;14999,E95,(IF($C105&lt;24999,E96,(IF($C105&lt;49999,E97,(IF($C105&lt;99999,E98,(IF($C105&lt;249999,E99,E100)))))))))))))))</f>
        <v>1.1666666666666667</v>
      </c>
      <c r="F106" s="108">
        <f>IF($C105&lt;1999,#REF!,(IF($C105&lt;4999,F93,(IF($C105&lt;9999,F94,(IF($C105&lt;14999,F95,(IF($C105&lt;24999,F96,(IF($C105&lt;49999,F97,(IF($C105&lt;99999,F98,(IF($C105&lt;249999,F99,F100)))))))))))))))</f>
        <v>67273.458333333328</v>
      </c>
      <c r="G106" s="32" t="e">
        <f>IF($C105&lt;1999,#REF!,(IF($C105&lt;4999,G93,(IF($C105&lt;9999,G94,(IF($C105&lt;14999,G95,(IF($C105&lt;24999,G96,(IF($C105&lt;49999,G97,(IF($C105&lt;99999,G98,(IF($C105&lt;249999,G99,G100)))))))))))))))</f>
        <v>#DIV/0!</v>
      </c>
      <c r="H106" s="108">
        <f>IF($C105&lt;1999,#REF!,(IF($C105&lt;4999,H93,(IF($C105&lt;9999,H94,(IF($C105&lt;14999,H95,(IF($C105&lt;24999,H96,(IF($C105&lt;49999,H97,(IF($C105&lt;99999,H98,(IF($C105&lt;249999,H99,H100)))))))))))))))</f>
        <v>68169.260869565216</v>
      </c>
      <c r="I106" s="109">
        <f>IF($C105&lt;1999,#REF!,(IF($C105&lt;4999,I93,(IF($C105&lt;9999,I94,(IF($C105&lt;14999,I95,(IF($C105&lt;24999,I96,(IF($C105&lt;49999,I97,(IF($C105&lt;99999,I98,(IF($C105&lt;249999,I99,I100)))))))))))))))</f>
        <v>0.49835956521739133</v>
      </c>
      <c r="J106" s="125">
        <f>IF($C105&lt;1999,#REF!,(IF($C105&lt;4999,J93,(IF($C105&lt;9999,J94,(IF($C105&lt;14999,J95,(IF($C105&lt;24999,J96,(IF($C105&lt;49999,J97,(IF($C105&lt;99999,J98,(IF($C105&lt;249999,J99,J100)))))))))))))))</f>
        <v>1532654.6895833332</v>
      </c>
      <c r="K106" s="125">
        <f>IF($C105&lt;1999,#REF!,(IF($C105&lt;4999,K93,(IF($C105&lt;9999,K94,(IF($C105&lt;14999,K95,(IF($C105&lt;24999,K96,(IF($C105&lt;49999,K97,(IF($C105&lt;99999,K98,(IF($C105&lt;249999,K99,K100)))))))))))))))</f>
        <v>613917.74375000002</v>
      </c>
      <c r="L106" s="125">
        <f>IF($C105&lt;1999,#REF!,(IF($C105&lt;4999,L93,(IF($C105&lt;9999,L94,(IF($C105&lt;14999,L95,(IF($C105&lt;24999,L96,(IF($C105&lt;49999,L97,(IF($C105&lt;99999,L98,(IF($C105&lt;249999,L99,L100)))))))))))))))</f>
        <v>2168217.2782608694</v>
      </c>
      <c r="M106" s="110">
        <f>IF($C105&lt;1999,#REF!,(IF($C105&lt;4999,M93,(IF($C105&lt;9999,M94,(IF($C105&lt;14999,M95,(IF($C105&lt;24999,M96,(IF($C105&lt;49999,M97,(IF($C105&lt;99999,M98,(IF($C105&lt;249999,M99,M100)))))))))))))))</f>
        <v>13.733657827375085</v>
      </c>
      <c r="N106" s="125">
        <f>IF($C105&lt;1999,#REF!,(IF($C105&lt;4999,N93,(IF($C105&lt;9999,N94,(IF($C105&lt;14999,N95,(IF($C105&lt;24999,N96,(IF($C105&lt;49999,N97,(IF($C105&lt;99999,N98,(IF($C105&lt;249999,N99,N100)))))))))))))))</f>
        <v>168673.64791666667</v>
      </c>
      <c r="O106" s="125">
        <f>IF($C105&lt;1999,#REF!,(IF($C105&lt;4999,O93,(IF($C105&lt;9999,O94,(IF($C105&lt;14999,O95,(IF($C105&lt;24999,O96,(IF($C105&lt;49999,O97,(IF($C105&lt;99999,O98,(IF($C105&lt;249999,O99,O100)))))))))))))))</f>
        <v>76840.389583333337</v>
      </c>
      <c r="P106" s="125">
        <f>IF($C105&lt;1999,#REF!,(IF($C105&lt;4999,P93,(IF($C105&lt;9999,P94,(IF($C105&lt;14999,P95,(IF($C105&lt;24999,P96,(IF($C105&lt;49999,P97,(IF($C105&lt;99999,P98,(IF($C105&lt;249999,P99,P100)))))))))))))))</f>
        <v>28788.7</v>
      </c>
      <c r="Q106" s="125">
        <f>IF($C105&lt;1999,#REF!,(IF($C105&lt;4999,Q93,(IF($C105&lt;9999,Q94,(IF($C105&lt;14999,Q95,(IF($C105&lt;24999,Q96,(IF($C105&lt;49999,Q97,(IF($C105&lt;99999,Q98,(IF($C105&lt;249999,Q99,Q100)))))))))))))))</f>
        <v>274302.73749999999</v>
      </c>
      <c r="R106" s="110">
        <f>IF($C105&lt;1999,#REF!,(IF($C105&lt;4999,R93,(IF($C105&lt;9999,R94,(IF($C105&lt;14999,R95,(IF($C105&lt;24999,R96,(IF($C105&lt;49999,R97,(IF($C105&lt;99999,R98,(IF($C105&lt;249999,R99,R100)))))))))))))))</f>
        <v>1.7303612025763977</v>
      </c>
      <c r="S106" s="125">
        <f>IF($C105&lt;1999,#REF!,(IF($C105&lt;4999,S93,(IF($C105&lt;9999,S94,(IF($C105&lt;14999,S95,(IF($C105&lt;24999,S96,(IF($C105&lt;49999,S97,(IF($C105&lt;99999,S98,(IF($C105&lt;249999,S99,S100)))))))))))))))</f>
        <v>422615.22583333333</v>
      </c>
      <c r="T106" s="125">
        <f>IF($C105&lt;1999,#REF!,(IF($C105&lt;4999,T93,(IF($C105&lt;9999,T94,(IF($C105&lt;14999,T95,(IF($C105&lt;24999,T96,(IF($C105&lt;49999,T97,(IF($C105&lt;99999,T98,(IF($C105&lt;249999,T99,T100)))))))))))))))</f>
        <v>2843490.3966666665</v>
      </c>
      <c r="U106" s="125">
        <f>IF($C105&lt;1999,#REF!,(IF($C105&lt;4999,U93,(IF($C105&lt;9999,U94,(IF($C105&lt;14999,U95,(IF($C105&lt;24999,U96,(IF($C105&lt;49999,U97,(IF($C105&lt;99999,U98,(IF($C105&lt;249999,U99,U100)))))))))))))))</f>
        <v>1925.6521739130435</v>
      </c>
      <c r="V106" s="125">
        <f>IF($C105&lt;1999,#REF!,(IF($C105&lt;4999,V93,(IF($C105&lt;9999,V94,(IF($C105&lt;14999,V95,(IF($C105&lt;24999,V96,(IF($C105&lt;49999,V97,(IF($C105&lt;99999,V98,(IF($C105&lt;249999,V99,V100)))))))))))))))</f>
        <v>2843490.3966666665</v>
      </c>
      <c r="W106" s="110">
        <f>IF($C105&lt;1999,#REF!,(IF($C105&lt;4999,W93,(IF($C105&lt;9999,W94,(IF($C105&lt;14999,W95,(IF($C105&lt;24999,W96,(IF($C105&lt;49999,W97,(IF($C105&lt;99999,W98,(IF($C105&lt;249999,W99,W100)))))))))))))))</f>
        <v>18.311265333629759</v>
      </c>
      <c r="X106" s="126">
        <f>IF($C105&lt;1999,#REF!,(IF($C105&lt;4999,X93,(IF($C105&lt;9999,X94,(IF($C105&lt;14999,X95,(IF($C105&lt;24999,X96,(IF($C105&lt;49999,X97,(IF($C105&lt;99999,X98,(IF($C105&lt;249999,X99,X100)))))))))))))))</f>
        <v>0.75240174484294431</v>
      </c>
      <c r="Y106" s="126">
        <f>IF($C105&lt;1999,#REF!,(IF($C105&lt;4999,Y93,(IF($C105&lt;9999,Y94,(IF($C105&lt;14999,Y95,(IF($C105&lt;24999,Y96,(IF($C105&lt;49999,Y97,(IF($C105&lt;99999,Y98,(IF($C105&lt;249999,Y99,Y100)))))))))))))))</f>
        <v>9.4521500041288564E-2</v>
      </c>
      <c r="Z106" s="126">
        <f>IF($C105&lt;1999,#REF!,(IF($C105&lt;4999,Z93,(IF($C105&lt;9999,Z94,(IF($C105&lt;14999,Z95,(IF($C105&lt;24999,Z96,(IF($C105&lt;49999,Z97,(IF($C105&lt;99999,Z98,(IF($C105&lt;249999,Z99,Z100)))))))))))))))</f>
        <v>0.15307675511576721</v>
      </c>
      <c r="AA106" s="126">
        <f>IF($C105&lt;1999,#REF!,(IF($C105&lt;4999,AA93,(IF($C105&lt;9999,AA94,(IF($C105&lt;14999,AA95,(IF($C105&lt;24999,AA96,(IF($C105&lt;49999,AA97,(IF($C105&lt;99999,AA98,(IF($C105&lt;249999,AA99,AA100)))))))))))))))</f>
        <v>7.5332167830681051E-4</v>
      </c>
      <c r="AB106" s="125">
        <f>IF($C105&lt;1999,#REF!,(IF($C105&lt;4999,AB93,(IF($C105&lt;9999,AB94,(IF($C105&lt;14999,AB95,(IF($C105&lt;24999,AB96,(IF($C105&lt;49999,AB97,(IF($C105&lt;99999,AB98,(IF($C105&lt;249999,AB99,AB100)))))))))))))))</f>
        <v>775905.875</v>
      </c>
      <c r="AC106" s="125">
        <f>IF($C105&lt;1999,#REF!,(IF($C105&lt;4999,AC93,(IF($C105&lt;9999,AC94,(IF($C105&lt;14999,AC95,(IF($C105&lt;24999,AC96,(IF($C105&lt;49999,AC97,(IF($C105&lt;99999,AC98,(IF($C105&lt;249999,AC99,AC100)))))))))))))))</f>
        <v>397859.875</v>
      </c>
      <c r="AD106" s="125">
        <f>IF($C105&lt;1999,#REF!,(IF($C105&lt;4999,AD93,(IF($C105&lt;9999,AD94,(IF($C105&lt;14999,AD95,(IF($C105&lt;24999,AD96,(IF($C105&lt;49999,AD97,(IF($C105&lt;99999,AD98,(IF($C105&lt;249999,AD99,AD100)))))))))))))))</f>
        <v>2303226.0833333335</v>
      </c>
      <c r="AE106" s="125" t="e">
        <f>IF($C105&lt;1999,#REF!,(IF($C105&lt;4999,AE93,(IF($C105&lt;9999,AE94,(IF($C105&lt;14999,AE95,(IF($C105&lt;24999,AE96,(IF($C105&lt;49999,AE97,(IF($C105&lt;99999,AE98,(IF($C105&lt;249999,AE99,AE100)))))))))))))))</f>
        <v>#DIV/0!</v>
      </c>
      <c r="AF106" s="125" t="e">
        <f>IF($C105&lt;1999,#REF!,(IF($C105&lt;4999,AF93,(IF($C105&lt;9999,AF94,(IF($C105&lt;14999,AF95,(IF($C105&lt;24999,AF96,(IF($C105&lt;49999,AF97,(IF($C105&lt;99999,AF98,(IF($C105&lt;249999,AF99,AF100)))))))))))))))</f>
        <v>#REF!</v>
      </c>
      <c r="AG106" s="125" t="e">
        <f>IF($C105&lt;1999,#REF!,(IF($C105&lt;4999,AG93,(IF($C105&lt;9999,AG94,(IF($C105&lt;14999,AG95,(IF($C105&lt;24999,AG96,(IF($C105&lt;49999,AG97,(IF($C105&lt;99999,AG98,(IF($C105&lt;249999,AG99,AG100)))))))))))))))</f>
        <v>#REF!</v>
      </c>
      <c r="AH106" s="125" t="e">
        <f>IF($C105&lt;1999,#REF!,(IF($C105&lt;4999,AH93,(IF($C105&lt;9999,AH94,(IF($C105&lt;14999,AH95,(IF($C105&lt;24999,AH96,(IF($C105&lt;49999,AH97,(IF($C105&lt;99999,AH98,(IF($C105&lt;249999,AH99,AH100)))))))))))))))</f>
        <v>#DIV/0!</v>
      </c>
      <c r="AI106" s="125">
        <f>IF($C105&lt;1999,#REF!,(IF($C105&lt;4999,AI93,(IF($C105&lt;9999,AI94,(IF($C105&lt;14999,AI95,(IF($C105&lt;24999,AI96,(IF($C105&lt;49999,AI97,(IF($C105&lt;99999,AI98,(IF($C105&lt;249999,AI99,AI100)))))))))))))))</f>
        <v>2733067.2173913042</v>
      </c>
      <c r="AJ106" s="110">
        <f>IF($C105&lt;1999,#REF!,(IF($C105&lt;4999,AJ93,(IF($C105&lt;9999,AJ94,(IF($C105&lt;14999,AJ95,(IF($C105&lt;24999,AJ96,(IF($C105&lt;49999,AJ97,(IF($C105&lt;99999,AJ98,(IF($C105&lt;249999,AJ99,AJ100)))))))))))))))</f>
        <v>17.424225398541179</v>
      </c>
      <c r="AK106" s="125">
        <f>IF($C105&lt;1999,#REF!,(IF($C105&lt;4999,AK93,(IF($C105&lt;9999,AK94,(IF($C105&lt;14999,AK95,(IF($C105&lt;24999,AK96,(IF($C105&lt;49999,AK97,(IF($C105&lt;99999,AK98,(IF($C105&lt;249999,AK99,AK100)))))))))))))))</f>
        <v>232688.875</v>
      </c>
      <c r="AL106" s="125">
        <f>IF($C105&lt;1999,#REF!,(IF($C105&lt;4999,AL93,(IF($C105&lt;9999,AL94,(IF($C105&lt;14999,AL95,(IF($C105&lt;24999,AL96,(IF($C105&lt;49999,AL97,(IF($C105&lt;99999,AL98,(IF($C105&lt;249999,AL99,AL100)))))))))))))))</f>
        <v>14421.95652173913</v>
      </c>
      <c r="AM106" s="125" t="e">
        <f>IF($C105&lt;1999,#REF!,(IF($C105&lt;4999,AM93,(IF($C105&lt;9999,AM94,(IF($C105&lt;14999,AM95,(IF($C105&lt;24999,AM96,(IF($C105&lt;49999,AM97,(IF($C105&lt;99999,AM98,(IF($C105&lt;249999,AM99,AM100)))))))))))))))</f>
        <v>#DIV/0!</v>
      </c>
      <c r="AN106" s="125">
        <f>IF($C105&lt;1999,#REF!,(IF($C105&lt;4999,AN93,(IF($C105&lt;9999,AN94,(IF($C105&lt;14999,AN95,(IF($C105&lt;24999,AN96,(IF($C105&lt;49999,AN97,(IF($C105&lt;99999,AN98,(IF($C105&lt;249999,AN99,AN100)))))))))))))))</f>
        <v>63270.166666666664</v>
      </c>
      <c r="AO106" s="125">
        <f>IF($C105&lt;1999,#REF!,(IF($C105&lt;4999,AO93,(IF($C105&lt;9999,AO94,(IF($C105&lt;14999,AO95,(IF($C105&lt;24999,AO96,(IF($C105&lt;49999,AO97,(IF($C105&lt;99999,AO98,(IF($C105&lt;249999,AO99,AO100)))))))))))))))</f>
        <v>65723.739130434784</v>
      </c>
      <c r="AP106" s="125">
        <f>IF($C105&lt;1999,#REF!,(IF($C105&lt;4999,AP93,(IF($C105&lt;9999,AP94,(IF($C105&lt;14999,AP95,(IF($C105&lt;24999,AP96,(IF($C105&lt;49999,AP97,(IF($C105&lt;99999,AP98,(IF($C105&lt;249999,AP99,AP100)))))))))))))))</f>
        <v>3030936.8333333335</v>
      </c>
      <c r="AQ106" s="110">
        <f>IF($C105&lt;1999,#REF!,(IF($C105&lt;4999,AQ93,(IF($C105&lt;9999,AQ94,(IF($C105&lt;14999,AQ95,(IF($C105&lt;24999,AQ96,(IF($C105&lt;49999,AQ97,(IF($C105&lt;99999,AQ98,(IF($C105&lt;249999,AQ99,AQ100)))))))))))))))</f>
        <v>19.512424217072478</v>
      </c>
      <c r="AR106" s="125" t="e">
        <f>IF($C105&lt;1999,#REF!,(IF($C105&lt;4999,AR93,(IF($C105&lt;9999,AR94,(IF($C105&lt;14999,AR95,(IF($C105&lt;24999,AR96,(IF($C105&lt;49999,AR97,(IF($C105&lt;99999,AR98,(IF($C105&lt;249999,AR99,AR100)))))))))))))))</f>
        <v>#DIV/0!</v>
      </c>
      <c r="AS106" s="125">
        <f>IF($C105&lt;1999,#REF!,(IF($C105&lt;4999,AS93,(IF($C105&lt;9999,AS94,(IF($C105&lt;14999,AS95,(IF($C105&lt;24999,AS96,(IF($C105&lt;49999,AS97,(IF($C105&lt;99999,AS98,(IF($C105&lt;249999,AS99,AS100)))))))))))))))</f>
        <v>22109.82608695652</v>
      </c>
      <c r="AT106" s="125">
        <f>IF($C105&lt;1999,#REF!,(IF($C105&lt;4999,AT93,(IF($C105&lt;9999,AT94,(IF($C105&lt;14999,AT95,(IF($C105&lt;24999,AT96,(IF($C105&lt;49999,AT97,(IF($C105&lt;99999,AT98,(IF($C105&lt;249999,AT99,AT100)))))))))))))))</f>
        <v>0</v>
      </c>
      <c r="AU106" s="125">
        <f>IF($C105&lt;1999,#REF!,(IF($C105&lt;4999,AU93,(IF($C105&lt;9999,AU94,(IF($C105&lt;14999,AU95,(IF($C105&lt;24999,AU96,(IF($C105&lt;49999,AU97,(IF($C105&lt;99999,AU98,(IF($C105&lt;249999,AU99,AU100)))))))))))))))</f>
        <v>2173.913043478261</v>
      </c>
      <c r="AV106" s="125">
        <f>IF($C105&lt;1999,#REF!,(IF($C105&lt;4999,AV93,(IF($C105&lt;9999,AV94,(IF($C105&lt;14999,AV95,(IF($C105&lt;24999,AV96,(IF($C105&lt;49999,AV97,(IF($C105&lt;99999,AV98,(IF($C105&lt;249999,AV99,AV100)))))))))))))))</f>
        <v>1918.9565217391305</v>
      </c>
      <c r="AW106" s="125" t="e">
        <f>IF($C105&lt;1999,#REF!,(IF($C105&lt;4999,AW93,(IF($C105&lt;9999,AW94,(IF($C105&lt;14999,AW95,(IF($C105&lt;24999,AW96,(IF($C105&lt;49999,AW97,(IF($C105&lt;99999,AW98,(IF($C105&lt;249999,AW99,AW100)))))))))))))))</f>
        <v>#DIV/0!</v>
      </c>
      <c r="AX106" s="125">
        <f>IF($C105&lt;1999,#REF!,(IF($C105&lt;4999,AX93,(IF($C105&lt;9999,AX94,(IF($C105&lt;14999,AX95,(IF($C105&lt;24999,AX96,(IF($C105&lt;49999,AX97,(IF($C105&lt;99999,AX98,(IF($C105&lt;249999,AX99,AX100)))))))))))))))</f>
        <v>1843.695652173913</v>
      </c>
      <c r="AY106" s="125">
        <f>IF($C105&lt;1999,#REF!,(IF($C105&lt;4999,AY93,(IF($C105&lt;9999,AY94,(IF($C105&lt;14999,AY95,(IF($C105&lt;24999,AY96,(IF($C105&lt;49999,AY97,(IF($C105&lt;99999,AY98,(IF($C105&lt;249999,AY99,AY100)))))))))))))))</f>
        <v>28046.391304347828</v>
      </c>
      <c r="AZ106" s="108">
        <f>IF($C105&lt;1999,#REF!,(IF($C105&lt;4999,AZ93,(IF($C105&lt;9999,AZ94,(IF($C105&lt;14999,AZ95,(IF($C105&lt;24999,AZ96,(IF($C105&lt;49999,AZ97,(IF($C105&lt;99999,AZ98,(IF($C105&lt;249999,AZ99,AZ100)))))))))))))))</f>
        <v>210785.83333333334</v>
      </c>
      <c r="BA106" s="109">
        <f>IF($C105&lt;1999,#REF!,(IF($C105&lt;4999,BA93,(IF($C105&lt;9999,BA94,(IF($C105&lt;14999,BA95,(IF($C105&lt;24999,BA96,(IF($C105&lt;49999,BA97,(IF($C105&lt;99999,BA98,(IF($C105&lt;249999,BA99,BA100)))))))))))))))</f>
        <v>1.3668542608196013</v>
      </c>
      <c r="BB106" s="108">
        <f>IF($C105&lt;1999,#REF!,(IF($C105&lt;4999,BB93,(IF($C105&lt;9999,BB94,(IF($C105&lt;14999,BB95,(IF($C105&lt;24999,BB96,(IF($C105&lt;49999,BB97,(IF($C105&lt;99999,BB98,(IF($C105&lt;249999,BB99,BB100)))))))))))))))</f>
        <v>7646.833333333333</v>
      </c>
      <c r="BC106" s="108">
        <f>IF($C105&lt;1999,#REF!,(IF($C105&lt;4999,BC93,(IF($C105&lt;9999,BC94,(IF($C105&lt;14999,BC95,(IF($C105&lt;24999,BC96,(IF($C105&lt;49999,BC97,(IF($C105&lt;99999,BC98,(IF($C105&lt;249999,BC99,BC100)))))))))))))))</f>
        <v>43675.833333333336</v>
      </c>
      <c r="BD106" s="108">
        <f>IF($C105&lt;1999,#REF!,(IF($C105&lt;4999,BD93,(IF($C105&lt;9999,BD94,(IF($C105&lt;14999,BD95,(IF($C105&lt;24999,BD96,(IF($C105&lt;49999,BD97,(IF($C105&lt;99999,BD98,(IF($C105&lt;249999,BD99,BD100)))))))))))))))</f>
        <v>14829.166666666666</v>
      </c>
      <c r="BE106" s="108">
        <f>IF($C105&lt;1999,#REF!,(IF($C105&lt;4999,BE93,(IF($C105&lt;9999,BE94,(IF($C105&lt;14999,BE95,(IF($C105&lt;24999,BE96,(IF($C105&lt;49999,BE97,(IF($C105&lt;99999,BE98,(IF($C105&lt;249999,BE99,BE100)))))))))))))))</f>
        <v>5119</v>
      </c>
      <c r="BF106" s="108">
        <f>IF($C105&lt;1999,#REF!,(IF($C105&lt;4999,BF93,(IF($C105&lt;9999,BF94,(IF($C105&lt;14999,BF95,(IF($C105&lt;24999,BF96,(IF($C105&lt;49999,BF97,(IF($C105&lt;99999,BF98,(IF($C105&lt;249999,BF99,BF100)))))))))))))))</f>
        <v>201739.91666666666</v>
      </c>
      <c r="BG106" s="108">
        <f>IF($C105&lt;1999,#REF!,(IF($C105&lt;4999,BG93,(IF($C105&lt;9999,BG94,(IF($C105&lt;14999,BG95,(IF($C105&lt;24999,BG96,(IF($C105&lt;49999,BG97,(IF($C105&lt;99999,BG98,(IF($C105&lt;249999,BG99,BG100)))))))))))))))</f>
        <v>5.3913043478260869</v>
      </c>
      <c r="BH106" s="108">
        <f>IF($C105&lt;1999,#REF!,(IF($C105&lt;4999,BH93,(IF($C105&lt;9999,BH94,(IF($C105&lt;14999,BH95,(IF($C105&lt;24999,BH96,(IF($C105&lt;49999,BH97,(IF($C105&lt;99999,BH98,(IF($C105&lt;249999,BH99,BH100)))))))))))))))</f>
        <v>89</v>
      </c>
      <c r="BI106" s="108">
        <f>IF($C105&lt;1999,#REF!,(IF($C105&lt;4999,BI93,(IF($C105&lt;9999,BI94,(IF($C105&lt;14999,BI95,(IF($C105&lt;24999,BI96,(IF($C105&lt;49999,BI97,(IF($C105&lt;99999,BI98,(IF($C105&lt;249999,BI99,BI100)))))))))))))))</f>
        <v>0</v>
      </c>
      <c r="BJ106" s="108">
        <f>IF($C105&lt;1999,#REF!,(IF($C105&lt;4999,BJ93,(IF($C105&lt;9999,BJ94,(IF($C105&lt;14999,BJ95,(IF($C105&lt;24999,BJ96,(IF($C105&lt;49999,BJ97,(IF($C105&lt;99999,BJ98,(IF($C105&lt;249999,BJ99,BJ100)))))))))))))))</f>
        <v>94.5</v>
      </c>
      <c r="BK106" s="108">
        <f>IF($C105&lt;1999,#REF!,(IF($C105&lt;4999,BK93,(IF($C105&lt;9999,BK94,(IF($C105&lt;14999,BK95,(IF($C105&lt;24999,BK96,(IF($C105&lt;49999,BK97,(IF($C105&lt;99999,BK98,(IF($C105&lt;249999,BK99,BK100)))))))))))))))</f>
        <v>495127.75</v>
      </c>
      <c r="BL106" s="109">
        <f>IF($C105&lt;1999,#REF!,(IF($C105&lt;4999,BL93,(IF($C105&lt;9999,BL94,(IF($C105&lt;14999,BL95,(IF($C105&lt;24999,BL96,(IF($C105&lt;49999,BL97,(IF($C105&lt;99999,BL98,(IF($C105&lt;249999,BL99,BL100)))))))))))))))</f>
        <v>3.336631011239362</v>
      </c>
      <c r="BM106" s="108">
        <f>IF($C105&lt;1999,#REF!,(IF($C105&lt;4999,BM93,(IF($C105&lt;9999,BM94,(IF($C105&lt;14999,BM95,(IF($C105&lt;24999,BM96,(IF($C105&lt;49999,BM97,(IF($C105&lt;99999,BM98,(IF($C105&lt;249999,BM99,BM100)))))))))))))))</f>
        <v>125.125</v>
      </c>
      <c r="BN106" s="108">
        <f>IF($C105&lt;1999,#REF!,(IF($C105&lt;4999,BN93,(IF($C105&lt;9999,BN94,(IF($C105&lt;14999,BN95,(IF($C105&lt;24999,BN96,(IF($C105&lt;49999,BN97,(IF($C105&lt;99999,BN98,(IF($C105&lt;249999,BN99,BN100)))))))))))))))</f>
        <v>54523.333333333336</v>
      </c>
      <c r="BO106" s="109">
        <f>IF($C105&lt;1999,#REF!,(IF($C105&lt;4999,BO93,(IF($C105&lt;9999,BO94,(IF($C105&lt;14999,BO95,(IF($C105&lt;24999,BO96,(IF($C105&lt;49999,BO97,(IF($C105&lt;99999,BO98,(IF($C105&lt;249999,BO99,BO100)))))))))))))))</f>
        <v>0.32097172688404296</v>
      </c>
      <c r="BP106" s="108">
        <f>IF($C105&lt;1999,#REF!,(IF($C105&lt;4999,BP93,(IF($C105&lt;9999,BP94,(IF($C105&lt;14999,BP95,(IF($C105&lt;24999,BP96,(IF($C105&lt;49999,BP97,(IF($C105&lt;99999,BP98,(IF($C105&lt;249999,BP99,BP100)))))))))))))))</f>
        <v>132389.70833333334</v>
      </c>
      <c r="BQ106" s="108">
        <f>IF($C105&lt;1999,#REF!,(IF($C105&lt;4999,BQ93,(IF($C105&lt;9999,BQ94,(IF($C105&lt;14999,BQ95,(IF($C105&lt;24999,BQ96,(IF($C105&lt;49999,BQ97,(IF($C105&lt;99999,BQ98,(IF($C105&lt;249999,BQ99,BQ100)))))))))))))))</f>
        <v>0</v>
      </c>
      <c r="BR106" s="360">
        <f>IF($C105&lt;1999,#REF!,(IF($C105&lt;4999,BR93,(IF($C105&lt;9999,BR94,(IF($C105&lt;14999,BR95,(IF($C105&lt;24999,BR96,(IF($C105&lt;49999,BR97,(IF($C105&lt;99999,BR98,(IF($C105&lt;249999,BR99,BR100)))))))))))))))</f>
        <v>306985.86956521741</v>
      </c>
      <c r="BS106" s="108">
        <f>IF($C105&lt;1999,#REF!,(IF($C105&lt;4999,BS93,(IF($C105&lt;9999,BS94,(IF($C105&lt;14999,BS95,(IF($C105&lt;24999,BS96,(IF($C105&lt;49999,BS97,(IF($C105&lt;99999,BS98,(IF($C105&lt;249999,BS99,BS100)))))))))))))))</f>
        <v>225010.20833333334</v>
      </c>
      <c r="BT106" s="108">
        <f>IF($C105&lt;1999,#REF!,(IF($C105&lt;4999,BT93,(IF($C105&lt;9999,BT94,(IF($C105&lt;14999,BT95,(IF($C105&lt;24999,BT96,(IF($C105&lt;49999,BT97,(IF($C105&lt;99999,BT98,(IF($C105&lt;249999,BT99,BT100)))))))))))))))</f>
        <v>525387.20833333337</v>
      </c>
      <c r="BU106" s="109">
        <f>IF($C105&lt;1999,#REF!,(IF($C105&lt;4999,BU93,(IF($C105&lt;9999,BU94,(IF($C105&lt;14999,BU95,(IF($C105&lt;24999,BU96,(IF($C105&lt;49999,BU97,(IF($C105&lt;99999,BU98,(IF($C105&lt;249999,BU99,BU100)))))))))))))))</f>
        <v>3.2890371330046633</v>
      </c>
      <c r="BV106" s="108">
        <f>IF($C105&lt;1999,#REF!,(IF($C105&lt;4999,BV93,(IF($C105&lt;9999,BV94,(IF($C105&lt;14999,BV95,(IF($C105&lt;24999,BV96,(IF($C105&lt;49999,BV97,(IF($C105&lt;99999,BV98,(IF($C105&lt;249999,BV99,BV100)))))))))))))))</f>
        <v>13100.169187808415</v>
      </c>
      <c r="BW106" s="109">
        <f>IF($C105&lt;1999,#REF!,(IF($C105&lt;4999,BW93,(IF($C105&lt;9999,BW94,(IF($C105&lt;14999,BW95,(IF($C105&lt;24999,BW96,(IF($C105&lt;49999,BW97,(IF($C105&lt;99999,BW98,(IF($C105&lt;249999,BW99,BW100)))))))))))))))</f>
        <v>126.18371026882541</v>
      </c>
      <c r="BX106" s="109">
        <f>IF($C105&lt;1999,#REF!,(IF($C105&lt;4999,BX93,(IF($C105&lt;9999,BX94,(IF($C105&lt;14999,BX95,(IF($C105&lt;24999,BX96,(IF($C105&lt;49999,BX97,(IF($C105&lt;99999,BX98,(IF($C105&lt;249999,BX99,BX100)))))))))))))))</f>
        <v>4.6904943152027068</v>
      </c>
      <c r="BY106" s="109">
        <f>IF($C105&lt;1999,#REF!,(IF($C105&lt;4999,BY93,(IF($C105&lt;9999,BY94,(IF($C105&lt;14999,BY95,(IF($C105&lt;24999,BY96,(IF($C105&lt;49999,BY97,(IF($C105&lt;99999,BY98,(IF($C105&lt;249999,BY99,BY100)))))))))))))))</f>
        <v>1.1492711527769861</v>
      </c>
      <c r="BZ106" s="108">
        <f>IF($C105&lt;1999,#REF!,(IF($C105&lt;4999,BZ93,(IF($C105&lt;9999,BZ94,(IF($C105&lt;14999,BZ95,(IF($C105&lt;24999,BZ96,(IF($C105&lt;49999,BZ97,(IF($C105&lt;99999,BZ98,(IF($C105&lt;249999,BZ99,BZ100)))))))))))))))</f>
        <v>122.79166666666667</v>
      </c>
      <c r="CA106" s="108">
        <f>IF($C105&lt;1999,#REF!,(IF($C105&lt;4999,CA93,(IF($C105&lt;9999,CA94,(IF($C105&lt;14999,CA95,(IF($C105&lt;24999,CA96,(IF($C105&lt;49999,CA97,(IF($C105&lt;99999,CA98,(IF($C105&lt;249999,CA99,CA100)))))))))))))))</f>
        <v>21.625</v>
      </c>
      <c r="CB106" s="108">
        <f>IF($C105&lt;1999,#REF!,(IF($C105&lt;4999,CB93,(IF($C105&lt;9999,CB94,(IF($C105&lt;14999,CB95,(IF($C105&lt;24999,CB96,(IF($C105&lt;49999,CB97,(IF($C105&lt;99999,CB98,(IF($C105&lt;249999,CB99,CB100)))))))))))))))</f>
        <v>84.291666666666671</v>
      </c>
      <c r="CC106" s="108">
        <f>IF($C105&lt;1999,#REF!,(IF($C105&lt;4999,CC93,(IF($C105&lt;9999,CC94,(IF($C105&lt;14999,CC95,(IF($C105&lt;24999,CC96,(IF($C105&lt;49999,CC97,(IF($C105&lt;99999,CC98,(IF($C105&lt;249999,CC99,CC100)))))))))))))))</f>
        <v>228.65217391304347</v>
      </c>
      <c r="CD106" s="108">
        <f>IF($C105&lt;1999,#REF!,(IF($C105&lt;4999,CD93,(IF($C105&lt;9999,CD94,(IF($C105&lt;14999,CD95,(IF($C105&lt;24999,CD96,(IF($C105&lt;49999,CD97,(IF($C105&lt;99999,CD98,(IF($C105&lt;249999,CD99,CD100)))))))))))))))</f>
        <v>1746.5416666666667</v>
      </c>
      <c r="CE106" s="108">
        <f>IF($C105&lt;1999,#REF!,(IF($C105&lt;4999,CE93,(IF($C105&lt;9999,CE94,(IF($C105&lt;14999,CE95,(IF($C105&lt;24999,CE96,(IF($C105&lt;49999,CE97,(IF($C105&lt;99999,CE98,(IF($C105&lt;249999,CE99,CE100)))))))))))))))</f>
        <v>348.58333333333331</v>
      </c>
      <c r="CF106" s="108">
        <f>IF($C105&lt;1999,#REF!,(IF($C105&lt;4999,CF93,(IF($C105&lt;9999,CF94,(IF($C105&lt;14999,CF95,(IF($C105&lt;24999,CF96,(IF($C105&lt;49999,CF97,(IF($C105&lt;99999,CF98,(IF($C105&lt;249999,CF99,CF100)))))))))))))))</f>
        <v>449.04166666666669</v>
      </c>
      <c r="CG106" s="108">
        <f>IF($C105&lt;1999,#REF!,(IF($C105&lt;4999,CG93,(IF($C105&lt;9999,CG94,(IF($C105&lt;14999,CG95,(IF($C105&lt;24999,CG96,(IF($C105&lt;49999,CG97,(IF($C105&lt;99999,CG98,(IF($C105&lt;249999,CG99,CG100)))))))))))))))</f>
        <v>2632.9565217391305</v>
      </c>
      <c r="CH106" s="109">
        <f>IF($C105&lt;1999,#REF!,(IF($C105&lt;4999,CH93,(IF($C105&lt;9999,CH94,(IF($C105&lt;14999,CH95,(IF($C105&lt;24999,CH96,(IF($C105&lt;49999,CH97,(IF($C105&lt;99999,CH98,(IF($C105&lt;249999,CH99,CH100)))))))))))))))</f>
        <v>1.5484674871923848E-2</v>
      </c>
      <c r="CI106" s="108">
        <f>IF($C105&lt;1999,#REF!,(IF($C105&lt;4999,CI93,(IF($C105&lt;9999,CI94,(IF($C105&lt;14999,CI95,(IF($C105&lt;24999,CI96,(IF($C105&lt;49999,CI97,(IF($C105&lt;99999,CI98,(IF($C105&lt;249999,CI99,CI100)))))))))))))))</f>
        <v>430873.56666666665</v>
      </c>
      <c r="CJ106" s="109">
        <f>IF($C105&lt;1999,#REF!,(IF($C105&lt;4999,CJ93,(IF($C105&lt;9999,CJ94,(IF($C105&lt;14999,CJ95,(IF($C105&lt;24999,CJ96,(IF($C105&lt;49999,CJ97,(IF($C105&lt;99999,CJ98,(IF($C105&lt;249999,CJ99,CJ100)))))))))))))))</f>
        <v>0.78567565351098712</v>
      </c>
      <c r="CK106" s="108">
        <f>IF($C105&lt;1999,#REF!,(IF($C105&lt;4999,CK93,(IF($C105&lt;9999,CK94,(IF($C105&lt;14999,CK95,(IF($C105&lt;24999,CK96,(IF($C105&lt;49999,CK97,(IF($C105&lt;99999,CK98,(IF($C105&lt;249999,CK99,CK100)))))))))))))))</f>
        <v>83101.041666666672</v>
      </c>
      <c r="CL106" s="107">
        <f>IF($C105&lt;1999,#REF!,(IF($C105&lt;4999,CL93,(IF($C105&lt;9999,CL94,(IF($C105&lt;14999,CL95,(IF($C105&lt;24999,CL96,(IF($C105&lt;49999,CL97,(IF($C105&lt;99999,CL98,(IF($C105&lt;249999,CL99,CL100)))))))))))))))</f>
        <v>23</v>
      </c>
      <c r="CM106" s="107">
        <f>IF($C105&lt;1999,#REF!,(IF($C105&lt;4999,CM93,(IF($C105&lt;9999,CM94,(IF($C105&lt;14999,CM95,(IF($C105&lt;24999,CM96,(IF($C105&lt;49999,CM97,(IF($C105&lt;99999,CM98,(IF($C105&lt;249999,CM99,CM100)))))))))))))))</f>
        <v>23</v>
      </c>
      <c r="CN106" s="107">
        <f>IF($C105&lt;1999,#REF!,(IF($C105&lt;4999,CN93,(IF($C105&lt;9999,CN94,(IF($C105&lt;14999,CN95,(IF($C105&lt;24999,CN96,(IF($C105&lt;49999,CN97,(IF($C105&lt;99999,CN98,(IF($C105&lt;249999,CN99,CN100)))))))))))))))</f>
        <v>23</v>
      </c>
      <c r="CO106" s="169">
        <f>IF($C105&lt;1999,#REF!,(IF($C105&lt;4999,CO93,(IF($C105&lt;9999,CO94,(IF($C105&lt;14999,CO95,(IF($C105&lt;24999,CO96,(IF($C105&lt;49999,CO97,(IF($C105&lt;99999,CO98,(IF($C105&lt;249999,CO99,CO100)))))))))))))))</f>
        <v>8.41</v>
      </c>
      <c r="CP106" s="108">
        <f>IF($C105&lt;1999,#REF!,(IF($C105&lt;4999,CP93,(IF($C105&lt;9999,CP94,(IF($C105&lt;14999,CP95,(IF($C105&lt;24999,CP96,(IF($C105&lt;49999,CP97,(IF($C105&lt;99999,CP98,(IF($C105&lt;249999,CP99,CP100)))))))))))))))</f>
        <v>23456.446264211245</v>
      </c>
      <c r="CQ106" s="169">
        <f>IF($C105&lt;1999,#REF!,(IF($C105&lt;4999,CQ93,(IF($C105&lt;9999,CQ94,(IF($C105&lt;14999,CQ95,(IF($C105&lt;24999,CQ96,(IF($C105&lt;49999,CQ97,(IF($C105&lt;99999,CQ98,(IF($C105&lt;249999,CQ99,CQ100)))))))))))))))</f>
        <v>0.87833333333333341</v>
      </c>
      <c r="CR106" s="169">
        <f>IF($C105&lt;1999,#REF!,(IF($C105&lt;4999,CR93,(IF($C105&lt;9999,CR94,(IF($C105&lt;14999,CR95,(IF($C105&lt;24999,CR96,(IF($C105&lt;49999,CR97,(IF($C105&lt;99999,CR98,(IF($C105&lt;249999,CR99,CR100)))))))))))))))</f>
        <v>32.303333333333335</v>
      </c>
      <c r="CS106" s="169">
        <f>IF($C105&lt;1999,#REF!,(IF($C105&lt;4999,CS93,(IF($C105&lt;9999,CS94,(IF($C105&lt;14999,CS95,(IF($C105&lt;24999,CS96,(IF($C105&lt;49999,CS97,(IF($C105&lt;99999,CS98,(IF($C105&lt;249999,CS99,CS100)))))))))))))))</f>
        <v>41.591666666666661</v>
      </c>
      <c r="CT106" s="108">
        <f>IF($C105&lt;1999,#REF!,(IF($C105&lt;4999,CT93,(IF($C105&lt;9999,CT94,(IF($C105&lt;14999,CT95,(IF($C105&lt;24999,CT96,(IF($C105&lt;49999,CT97,(IF($C105&lt;99999,CT98,(IF($C105&lt;249999,CT99,CT100)))))))))))))))</f>
        <v>4228.959438064664</v>
      </c>
      <c r="CU106" s="108">
        <f>IF($C105&lt;1999,#REF!,(IF($C105&lt;4999,CU93,(IF($C105&lt;9999,CU94,(IF($C105&lt;14999,CU95,(IF($C105&lt;24999,CU96,(IF($C105&lt;49999,CU97,(IF($C105&lt;99999,CU98,(IF($C105&lt;249999,CU99,CU100)))))))))))))))</f>
        <v>1032.5217391304348</v>
      </c>
      <c r="CV106" s="125">
        <f>IF($C105&lt;1999,#REF!,(IF($C105&lt;4999,CV93,(IF($C105&lt;9999,CV94,(IF($C105&lt;14999,CV95,(IF($C105&lt;24999,CV96,(IF($C105&lt;49999,CV97,(IF($C105&lt;99999,CV98,(IF($C105&lt;249999,CV99,CV100)))))))))))))))</f>
        <v>89181</v>
      </c>
      <c r="CW106" s="109">
        <f>IF($C105&lt;1999,#REF!,(IF($C105&lt;4999,CW93,(IF($C105&lt;9999,CW94,(IF($C105&lt;14999,CW95,(IF($C105&lt;24999,CW96,(IF($C105&lt;49999,CW97,(IF($C105&lt;99999,CW98,(IF($C105&lt;249999,CW99,CW100)))))))))))))))</f>
        <v>37.304347826086953</v>
      </c>
      <c r="CX106" s="107">
        <f>IF($C105&lt;1999,#REF!,(IF($C105&lt;4999,CX93,(IF($C105&lt;9999,CX94,(IF($C105&lt;14999,CX95,(IF($C105&lt;24999,CX96,(IF($C105&lt;49999,CX97,(IF($C105&lt;99999,CX98,(IF($C105&lt;249999,CX99,CX100)))))))))))))))</f>
        <v>23</v>
      </c>
      <c r="CY106" s="107">
        <f>IF($C105&lt;1999,#REF!,(IF($C105&lt;4999,CY93,(IF($C105&lt;9999,CY94,(IF($C105&lt;14999,CY95,(IF($C105&lt;24999,CY96,(IF($C105&lt;49999,CY97,(IF($C105&lt;99999,CY98,(IF($C105&lt;249999,CY99,CY100)))))))))))))))</f>
        <v>23</v>
      </c>
      <c r="CZ106" s="108">
        <f>IF($C105&lt;1999,#REF!,(IF($C105&lt;4999,CZ93,(IF($C105&lt;9999,CZ94,(IF($C105&lt;14999,CZ95,(IF($C105&lt;24999,CZ96,(IF($C105&lt;49999,CZ97,(IF($C105&lt;99999,CZ98,(IF($C105&lt;249999,CZ99,CZ100)))))))))))))))</f>
        <v>7064.666666666667</v>
      </c>
      <c r="DA106" s="108">
        <f>IF($C105&lt;1999,#REF!,(IF($C105&lt;4999,DA93,(IF($C105&lt;9999,DA94,(IF($C105&lt;14999,DA95,(IF($C105&lt;24999,DA96,(IF($C105&lt;49999,DA97,(IF($C105&lt;99999,DA98,(IF($C105&lt;249999,DA99,DA100)))))))))))))))</f>
        <v>7048.125</v>
      </c>
      <c r="DB106" s="143">
        <f>IF($C105&lt;1999,#REF!,(IF($C105&lt;4999,DB93,(IF($C105&lt;9999,DB94,(IF($C105&lt;14999,DB95,(IF($C105&lt;24999,DB96,(IF($C105&lt;49999,DB97,(IF($C105&lt;99999,DB98,(IF($C105&lt;249999,DB99,DB100)))))))))))))))</f>
        <v>102.45833333333333</v>
      </c>
      <c r="DC106" s="108">
        <f>IF($C105&lt;1999,#REF!,(IF($C105&lt;4999,DC93,(IF($C105&lt;9999,DC94,(IF($C105&lt;14999,DC95,(IF($C105&lt;24999,DC96,(IF($C105&lt;49999,DC97,(IF($C105&lt;99999,DC98,(IF($C105&lt;249999,DC99,DC100)))))))))))))))</f>
        <v>12562.166666666666</v>
      </c>
      <c r="DD106" s="108">
        <f>IF($C105&lt;1999,#REF!,(IF($C105&lt;4999,DD93,(IF($C105&lt;9999,DD94,(IF($C105&lt;14999,DD95,(IF($C105&lt;24999,DD96,(IF($C105&lt;49999,DD97,(IF($C105&lt;99999,DD98,(IF($C105&lt;249999,DD99,DD100)))))))))))))))</f>
        <v>21013.875</v>
      </c>
      <c r="DE106" s="108">
        <f>IF($C105&lt;1999,#REF!,(IF($C105&lt;4999,DE93,(IF($C105&lt;9999,DE94,(IF($C105&lt;14999,DE95,(IF($C105&lt;24999,DE96,(IF($C105&lt;49999,DE97,(IF($C105&lt;99999,DE98,(IF($C105&lt;249999,DE99,DE100)))))))))))))))</f>
        <v>115045.83333333333</v>
      </c>
      <c r="DF106" s="108">
        <f>IF($C105&lt;1999,#REF!,(IF($C105&lt;4999,DF93,(IF($C105&lt;9999,DF94,(IF($C105&lt;14999,DF95,(IF($C105&lt;24999,DF96,(IF($C105&lt;49999,DF97,(IF($C105&lt;99999,DF98,(IF($C105&lt;249999,DF99,DF100)))))))))))))))</f>
        <v>8201.5217391304341</v>
      </c>
      <c r="DG106" s="108">
        <f>IF($C105&lt;1999,#REF!,(IF($C105&lt;4999,DG93,(IF($C105&lt;9999,DG94,(IF($C105&lt;14999,DG95,(IF($C105&lt;24999,DG96,(IF($C105&lt;49999,DG97,(IF($C105&lt;99999,DG98,(IF($C105&lt;249999,DG99,DG100)))))))))))))))</f>
        <v>51.521739130434781</v>
      </c>
      <c r="DH106" s="108">
        <f>IF($C105&lt;1999,#REF!,(IF($C105&lt;4999,DH93,(IF($C105&lt;9999,DH94,(IF($C105&lt;14999,DH95,(IF($C105&lt;24999,DH96,(IF($C105&lt;49999,DH97,(IF($C105&lt;99999,DH98,(IF($C105&lt;249999,DH99,DH100)))))))))))))))</f>
        <v>5.399027807890603E-2</v>
      </c>
      <c r="DI106" s="108">
        <f>IF($C105&lt;1999,#REF!,(IF($C105&lt;4999,DI93,(IF($C105&lt;9999,DI94,(IF($C105&lt;14999,DI95,(IF($C105&lt;24999,DI96,(IF($C105&lt;49999,DI97,(IF($C105&lt;99999,DI98,(IF($C105&lt;249999,DI99,DI100)))))))))))))))</f>
        <v>48</v>
      </c>
      <c r="DJ106" s="108">
        <f>IF($C105&lt;1999,#REF!,(IF($C105&lt;4999,DJ93,(IF($C105&lt;9999,DJ94,(IF($C105&lt;14999,DJ95,(IF($C105&lt;24999,DJ96,(IF($C105&lt;49999,DJ97,(IF($C105&lt;99999,DJ98,(IF($C105&lt;249999,DJ99,DJ100)))))))))))))))</f>
        <v>47.217391304347828</v>
      </c>
      <c r="DK106" s="108">
        <f>IF($C105&lt;1999,#REF!,(IF($C105&lt;4999,DK93,(IF($C105&lt;9999,DK94,(IF($C105&lt;14999,DK95,(IF($C105&lt;24999,DK96,(IF($C105&lt;49999,DK97,(IF($C105&lt;99999,DK98,(IF($C105&lt;249999,DK99,DK100)))))))))))))))</f>
        <v>17435.8</v>
      </c>
      <c r="DL106" s="108">
        <f>IF($C105&lt;1999,#REF!,(IF($C105&lt;4999,DL93,(IF($C105&lt;9999,DL94,(IF($C105&lt;14999,DL95,(IF($C105&lt;24999,DL96,(IF($C105&lt;49999,DL97,(IF($C105&lt;99999,DL98,(IF($C105&lt;249999,DL99,DL100)))))))))))))))</f>
        <v>6514.913043478261</v>
      </c>
      <c r="DM106" s="129"/>
      <c r="DN106" s="127"/>
      <c r="DO106" s="107"/>
      <c r="DS106" s="109"/>
      <c r="DT106" s="114"/>
      <c r="DW106" s="109">
        <f>IF($C105&lt;1999,#REF!,(IF($C105&lt;4999,DW93,(IF($C105&lt;9999,DW94,(IF($C105&lt;14999,DW95,(IF($C105&lt;24999,DW96,(IF($C105&lt;49999,DW97,(IF($C105&lt;99999,DW98,(IF($C105&lt;249999,DW99,DW100)))))))))))))))</f>
        <v>0.81924597739557103</v>
      </c>
      <c r="DX106" s="109">
        <f>IF($C105&lt;1999,#REF!,(IF($C105&lt;4999,DX93,(IF($C105&lt;9999,DX94,(IF($C105&lt;14999,DX95,(IF($C105&lt;24999,DX96,(IF($C105&lt;49999,DX97,(IF($C105&lt;99999,DX98,(IF($C105&lt;249999,DX99,DX100)))))))))))))))</f>
        <v>0</v>
      </c>
      <c r="DY106" s="109">
        <f>IF($C105&lt;1999,#REF!,(IF($C105&lt;4999,DY93,(IF($C105&lt;9999,DY94,(IF($C105&lt;14999,DY95,(IF($C105&lt;24999,DY96,(IF($C105&lt;49999,DY97,(IF($C105&lt;99999,DY98,(IF($C105&lt;249999,DY99,DY100)))))))))))))))</f>
        <v>1.8868504409557671</v>
      </c>
      <c r="DZ106" s="109">
        <f>IF($C105&lt;1999,#REF!,(IF($C105&lt;4999,DZ93,(IF($C105&lt;9999,DZ94,(IF($C105&lt;14999,DZ95,(IF($C105&lt;24999,DZ96,(IF($C105&lt;49999,DZ97,(IF($C105&lt;99999,DZ98,(IF($C105&lt;249999,DZ99,DZ100)))))))))))))))</f>
        <v>1.4021866920488963</v>
      </c>
      <c r="EA106" s="110">
        <f>IF($C105&lt;1999,#REF!,(IF($C105&lt;4999,EA93,(IF($C105&lt;9999,EA94,(IF($C105&lt;14999,EA95,(IF($C105&lt;24999,EA96,(IF($C105&lt;49999,EA97,(IF($C105&lt;99999,EA98,(IF($C105&lt;249999,EA99,EA100)))))))))))))))</f>
        <v>0.45813858354941478</v>
      </c>
      <c r="EB106" s="110">
        <f>IF($C105&lt;1999,#REF!,(IF($C105&lt;4999,EB93,(IF($C105&lt;9999,EB94,(IF($C105&lt;14999,EB95,(IF($C105&lt;24999,EB96,(IF($C105&lt;49999,EB97,(IF($C105&lt;99999,EB98,(IF($C105&lt;249999,EB99,EB100)))))))))))))))</f>
        <v>0.33440721502329701</v>
      </c>
    </row>
    <row r="107" spans="1:132" ht="13.5" thickBot="1" x14ac:dyDescent="0.25">
      <c r="B107" s="97" t="s">
        <v>5</v>
      </c>
      <c r="C107" s="108">
        <f>AVERAGE(C2:C85)</f>
        <v>124846.28571428571</v>
      </c>
      <c r="D107" s="108">
        <f>AVERAGE(D2:D85)</f>
        <v>5.0384615384615383</v>
      </c>
      <c r="E107" s="108">
        <f>AVERAGE(E2:E85)</f>
        <v>1.0714285714285714</v>
      </c>
      <c r="F107" s="108">
        <f>AVERAGE(F2:F85)</f>
        <v>58502.120481927712</v>
      </c>
      <c r="G107" s="212">
        <f>SUM(G2:G85)/339</f>
        <v>0</v>
      </c>
      <c r="H107" s="108" t="e">
        <f t="shared" ref="H107:AB107" si="160">AVERAGE(H2:H85)</f>
        <v>#VALUE!</v>
      </c>
      <c r="I107" s="109">
        <f t="shared" si="160"/>
        <v>0.55860402439024393</v>
      </c>
      <c r="J107" s="125">
        <f t="shared" si="160"/>
        <v>1451846.2803571429</v>
      </c>
      <c r="K107" s="125">
        <f t="shared" si="160"/>
        <v>594806.90297619044</v>
      </c>
      <c r="L107" s="125">
        <f t="shared" si="160"/>
        <v>2059790.3463414635</v>
      </c>
      <c r="M107" s="110">
        <f t="shared" si="160"/>
        <v>17.285179884933431</v>
      </c>
      <c r="N107" s="125">
        <f t="shared" si="160"/>
        <v>187566.3598809524</v>
      </c>
      <c r="O107" s="125">
        <f t="shared" si="160"/>
        <v>117316.29309523808</v>
      </c>
      <c r="P107" s="125">
        <f t="shared" si="160"/>
        <v>25891.719761904762</v>
      </c>
      <c r="Q107" s="125">
        <f t="shared" si="160"/>
        <v>330774.37273809523</v>
      </c>
      <c r="R107" s="110">
        <f t="shared" si="160"/>
        <v>2.4980739271535892</v>
      </c>
      <c r="S107" s="125">
        <f t="shared" si="160"/>
        <v>507089.51285714284</v>
      </c>
      <c r="T107" s="125">
        <f t="shared" si="160"/>
        <v>2884517.0689285719</v>
      </c>
      <c r="U107" s="125">
        <f t="shared" si="160"/>
        <v>1185.3048780487804</v>
      </c>
      <c r="V107" s="125">
        <f t="shared" si="160"/>
        <v>2884517.0689285719</v>
      </c>
      <c r="W107" s="110">
        <f t="shared" si="160"/>
        <v>23.833334203665633</v>
      </c>
      <c r="X107" s="111">
        <f t="shared" si="160"/>
        <v>0.73322486346667848</v>
      </c>
      <c r="Y107" s="111">
        <f t="shared" si="160"/>
        <v>0.10056538281533596</v>
      </c>
      <c r="Z107" s="111">
        <f t="shared" si="160"/>
        <v>0.16620975371798577</v>
      </c>
      <c r="AA107" s="111">
        <f t="shared" si="160"/>
        <v>5.4782640478845412E-4</v>
      </c>
      <c r="AB107" s="125">
        <f t="shared" si="160"/>
        <v>618791.17857142852</v>
      </c>
      <c r="AC107" s="125">
        <f>AVERAGE(AF2:AF85)</f>
        <v>348419.51190476189</v>
      </c>
      <c r="AD107" s="125">
        <f>AVERAGE(AG2:AG85)</f>
        <v>2556223.3214285714</v>
      </c>
      <c r="AE107" s="125" t="e">
        <f>AVERAGE(AE2:AE85)</f>
        <v>#DIV/0!</v>
      </c>
      <c r="AF107" s="125" t="e">
        <f>AVERAGE(#REF!)</f>
        <v>#REF!</v>
      </c>
      <c r="AG107" s="125" t="e">
        <f>AVERAGE(#REF!)</f>
        <v>#REF!</v>
      </c>
      <c r="AH107" s="125" t="e">
        <f t="shared" ref="AH107:BM107" si="161">AVERAGE(AH2:AH85)</f>
        <v>#DIV/0!</v>
      </c>
      <c r="AI107" s="125">
        <f t="shared" si="161"/>
        <v>2928914.5975609757</v>
      </c>
      <c r="AJ107" s="110">
        <f t="shared" si="161"/>
        <v>22.473312331344946</v>
      </c>
      <c r="AK107" s="125">
        <f t="shared" si="161"/>
        <v>172036.35714285713</v>
      </c>
      <c r="AL107" s="125">
        <f t="shared" si="161"/>
        <v>19149.658536585364</v>
      </c>
      <c r="AM107" s="125" t="e">
        <f t="shared" si="161"/>
        <v>#DIV/0!</v>
      </c>
      <c r="AN107" s="125">
        <f t="shared" si="161"/>
        <v>184280.45238095237</v>
      </c>
      <c r="AO107" s="125">
        <f t="shared" si="161"/>
        <v>188659.93902439025</v>
      </c>
      <c r="AP107" s="125">
        <f t="shared" si="161"/>
        <v>3299420.0952380951</v>
      </c>
      <c r="AQ107" s="110">
        <f t="shared" si="161"/>
        <v>25.769166856154431</v>
      </c>
      <c r="AR107" s="125" t="e">
        <f t="shared" si="161"/>
        <v>#DIV/0!</v>
      </c>
      <c r="AS107" s="125">
        <f t="shared" si="161"/>
        <v>216232.91463414635</v>
      </c>
      <c r="AT107" s="125">
        <f t="shared" si="161"/>
        <v>0</v>
      </c>
      <c r="AU107" s="125">
        <f t="shared" si="161"/>
        <v>5487.8048780487807</v>
      </c>
      <c r="AV107" s="125">
        <f t="shared" si="161"/>
        <v>1757.7560975609756</v>
      </c>
      <c r="AW107" s="125" t="e">
        <f t="shared" si="161"/>
        <v>#DIV/0!</v>
      </c>
      <c r="AX107" s="125">
        <f t="shared" si="161"/>
        <v>11802.304878048781</v>
      </c>
      <c r="AY107" s="125">
        <f t="shared" si="161"/>
        <v>235280.78048780488</v>
      </c>
      <c r="AZ107" s="108">
        <f t="shared" si="161"/>
        <v>177018.59523809524</v>
      </c>
      <c r="BA107" s="109">
        <f t="shared" si="161"/>
        <v>1.792033036647688</v>
      </c>
      <c r="BB107" s="108">
        <f t="shared" si="161"/>
        <v>7038.3214285714284</v>
      </c>
      <c r="BC107" s="108">
        <f t="shared" si="161"/>
        <v>41589.785714285717</v>
      </c>
      <c r="BD107" s="108">
        <f t="shared" si="161"/>
        <v>11030.154761904761</v>
      </c>
      <c r="BE107" s="108">
        <f t="shared" si="161"/>
        <v>4490.0595238095239</v>
      </c>
      <c r="BF107" s="108">
        <f t="shared" si="161"/>
        <v>184868.66666666666</v>
      </c>
      <c r="BG107" s="108">
        <f t="shared" si="161"/>
        <v>6.2073170731707314</v>
      </c>
      <c r="BH107" s="108">
        <f t="shared" si="161"/>
        <v>89</v>
      </c>
      <c r="BI107" s="108">
        <f t="shared" si="161"/>
        <v>0</v>
      </c>
      <c r="BJ107" s="108">
        <f t="shared" si="161"/>
        <v>92.071428571428569</v>
      </c>
      <c r="BK107" s="108">
        <f t="shared" si="161"/>
        <v>433150.10714285716</v>
      </c>
      <c r="BL107" s="109">
        <f t="shared" si="161"/>
        <v>7.1829446509588957</v>
      </c>
      <c r="BM107" s="108">
        <f t="shared" si="161"/>
        <v>155.60714285714286</v>
      </c>
      <c r="BN107" s="108">
        <f t="shared" ref="BN107:CH107" si="162">AVERAGE(BN2:BN85)</f>
        <v>39570.785714285717</v>
      </c>
      <c r="BO107" s="109">
        <f t="shared" si="162"/>
        <v>0.33245709175040428</v>
      </c>
      <c r="BP107" s="108">
        <f t="shared" si="162"/>
        <v>162716.01190476189</v>
      </c>
      <c r="BQ107" s="108">
        <f t="shared" si="162"/>
        <v>0</v>
      </c>
      <c r="BR107" s="360">
        <f t="shared" si="162"/>
        <v>287900.84146341466</v>
      </c>
      <c r="BS107" s="108">
        <f t="shared" si="162"/>
        <v>293059.35714285716</v>
      </c>
      <c r="BT107" s="108">
        <f t="shared" si="162"/>
        <v>578414.95238095243</v>
      </c>
      <c r="BU107" s="109">
        <f t="shared" si="162"/>
        <v>3.738997791934882</v>
      </c>
      <c r="BV107" s="108">
        <f t="shared" si="162"/>
        <v>11306.861663737302</v>
      </c>
      <c r="BW107" s="109">
        <f t="shared" si="162"/>
        <v>95.434679049988944</v>
      </c>
      <c r="BX107" s="109">
        <f t="shared" si="162"/>
        <v>6.4088385529678416</v>
      </c>
      <c r="BY107" s="109">
        <f t="shared" si="162"/>
        <v>0.8712747121516603</v>
      </c>
      <c r="BZ107" s="108">
        <f t="shared" si="162"/>
        <v>123.78571428571429</v>
      </c>
      <c r="CA107" s="108">
        <f t="shared" si="162"/>
        <v>18.773809523809526</v>
      </c>
      <c r="CB107" s="108">
        <f t="shared" si="162"/>
        <v>54.297619047619051</v>
      </c>
      <c r="CC107" s="108">
        <f t="shared" si="162"/>
        <v>198.78048780487805</v>
      </c>
      <c r="CD107" s="108">
        <f t="shared" si="162"/>
        <v>2850.4819277108436</v>
      </c>
      <c r="CE107" s="108">
        <f t="shared" si="162"/>
        <v>226.39759036144579</v>
      </c>
      <c r="CF107" s="108">
        <f t="shared" si="162"/>
        <v>968.60240963855426</v>
      </c>
      <c r="CG107" s="108">
        <f t="shared" si="162"/>
        <v>4088.6951219512193</v>
      </c>
      <c r="CH107" s="109">
        <f t="shared" si="162"/>
        <v>8.8903126511871572E-2</v>
      </c>
      <c r="CI107" s="108">
        <v>128973.69797421731</v>
      </c>
      <c r="CJ107" s="109">
        <f>AVERAGE(CJ2:CJ85)</f>
        <v>1.0138611254224486</v>
      </c>
      <c r="CK107" s="108">
        <f>AVERAGE(CK2:CK85)</f>
        <v>69771.829268292684</v>
      </c>
      <c r="CL107" s="142"/>
      <c r="CM107" s="142"/>
      <c r="CN107" s="142"/>
      <c r="CO107" s="169">
        <f t="shared" ref="CO107:CW107" si="163">AVERAGE(CO2:CO85)</f>
        <v>9.2996428571428567</v>
      </c>
      <c r="CP107" s="108">
        <f t="shared" si="163"/>
        <v>15957.084378333566</v>
      </c>
      <c r="CQ107" s="169">
        <f t="shared" si="163"/>
        <v>0.60440476190476189</v>
      </c>
      <c r="CR107" s="169">
        <f t="shared" si="163"/>
        <v>27.380833333333332</v>
      </c>
      <c r="CS107" s="169">
        <f t="shared" si="163"/>
        <v>37.284880952380959</v>
      </c>
      <c r="CT107" s="108">
        <f t="shared" si="163"/>
        <v>3613.7609206646866</v>
      </c>
      <c r="CU107" s="108">
        <f t="shared" si="163"/>
        <v>539.66666666666663</v>
      </c>
      <c r="CV107" s="125">
        <f t="shared" si="163"/>
        <v>81999.345238095237</v>
      </c>
      <c r="CW107" s="109">
        <f t="shared" si="163"/>
        <v>37.307317073170729</v>
      </c>
      <c r="CX107" s="142"/>
      <c r="CY107" s="142"/>
      <c r="CZ107" s="108">
        <f t="shared" ref="CZ107:DJ107" si="164">AVERAGE(CZ2:CZ85)</f>
        <v>6115.4285714285716</v>
      </c>
      <c r="DA107" s="108">
        <f t="shared" si="164"/>
        <v>6134.3214285714284</v>
      </c>
      <c r="DB107" s="108">
        <f t="shared" si="164"/>
        <v>87.44047619047619</v>
      </c>
      <c r="DC107" s="108">
        <f t="shared" si="164"/>
        <v>9346.2857142857138</v>
      </c>
      <c r="DD107" s="108">
        <f t="shared" si="164"/>
        <v>25966.903614457831</v>
      </c>
      <c r="DE107" s="108">
        <f t="shared" si="164"/>
        <v>388888.82142857142</v>
      </c>
      <c r="DF107" s="108">
        <f t="shared" si="164"/>
        <v>11596.707317073171</v>
      </c>
      <c r="DG107" s="108">
        <f t="shared" si="164"/>
        <v>50.524390243902438</v>
      </c>
      <c r="DH107" s="108">
        <f t="shared" si="164"/>
        <v>0.28128763825153807</v>
      </c>
      <c r="DI107" s="108">
        <f t="shared" si="164"/>
        <v>45.975609756097562</v>
      </c>
      <c r="DJ107" s="108">
        <f t="shared" si="164"/>
        <v>45.780487804878049</v>
      </c>
      <c r="DK107" s="211">
        <f>SUM(DK2:DK87)/339</f>
        <v>1057.6047197640119</v>
      </c>
      <c r="DL107" s="108">
        <f>AVERAGE(DL2:DL85)</f>
        <v>9019.8963414634145</v>
      </c>
      <c r="DM107" s="129"/>
      <c r="DN107" s="127"/>
      <c r="DO107" s="107"/>
      <c r="DS107" s="109"/>
      <c r="DT107" s="114"/>
      <c r="DW107" s="109">
        <f t="shared" ref="DW107:EB107" si="165">AVERAGE(DW2:DW85)</f>
        <v>0.97036736670569801</v>
      </c>
      <c r="DX107" s="109">
        <f t="shared" si="165"/>
        <v>0</v>
      </c>
      <c r="DY107" s="188">
        <f t="shared" si="165"/>
        <v>2.0869680540050135</v>
      </c>
      <c r="DZ107" s="109">
        <f t="shared" si="165"/>
        <v>1.6520297379298698</v>
      </c>
      <c r="EA107" s="110">
        <f t="shared" si="165"/>
        <v>0.63319132090839281</v>
      </c>
      <c r="EB107" s="110">
        <f t="shared" si="165"/>
        <v>0.5194011075956626</v>
      </c>
    </row>
    <row r="110" spans="1:132" s="109" customFormat="1" x14ac:dyDescent="0.2">
      <c r="C110" s="108"/>
      <c r="D110" s="108"/>
      <c r="E110" s="121"/>
      <c r="F110" s="108"/>
      <c r="G110" s="32"/>
      <c r="H110" s="108"/>
      <c r="I110" s="122"/>
      <c r="J110" s="155"/>
      <c r="K110" s="155"/>
      <c r="L110" s="155"/>
      <c r="M110" s="110"/>
      <c r="N110" s="155"/>
      <c r="O110" s="155"/>
      <c r="P110" s="155"/>
      <c r="Q110" s="155"/>
      <c r="R110" s="110"/>
      <c r="S110" s="155"/>
      <c r="T110" s="155"/>
      <c r="U110" s="155"/>
      <c r="V110" s="155"/>
      <c r="W110" s="110"/>
      <c r="X110" s="111"/>
      <c r="Y110" s="111"/>
      <c r="Z110" s="111"/>
      <c r="AA110" s="111"/>
      <c r="AB110" s="172"/>
      <c r="AC110" s="172"/>
      <c r="AD110" s="172"/>
      <c r="AE110" s="172"/>
      <c r="AF110" s="172"/>
      <c r="AG110" s="172"/>
      <c r="AH110" s="172"/>
      <c r="AI110" s="172"/>
      <c r="AJ110" s="110"/>
      <c r="AK110" s="172"/>
      <c r="AL110" s="125"/>
      <c r="AM110" s="125"/>
      <c r="AN110" s="125"/>
      <c r="AO110" s="125"/>
      <c r="AP110" s="125"/>
      <c r="AQ110" s="110"/>
      <c r="AR110" s="125"/>
      <c r="AS110" s="125"/>
      <c r="AT110" s="125"/>
      <c r="AU110" s="125"/>
      <c r="AV110" s="125"/>
      <c r="AW110" s="125"/>
      <c r="AX110" s="125"/>
      <c r="AY110" s="125"/>
      <c r="AZ110" s="108"/>
      <c r="BB110" s="108"/>
      <c r="BC110" s="108"/>
      <c r="BD110" s="108"/>
      <c r="BE110" s="108"/>
      <c r="BF110" s="108"/>
      <c r="BG110" s="108"/>
      <c r="BH110" s="108"/>
      <c r="BI110" s="108"/>
      <c r="BJ110" s="108"/>
      <c r="BK110" s="108"/>
      <c r="BM110" s="108"/>
      <c r="BN110" s="108"/>
      <c r="BP110" s="108"/>
      <c r="BQ110" s="108"/>
      <c r="BR110" s="360"/>
      <c r="BS110" s="108"/>
      <c r="BT110" s="108"/>
      <c r="BU110" s="145"/>
      <c r="BV110" s="108"/>
      <c r="BW110" s="122"/>
      <c r="BX110" s="122"/>
      <c r="BY110" s="122"/>
      <c r="BZ110" s="108"/>
      <c r="CA110" s="108"/>
      <c r="CB110" s="108"/>
      <c r="CC110" s="108"/>
      <c r="CD110" s="108"/>
      <c r="CE110" s="108"/>
      <c r="CF110" s="108"/>
      <c r="CG110" s="108"/>
      <c r="CI110" s="108"/>
      <c r="CK110" s="108"/>
      <c r="CM110" s="146"/>
      <c r="CN110" s="146"/>
      <c r="CO110" s="177"/>
      <c r="CP110" s="108"/>
      <c r="CQ110" s="169"/>
      <c r="CR110" s="169"/>
      <c r="CS110" s="169"/>
      <c r="CT110" s="108"/>
      <c r="CU110" s="108"/>
      <c r="CV110" s="125"/>
      <c r="CY110" s="146"/>
      <c r="CZ110" s="143"/>
      <c r="DA110" s="108"/>
      <c r="DB110" s="108"/>
      <c r="DC110" s="143"/>
      <c r="DD110" s="108"/>
      <c r="DE110" s="108"/>
      <c r="DF110" s="108"/>
      <c r="DG110" s="108"/>
      <c r="DH110" s="108"/>
      <c r="DI110" s="108"/>
      <c r="DJ110" s="108"/>
      <c r="DK110" s="108"/>
      <c r="DL110" s="108"/>
      <c r="DM110" s="147"/>
      <c r="DO110" s="146"/>
      <c r="DP110" s="146"/>
      <c r="EA110" s="110"/>
      <c r="EB110" s="110"/>
    </row>
    <row r="112" spans="1:132" x14ac:dyDescent="0.2">
      <c r="A112" s="190"/>
      <c r="B112" s="190">
        <v>2</v>
      </c>
      <c r="C112" s="191">
        <v>3</v>
      </c>
      <c r="D112" s="191">
        <v>4</v>
      </c>
      <c r="E112" s="190">
        <v>5</v>
      </c>
      <c r="F112" s="191">
        <v>6</v>
      </c>
      <c r="G112" s="190">
        <v>7</v>
      </c>
      <c r="H112" s="191">
        <v>8</v>
      </c>
      <c r="I112" s="191">
        <v>9</v>
      </c>
      <c r="J112" s="190">
        <v>10</v>
      </c>
      <c r="K112" s="191">
        <v>11</v>
      </c>
      <c r="L112" s="190">
        <v>12</v>
      </c>
      <c r="M112" s="191">
        <v>13</v>
      </c>
      <c r="N112" s="191">
        <v>14</v>
      </c>
      <c r="O112" s="190">
        <v>15</v>
      </c>
      <c r="P112" s="191">
        <v>16</v>
      </c>
      <c r="Q112" s="190">
        <v>17</v>
      </c>
      <c r="R112" s="191">
        <v>18</v>
      </c>
      <c r="S112" s="191">
        <v>19</v>
      </c>
      <c r="T112" s="190">
        <v>20</v>
      </c>
      <c r="U112" s="191">
        <v>21</v>
      </c>
      <c r="V112" s="190">
        <v>22</v>
      </c>
      <c r="W112" s="191">
        <v>23</v>
      </c>
      <c r="X112" s="191">
        <v>24</v>
      </c>
      <c r="Y112" s="190">
        <v>25</v>
      </c>
      <c r="Z112" s="191">
        <v>26</v>
      </c>
      <c r="AA112" s="190">
        <v>27</v>
      </c>
      <c r="AB112" s="191">
        <v>28</v>
      </c>
      <c r="AC112" s="191">
        <v>29</v>
      </c>
      <c r="AD112" s="190">
        <v>30</v>
      </c>
      <c r="AE112" s="191">
        <v>31</v>
      </c>
      <c r="AF112" s="190">
        <v>32</v>
      </c>
      <c r="AG112" s="191">
        <v>33</v>
      </c>
      <c r="AH112" s="191">
        <v>34</v>
      </c>
      <c r="AI112" s="190">
        <v>35</v>
      </c>
      <c r="AJ112" s="191">
        <v>36</v>
      </c>
      <c r="AK112" s="190">
        <v>37</v>
      </c>
      <c r="AL112" s="191">
        <v>38</v>
      </c>
      <c r="AM112" s="191">
        <v>39</v>
      </c>
      <c r="AN112" s="190">
        <v>40</v>
      </c>
      <c r="AO112" s="191">
        <v>41</v>
      </c>
      <c r="AP112" s="190">
        <v>42</v>
      </c>
      <c r="AQ112" s="191">
        <v>43</v>
      </c>
      <c r="AR112" s="191">
        <v>44</v>
      </c>
      <c r="AS112" s="190">
        <v>45</v>
      </c>
      <c r="AT112" s="191">
        <v>46</v>
      </c>
      <c r="AU112" s="190">
        <v>47</v>
      </c>
      <c r="AV112" s="191">
        <v>48</v>
      </c>
      <c r="AW112" s="191">
        <v>49</v>
      </c>
      <c r="AX112" s="190">
        <v>50</v>
      </c>
      <c r="AY112" s="191">
        <v>51</v>
      </c>
      <c r="AZ112" s="190">
        <v>52</v>
      </c>
      <c r="BA112" s="191">
        <v>53</v>
      </c>
      <c r="BB112" s="191">
        <v>54</v>
      </c>
      <c r="BC112" s="190">
        <v>55</v>
      </c>
      <c r="BD112" s="191">
        <v>56</v>
      </c>
      <c r="BE112" s="190">
        <v>57</v>
      </c>
      <c r="BF112" s="191">
        <v>58</v>
      </c>
      <c r="BG112" s="191">
        <v>59</v>
      </c>
      <c r="BH112" s="190">
        <v>60</v>
      </c>
      <c r="BI112" s="191">
        <v>61</v>
      </c>
      <c r="BJ112" s="190">
        <v>62</v>
      </c>
      <c r="BK112" s="191">
        <v>63</v>
      </c>
      <c r="BL112" s="191">
        <v>64</v>
      </c>
      <c r="BM112" s="190">
        <v>65</v>
      </c>
      <c r="BN112" s="191">
        <v>66</v>
      </c>
      <c r="BO112" s="190">
        <v>67</v>
      </c>
      <c r="BP112" s="191">
        <v>68</v>
      </c>
      <c r="BQ112" s="191">
        <v>69</v>
      </c>
      <c r="BR112" s="363">
        <v>70</v>
      </c>
      <c r="BS112" s="191">
        <v>71</v>
      </c>
      <c r="BT112" s="190">
        <v>72</v>
      </c>
      <c r="BU112" s="191">
        <v>73</v>
      </c>
      <c r="BV112" s="191">
        <v>74</v>
      </c>
      <c r="BW112" s="190">
        <v>75</v>
      </c>
      <c r="BX112" s="191">
        <v>76</v>
      </c>
      <c r="BY112" s="190">
        <v>77</v>
      </c>
      <c r="BZ112" s="191">
        <v>78</v>
      </c>
      <c r="CA112" s="191">
        <v>79</v>
      </c>
      <c r="CB112" s="190">
        <v>80</v>
      </c>
      <c r="CC112" s="191">
        <v>81</v>
      </c>
      <c r="CD112" s="190">
        <v>82</v>
      </c>
      <c r="CE112" s="191">
        <v>83</v>
      </c>
      <c r="CF112" s="191">
        <v>84</v>
      </c>
      <c r="CG112" s="190">
        <v>85</v>
      </c>
      <c r="CH112" s="191">
        <v>86</v>
      </c>
      <c r="CI112" s="190">
        <v>87</v>
      </c>
      <c r="CJ112" s="191">
        <v>88</v>
      </c>
      <c r="CK112" s="191">
        <v>89</v>
      </c>
      <c r="CL112" s="190">
        <v>90</v>
      </c>
      <c r="CM112" s="191">
        <v>91</v>
      </c>
      <c r="CN112" s="190">
        <v>92</v>
      </c>
      <c r="CO112" s="191">
        <v>93</v>
      </c>
      <c r="CP112" s="191">
        <v>94</v>
      </c>
      <c r="CQ112" s="190">
        <v>95</v>
      </c>
      <c r="CR112" s="191">
        <v>96</v>
      </c>
      <c r="CS112" s="190">
        <v>97</v>
      </c>
      <c r="CT112" s="191">
        <v>98</v>
      </c>
      <c r="CU112" s="191">
        <v>99</v>
      </c>
      <c r="CV112" s="190">
        <v>100</v>
      </c>
      <c r="CW112" s="191">
        <v>101</v>
      </c>
      <c r="CX112" s="190">
        <v>102</v>
      </c>
      <c r="CY112" s="191">
        <v>103</v>
      </c>
      <c r="CZ112" s="191">
        <v>104</v>
      </c>
      <c r="DA112" s="190">
        <v>105</v>
      </c>
      <c r="DB112" s="191">
        <v>106</v>
      </c>
      <c r="DC112" s="190">
        <v>107</v>
      </c>
      <c r="DD112" s="191">
        <v>108</v>
      </c>
      <c r="DE112" s="191">
        <v>109</v>
      </c>
      <c r="DF112" s="190">
        <v>110</v>
      </c>
      <c r="DG112" s="191">
        <v>111</v>
      </c>
      <c r="DH112" s="190">
        <v>112</v>
      </c>
      <c r="DI112" s="191">
        <v>113</v>
      </c>
      <c r="DJ112" s="191">
        <v>114</v>
      </c>
      <c r="DK112" s="190">
        <v>115</v>
      </c>
      <c r="DL112" s="191">
        <v>116</v>
      </c>
      <c r="DM112" s="190">
        <v>117</v>
      </c>
      <c r="DN112" s="191">
        <v>118</v>
      </c>
      <c r="DO112" s="191">
        <v>119</v>
      </c>
      <c r="DP112" s="190">
        <v>120</v>
      </c>
      <c r="DQ112" s="191">
        <v>121</v>
      </c>
      <c r="DR112" s="190">
        <v>122</v>
      </c>
      <c r="DS112" s="191">
        <v>123</v>
      </c>
      <c r="DT112" s="191">
        <v>124</v>
      </c>
      <c r="DU112" s="190">
        <v>125</v>
      </c>
      <c r="DV112" s="191">
        <v>126</v>
      </c>
      <c r="DW112" s="190">
        <v>127</v>
      </c>
      <c r="DX112" s="191">
        <v>128</v>
      </c>
      <c r="DY112" s="191">
        <v>129</v>
      </c>
      <c r="DZ112" s="190">
        <v>130</v>
      </c>
      <c r="EA112" s="191">
        <v>131</v>
      </c>
      <c r="EB112" s="190">
        <v>132</v>
      </c>
    </row>
    <row r="113" spans="2:132" s="148" customFormat="1" ht="13.5" thickBot="1" x14ac:dyDescent="0.25">
      <c r="C113" s="151"/>
      <c r="D113" s="151"/>
      <c r="E113" s="171"/>
      <c r="F113" s="151"/>
      <c r="G113" s="32"/>
      <c r="H113" s="151"/>
      <c r="I113" s="159"/>
      <c r="J113" s="166"/>
      <c r="K113" s="166"/>
      <c r="L113" s="166"/>
      <c r="M113" s="150"/>
      <c r="N113" s="166"/>
      <c r="O113" s="166"/>
      <c r="P113" s="166"/>
      <c r="Q113" s="166"/>
      <c r="R113" s="150"/>
      <c r="S113" s="166"/>
      <c r="T113" s="166"/>
      <c r="U113" s="166"/>
      <c r="V113" s="166"/>
      <c r="W113" s="150"/>
      <c r="X113" s="149"/>
      <c r="Y113" s="149"/>
      <c r="Z113" s="149"/>
      <c r="AA113" s="149"/>
      <c r="AB113" s="166"/>
      <c r="AC113" s="166"/>
      <c r="AD113" s="166"/>
      <c r="AE113" s="166"/>
      <c r="AF113" s="166"/>
      <c r="AG113" s="166"/>
      <c r="AH113" s="166"/>
      <c r="AI113" s="166"/>
      <c r="AJ113" s="150"/>
      <c r="AK113" s="166"/>
      <c r="AL113" s="166"/>
      <c r="AM113" s="166"/>
      <c r="AN113" s="166"/>
      <c r="AO113" s="166"/>
      <c r="AP113" s="166"/>
      <c r="AQ113" s="150"/>
      <c r="AR113" s="166"/>
      <c r="AS113" s="166"/>
      <c r="AT113" s="166"/>
      <c r="AU113" s="166"/>
      <c r="AV113" s="166"/>
      <c r="AW113" s="166"/>
      <c r="AX113" s="166"/>
      <c r="AY113" s="166"/>
      <c r="AZ113" s="151"/>
      <c r="BA113" s="160"/>
      <c r="BB113" s="151"/>
      <c r="BC113" s="151"/>
      <c r="BD113" s="151"/>
      <c r="BE113" s="151"/>
      <c r="BF113" s="151"/>
      <c r="BG113" s="151"/>
      <c r="BH113" s="151"/>
      <c r="BI113" s="151"/>
      <c r="BJ113" s="151"/>
      <c r="BK113" s="151"/>
      <c r="BL113" s="160"/>
      <c r="BM113" s="151"/>
      <c r="BN113" s="151"/>
      <c r="BO113" s="160"/>
      <c r="BP113" s="151"/>
      <c r="BQ113" s="151"/>
      <c r="BR113" s="364"/>
      <c r="BS113" s="151"/>
      <c r="BT113" s="151"/>
      <c r="BU113" s="174"/>
      <c r="BV113" s="151"/>
      <c r="BW113" s="159"/>
      <c r="BX113" s="159"/>
      <c r="BY113" s="159"/>
      <c r="BZ113" s="151"/>
      <c r="CA113" s="151"/>
      <c r="CB113" s="151"/>
      <c r="CC113" s="151"/>
      <c r="CD113" s="151"/>
      <c r="CE113" s="151"/>
      <c r="CF113" s="151"/>
      <c r="CG113" s="151"/>
      <c r="CH113" s="160"/>
      <c r="CI113" s="151"/>
      <c r="CJ113" s="160"/>
      <c r="CK113" s="151"/>
      <c r="CM113" s="152"/>
      <c r="CN113" s="152"/>
      <c r="CO113" s="178"/>
      <c r="CP113" s="151"/>
      <c r="CQ113" s="180"/>
      <c r="CR113" s="180"/>
      <c r="CS113" s="180"/>
      <c r="CT113" s="151"/>
      <c r="CU113" s="151"/>
      <c r="CV113" s="166"/>
      <c r="CW113" s="160"/>
      <c r="CY113" s="152"/>
      <c r="CZ113" s="153"/>
      <c r="DA113" s="151"/>
      <c r="DB113" s="151"/>
      <c r="DC113" s="153"/>
      <c r="DD113" s="151"/>
      <c r="DE113" s="151"/>
      <c r="DF113" s="151"/>
      <c r="DG113" s="151"/>
      <c r="DH113" s="151"/>
      <c r="DI113" s="151"/>
      <c r="DJ113" s="151"/>
      <c r="DK113" s="151"/>
      <c r="DL113" s="151"/>
      <c r="DM113" s="154"/>
      <c r="DO113" s="152"/>
      <c r="DP113" s="152"/>
      <c r="DW113" s="160"/>
      <c r="DX113" s="160"/>
      <c r="DY113" s="160"/>
      <c r="DZ113" s="160"/>
      <c r="EA113" s="150"/>
      <c r="EB113" s="150"/>
    </row>
    <row r="114" spans="2:132" ht="77.25" thickBot="1" x14ac:dyDescent="0.25">
      <c r="C114" s="98" t="s">
        <v>12</v>
      </c>
      <c r="D114" s="40" t="s">
        <v>19</v>
      </c>
      <c r="E114" s="40" t="s">
        <v>20</v>
      </c>
      <c r="F114" s="40" t="s">
        <v>21</v>
      </c>
      <c r="G114" s="40" t="s">
        <v>119</v>
      </c>
      <c r="H114" s="40" t="s">
        <v>120</v>
      </c>
      <c r="I114" s="41" t="s">
        <v>121</v>
      </c>
      <c r="J114" s="167" t="s">
        <v>22</v>
      </c>
      <c r="K114" s="167" t="s">
        <v>23</v>
      </c>
      <c r="L114" s="167" t="s">
        <v>24</v>
      </c>
      <c r="M114" s="102" t="s">
        <v>98</v>
      </c>
      <c r="N114" s="167" t="s">
        <v>25</v>
      </c>
      <c r="O114" s="167" t="s">
        <v>26</v>
      </c>
      <c r="P114" s="167" t="s">
        <v>27</v>
      </c>
      <c r="Q114" s="167" t="s">
        <v>28</v>
      </c>
      <c r="R114" s="102" t="s">
        <v>99</v>
      </c>
      <c r="S114" s="167" t="s">
        <v>29</v>
      </c>
      <c r="T114" s="167" t="s">
        <v>30</v>
      </c>
      <c r="U114" s="167" t="s">
        <v>31</v>
      </c>
      <c r="V114" s="167" t="s">
        <v>32</v>
      </c>
      <c r="W114" s="102" t="s">
        <v>100</v>
      </c>
      <c r="X114" s="101" t="s">
        <v>115</v>
      </c>
      <c r="Y114" s="101" t="s">
        <v>116</v>
      </c>
      <c r="Z114" s="101" t="s">
        <v>117</v>
      </c>
      <c r="AA114" s="101" t="s">
        <v>118</v>
      </c>
      <c r="AB114" s="167" t="s">
        <v>33</v>
      </c>
      <c r="AC114" s="167" t="s">
        <v>34</v>
      </c>
      <c r="AD114" s="167" t="s">
        <v>35</v>
      </c>
      <c r="AE114" s="167" t="s">
        <v>36</v>
      </c>
      <c r="AF114" s="167" t="s">
        <v>37</v>
      </c>
      <c r="AG114" s="167" t="s">
        <v>38</v>
      </c>
      <c r="AH114" s="167" t="s">
        <v>39</v>
      </c>
      <c r="AI114" s="167" t="s">
        <v>40</v>
      </c>
      <c r="AJ114" s="102" t="s">
        <v>101</v>
      </c>
      <c r="AK114" s="167" t="s">
        <v>41</v>
      </c>
      <c r="AL114" s="167" t="s">
        <v>42</v>
      </c>
      <c r="AM114" s="167" t="s">
        <v>43</v>
      </c>
      <c r="AN114" s="167" t="s">
        <v>44</v>
      </c>
      <c r="AO114" s="167" t="s">
        <v>45</v>
      </c>
      <c r="AP114" s="167" t="s">
        <v>46</v>
      </c>
      <c r="AQ114" s="102" t="s">
        <v>102</v>
      </c>
      <c r="AR114" s="167" t="s">
        <v>47</v>
      </c>
      <c r="AS114" s="167" t="s">
        <v>48</v>
      </c>
      <c r="AT114" s="167" t="s">
        <v>49</v>
      </c>
      <c r="AU114" s="167" t="s">
        <v>50</v>
      </c>
      <c r="AV114" s="167" t="s">
        <v>51</v>
      </c>
      <c r="AW114" s="167" t="s">
        <v>52</v>
      </c>
      <c r="AX114" s="167" t="s">
        <v>53</v>
      </c>
      <c r="AY114" s="167" t="s">
        <v>54</v>
      </c>
      <c r="AZ114" s="40" t="s">
        <v>55</v>
      </c>
      <c r="BA114" s="100" t="s">
        <v>103</v>
      </c>
      <c r="BB114" s="40" t="s">
        <v>56</v>
      </c>
      <c r="BC114" s="40" t="s">
        <v>57</v>
      </c>
      <c r="BD114" s="40" t="s">
        <v>58</v>
      </c>
      <c r="BE114" s="40" t="s">
        <v>59</v>
      </c>
      <c r="BF114" s="40" t="s">
        <v>60</v>
      </c>
      <c r="BG114" s="40" t="s">
        <v>61</v>
      </c>
      <c r="BH114" s="40" t="s">
        <v>62</v>
      </c>
      <c r="BI114" s="40" t="s">
        <v>63</v>
      </c>
      <c r="BJ114" s="40" t="s">
        <v>64</v>
      </c>
      <c r="BK114" s="40" t="s">
        <v>65</v>
      </c>
      <c r="BL114" s="100" t="s">
        <v>104</v>
      </c>
      <c r="BM114" s="40" t="s">
        <v>66</v>
      </c>
      <c r="BN114" s="40" t="s">
        <v>67</v>
      </c>
      <c r="BO114" s="100" t="s">
        <v>110</v>
      </c>
      <c r="BP114" s="40" t="s">
        <v>68</v>
      </c>
      <c r="BQ114" s="40" t="s">
        <v>69</v>
      </c>
      <c r="BR114" s="365" t="s">
        <v>70</v>
      </c>
      <c r="BS114" s="40" t="s">
        <v>71</v>
      </c>
      <c r="BT114" s="103" t="s">
        <v>72</v>
      </c>
      <c r="BU114" s="100" t="s">
        <v>105</v>
      </c>
      <c r="BV114" s="40" t="s">
        <v>106</v>
      </c>
      <c r="BW114" s="104" t="s">
        <v>107</v>
      </c>
      <c r="BX114" s="41" t="s">
        <v>108</v>
      </c>
      <c r="BY114" s="41" t="s">
        <v>109</v>
      </c>
      <c r="BZ114" s="40" t="s">
        <v>73</v>
      </c>
      <c r="CA114" s="40" t="s">
        <v>74</v>
      </c>
      <c r="CB114" s="40" t="s">
        <v>75</v>
      </c>
      <c r="CC114" s="40" t="s">
        <v>76</v>
      </c>
      <c r="CD114" s="40" t="s">
        <v>77</v>
      </c>
      <c r="CE114" s="40" t="s">
        <v>78</v>
      </c>
      <c r="CF114" s="40" t="s">
        <v>79</v>
      </c>
      <c r="CG114" s="40" t="s">
        <v>80</v>
      </c>
      <c r="CH114" s="100" t="s">
        <v>111</v>
      </c>
      <c r="CI114" s="40" t="s">
        <v>890</v>
      </c>
      <c r="CJ114" s="100" t="s">
        <v>112</v>
      </c>
      <c r="CK114" s="40" t="s">
        <v>891</v>
      </c>
      <c r="CL114" s="91" t="s">
        <v>892</v>
      </c>
      <c r="CM114" s="91" t="s">
        <v>899</v>
      </c>
      <c r="CN114" s="91" t="s">
        <v>207</v>
      </c>
      <c r="CO114" s="179" t="s">
        <v>81</v>
      </c>
      <c r="CP114" s="40" t="s">
        <v>113</v>
      </c>
      <c r="CQ114" s="179" t="s">
        <v>82</v>
      </c>
      <c r="CR114" s="179" t="s">
        <v>83</v>
      </c>
      <c r="CS114" s="179" t="s">
        <v>84</v>
      </c>
      <c r="CT114" s="40" t="s">
        <v>114</v>
      </c>
      <c r="CU114" s="40" t="s">
        <v>85</v>
      </c>
      <c r="CV114" s="167" t="s">
        <v>86</v>
      </c>
      <c r="CW114" s="100" t="s">
        <v>87</v>
      </c>
      <c r="CX114" s="91" t="s">
        <v>88</v>
      </c>
      <c r="CY114" s="91" t="s">
        <v>89</v>
      </c>
      <c r="CZ114" s="40" t="s">
        <v>90</v>
      </c>
      <c r="DA114" s="40" t="s">
        <v>91</v>
      </c>
      <c r="DB114" s="40" t="s">
        <v>210</v>
      </c>
      <c r="DC114" s="40" t="s">
        <v>211</v>
      </c>
      <c r="DD114" s="40" t="s">
        <v>893</v>
      </c>
      <c r="DE114" s="40" t="s">
        <v>93</v>
      </c>
      <c r="DF114" s="40" t="s">
        <v>94</v>
      </c>
      <c r="DG114" s="40" t="s">
        <v>95</v>
      </c>
      <c r="DH114" s="40" t="s">
        <v>910</v>
      </c>
      <c r="DI114" s="40" t="s">
        <v>96</v>
      </c>
      <c r="DJ114" s="40" t="s">
        <v>97</v>
      </c>
      <c r="DK114" s="40" t="s">
        <v>122</v>
      </c>
      <c r="DL114" s="40" t="s">
        <v>123</v>
      </c>
      <c r="DM114" s="91" t="s">
        <v>14</v>
      </c>
      <c r="DN114" s="105" t="s">
        <v>10</v>
      </c>
      <c r="DO114" s="90" t="s">
        <v>11</v>
      </c>
      <c r="DP114" s="90" t="s">
        <v>6</v>
      </c>
      <c r="DQ114" s="105" t="s">
        <v>13</v>
      </c>
      <c r="DR114" s="105" t="s">
        <v>15</v>
      </c>
      <c r="DS114" s="105" t="s">
        <v>16</v>
      </c>
      <c r="DT114" s="99" t="s">
        <v>17</v>
      </c>
      <c r="DU114" s="99" t="s">
        <v>18</v>
      </c>
      <c r="DV114" s="106" t="s">
        <v>4</v>
      </c>
      <c r="DW114" s="189" t="s">
        <v>127</v>
      </c>
      <c r="DX114" s="189" t="s">
        <v>128</v>
      </c>
      <c r="DY114" s="189" t="s">
        <v>129</v>
      </c>
      <c r="DZ114" s="189" t="s">
        <v>130</v>
      </c>
      <c r="EA114" s="200" t="s">
        <v>929</v>
      </c>
      <c r="EB114" s="200" t="s">
        <v>930</v>
      </c>
    </row>
    <row r="115" spans="2:132" x14ac:dyDescent="0.2">
      <c r="B115" s="96" t="s">
        <v>0</v>
      </c>
      <c r="BT115" s="123"/>
      <c r="BU115" s="109"/>
      <c r="CL115" s="107"/>
      <c r="CO115" s="169"/>
      <c r="CX115" s="107"/>
      <c r="CZ115" s="108"/>
      <c r="DB115" s="143"/>
      <c r="DC115" s="108"/>
      <c r="DM115" s="124"/>
      <c r="DN115" s="120"/>
      <c r="DO115" s="107"/>
      <c r="DS115" s="109"/>
      <c r="DT115" s="114"/>
    </row>
    <row r="116" spans="2:132" x14ac:dyDescent="0.2">
      <c r="B116" s="114" t="str">
        <f>VLOOKUP(Input!$C$11,'2021Data'!$A2:$DX85,1,FALSE)</f>
        <v xml:space="preserve">ALAMANCE </v>
      </c>
      <c r="C116" s="108">
        <f>VLOOKUP(Input!$C11,'2021Data'!$A$2:$DX$85,3,0)</f>
        <v>164997</v>
      </c>
      <c r="D116" s="108">
        <f>VLOOKUP(Input!$C11,'2021Data'!$A2:$DX85,4,0)</f>
        <v>3</v>
      </c>
      <c r="E116" s="108">
        <f>VLOOKUP(Input!$C11,'2021Data'!$A2:$DX85,5,0)</f>
        <v>0</v>
      </c>
      <c r="F116" s="108">
        <f>VLOOKUP(Input!$C11,'2021Data'!$A2:$DX85,6,0)</f>
        <v>55734</v>
      </c>
      <c r="G116" s="32">
        <f>VLOOKUP(Input!$C11,'2021Data'!$A2:$DX85,7,0)</f>
        <v>0</v>
      </c>
      <c r="H116" s="108">
        <f>VLOOKUP(Input!$C11,'2021Data'!$A2:$DX85,8,0)</f>
        <v>55734</v>
      </c>
      <c r="I116" s="109">
        <f>VLOOKUP(Input!$C11,'2021Data'!$A2:$DX85,9,0)</f>
        <v>0.34588999999999998</v>
      </c>
      <c r="J116" s="125">
        <f>VLOOKUP(Input!$C11,'2021Data'!$A2:$DX85,10,0)</f>
        <v>1597813</v>
      </c>
      <c r="K116" s="125">
        <f>VLOOKUP(Input!$C11,'2021Data'!$A2:$DX85,11,0)</f>
        <v>657579</v>
      </c>
      <c r="L116" s="125">
        <f>VLOOKUP(Input!$C11,'2021Data'!$A2:$DX85,12,0)</f>
        <v>2255392</v>
      </c>
      <c r="M116" s="110">
        <f>VLOOKUP(Input!$C11,'2021Data'!$A2:$DX85,13,0)</f>
        <v>13.669290956805275</v>
      </c>
      <c r="N116" s="125">
        <f>VLOOKUP(Input!$C11,'2021Data'!$A2:$DX85,14,0)</f>
        <v>158000</v>
      </c>
      <c r="O116" s="125">
        <f>VLOOKUP(Input!$C11,'2021Data'!$A2:$DX85,15,0)</f>
        <v>90000</v>
      </c>
      <c r="P116" s="125">
        <f>VLOOKUP(Input!$C11,'2021Data'!$A2:$DX85,16,0)</f>
        <v>62000</v>
      </c>
      <c r="Q116" s="125">
        <f>VLOOKUP(Input!$C11,'2021Data'!$A2:$DX85,17,0)</f>
        <v>310000</v>
      </c>
      <c r="R116" s="110">
        <f>VLOOKUP(Input!$C11,'2021Data'!$A2:$DX85,18,0)</f>
        <v>1.8788220391885913</v>
      </c>
      <c r="S116" s="125">
        <f>VLOOKUP(Input!$C11,'2021Data'!$A2:$DX85,19,0)</f>
        <v>461475</v>
      </c>
      <c r="T116" s="125">
        <f>VLOOKUP(Input!$C11,'2021Data'!$A2:$DX85,20,0)</f>
        <v>3026867</v>
      </c>
      <c r="U116" s="125">
        <f>VLOOKUP(Input!$C11,'2021Data'!$A2:$DX85,21,0)</f>
        <v>0</v>
      </c>
      <c r="V116" s="125">
        <f>VLOOKUP(Input!$C11,'2021Data'!$A2:$DX85,22,0)</f>
        <v>3026867</v>
      </c>
      <c r="W116" s="110">
        <f>VLOOKUP(Input!$C11,'2021Data'!$A2:$DX85,23,0)</f>
        <v>18.344982029976304</v>
      </c>
      <c r="X116" s="126">
        <f>VLOOKUP(Input!$C11,'2021Data'!$A2:$DX85,24,0)</f>
        <v>0.74512424893462448</v>
      </c>
      <c r="Y116" s="126">
        <f>VLOOKUP(Input!$C11,'2021Data'!$A2:$DX85,25,0)</f>
        <v>0.10241612862408557</v>
      </c>
      <c r="Z116" s="126">
        <f>VLOOKUP(Input!$C11,'2021Data'!$A2:$DX85,26,0)</f>
        <v>0.15245962244128997</v>
      </c>
      <c r="AA116" s="126">
        <f>VLOOKUP(Input!$C11,'2021Data'!$A2:$DX85,27,0)</f>
        <v>0</v>
      </c>
      <c r="AB116" s="125">
        <f>VLOOKUP(Input!$C11,'2021Data'!$A2:$DX85,28,0)</f>
        <v>377087</v>
      </c>
      <c r="AC116" s="125">
        <f>VLOOKUP(Input!$C11,'2021Data'!$A2:$DX85,29,0)</f>
        <v>0</v>
      </c>
      <c r="AD116" s="125">
        <f>VLOOKUP(Input!$C11,'2021Data'!$A2:$DX85,30,0)</f>
        <v>0</v>
      </c>
      <c r="AE116" s="125">
        <f>VLOOKUP(Input!$C11,'2021Data'!$A2:$DX85,31,0)</f>
        <v>0</v>
      </c>
      <c r="AF116" s="125">
        <f>VLOOKUP(Input!$C11,'2021Data'!$A2:$DX85,32,0)</f>
        <v>299838</v>
      </c>
      <c r="AG116" s="125">
        <f>VLOOKUP(Input!$C11,'2021Data'!$A2:$DX85,33,0)</f>
        <v>2727029</v>
      </c>
      <c r="AH116" s="125">
        <f>VLOOKUP(Input!$C11,'2021Data'!$A2:$DX85,34,0)</f>
        <v>0</v>
      </c>
      <c r="AI116" s="125">
        <f>VLOOKUP(Input!$C11,'2021Data'!$A2:$DX85,35,0)</f>
        <v>3026867</v>
      </c>
      <c r="AJ116" s="110">
        <f>VLOOKUP(Input!$C11,'2021Data'!$A2:$DX85,36,0)</f>
        <v>18.344982029976304</v>
      </c>
      <c r="AK116" s="125">
        <f>VLOOKUP(Input!$C11,'2021Data'!$A2:$DX85,37,0)</f>
        <v>175947</v>
      </c>
      <c r="AL116" s="125">
        <f>VLOOKUP(Input!$C11,'2021Data'!$A2:$DX85,38,0)</f>
        <v>50000</v>
      </c>
      <c r="AM116" s="125">
        <f>VLOOKUP(Input!$C11,'2021Data'!$A2:$DX85,39,0)</f>
        <v>0</v>
      </c>
      <c r="AN116" s="125">
        <f>VLOOKUP(Input!$C11,'2021Data'!$A2:$DX85,40,0)</f>
        <v>64410</v>
      </c>
      <c r="AO116" s="125">
        <f>VLOOKUP(Input!$C11,'2021Data'!$A2:$DX85,41,0)</f>
        <v>64410</v>
      </c>
      <c r="AP116" s="155">
        <f>VLOOKUP(Input!$C11,'2021Data'!$A2:$DX85,42,0)</f>
        <v>3331620</v>
      </c>
      <c r="AQ116" s="110">
        <f>VLOOKUP(Input!$C11,'2021Data'!$A2:$DX85,43,0)</f>
        <v>20.192003490972564</v>
      </c>
      <c r="AR116" s="125">
        <f>VLOOKUP(Input!$C11,'2021Data'!$A2:$DX85,44,0)</f>
        <v>0</v>
      </c>
      <c r="AS116" s="125">
        <f>VLOOKUP(Input!$C11,'2021Data'!$A2:$DX85,45,0)</f>
        <v>0</v>
      </c>
      <c r="AT116" s="125">
        <f>VLOOKUP(Input!$C11,'2021Data'!$A2:$DX85,46,0)</f>
        <v>0</v>
      </c>
      <c r="AU116" s="125">
        <f>VLOOKUP(Input!$C11,'2021Data'!$A2:$DX85,47,0)</f>
        <v>0</v>
      </c>
      <c r="AV116" s="125">
        <f>VLOOKUP(Input!$C11,'2021Data'!$A2:$DX85,48,0)</f>
        <v>0</v>
      </c>
      <c r="AW116" s="125">
        <f>VLOOKUP(Input!$C11,'2021Data'!$A2:$DX85,49,0)</f>
        <v>0</v>
      </c>
      <c r="AX116" s="125">
        <f>VLOOKUP(Input!$C11,'2021Data'!$A2:$DX85,50,0)</f>
        <v>0</v>
      </c>
      <c r="AY116" s="125">
        <f>VLOOKUP(Input!$C11,'2021Data'!$A2:$DX85,51,0)</f>
        <v>0</v>
      </c>
      <c r="AZ116" s="108">
        <f>VLOOKUP(Input!$C11,'2021Data'!$A2:$DX85,52,0)</f>
        <v>167660</v>
      </c>
      <c r="BA116" s="109">
        <f>VLOOKUP(Input!$C11,'2021Data'!$A2:$DX85,53,0)</f>
        <v>1.0161396873882556</v>
      </c>
      <c r="BB116" s="108">
        <f>VLOOKUP(Input!$C11,'2021Data'!$A2:$DX85,54,0)</f>
        <v>13195</v>
      </c>
      <c r="BC116" s="108">
        <f>VLOOKUP(Input!$C11,'2021Data'!$A2:$DX85,55,0)</f>
        <v>25728</v>
      </c>
      <c r="BD116" s="108">
        <f>VLOOKUP(Input!$C11,'2021Data'!$A2:$DX85,56,0)</f>
        <v>24579</v>
      </c>
      <c r="BE116" s="108">
        <f>VLOOKUP(Input!$C11,'2021Data'!$A2:$DX85,57,0)</f>
        <v>2130</v>
      </c>
      <c r="BF116" s="108">
        <f>VLOOKUP(Input!$C11,'2021Data'!$A2:$DX85,58,0)</f>
        <v>133979</v>
      </c>
      <c r="BG116" s="108">
        <f>VLOOKUP(Input!$C11,'2021Data'!$A2:$DX85,59,0)</f>
        <v>7</v>
      </c>
      <c r="BH116" s="108">
        <f>VLOOKUP(Input!$C11,'2021Data'!$A2:$DX85,60,0)</f>
        <v>89</v>
      </c>
      <c r="BI116" s="108">
        <f>VLOOKUP(Input!$C11,'2021Data'!$A2:$DX85,61,0)</f>
        <v>0</v>
      </c>
      <c r="BJ116" s="108">
        <f>VLOOKUP(Input!$C11,'2021Data'!$A2:$DX85,62,0)</f>
        <v>93</v>
      </c>
      <c r="BK116" s="108">
        <f>VLOOKUP(Input!$C11,'2021Data'!$A2:$DX85,63,0)</f>
        <v>379581</v>
      </c>
      <c r="BL116" s="109">
        <f>VLOOKUP(Input!$C11,'2021Data'!$A2:$DX85,64,0)</f>
        <v>2.300532736958854</v>
      </c>
      <c r="BM116" s="108">
        <f>VLOOKUP(Input!$C11,'2021Data'!$A2:$DX85,65,0)</f>
        <v>189</v>
      </c>
      <c r="BN116" s="108">
        <f>VLOOKUP(Input!$C11,'2021Data'!$A2:$DX85,66,0)</f>
        <v>20756</v>
      </c>
      <c r="BO116" s="109">
        <f>VLOOKUP(Input!$C11,'2021Data'!$A2:$DX85,67,0)</f>
        <v>0.12579622659805936</v>
      </c>
      <c r="BP116" s="108">
        <f>VLOOKUP(Input!$C11,'2021Data'!$A2:$DX85,68,0)</f>
        <v>88749</v>
      </c>
      <c r="BQ116" s="108">
        <f>VLOOKUP(Input!$C11,'2021Data'!$A2:$DX85,69,0)</f>
        <v>0</v>
      </c>
      <c r="BR116" s="360">
        <f>VLOOKUP(Input!$C11,'2021Data'!$A2:$DX85,70,0)</f>
        <v>248640</v>
      </c>
      <c r="BS116" s="108">
        <f>VLOOKUP(Input!$C11,'2021Data'!$A2:$DX85,71,0)</f>
        <v>129317</v>
      </c>
      <c r="BT116" s="108">
        <f>VLOOKUP(Input!$C11,'2021Data'!$A2:$DX85,72,0)</f>
        <v>377957</v>
      </c>
      <c r="BU116" s="109">
        <f>VLOOKUP(Input!$C11,'2021Data'!$A2:$DX85,73,0)</f>
        <v>2.2906901337600076</v>
      </c>
      <c r="BV116" s="108">
        <f>VLOOKUP(Input!$C11,'2021Data'!$A2:$DX85,74,0)</f>
        <v>5814.7230769230773</v>
      </c>
      <c r="BW116" s="169">
        <f>VLOOKUP(Input!$C11,'2021Data'!$A2:$DX85,75,0)</f>
        <v>44.009897531439215</v>
      </c>
      <c r="BX116" s="169">
        <f>VLOOKUP(Input!$C11,'2021Data'!$A2:$DX85,76,0)</f>
        <v>4.3085279801192389</v>
      </c>
      <c r="BY116" s="109">
        <f>VLOOKUP(Input!$C11,'2021Data'!$A2:$DX85,77,0)</f>
        <v>0.99572159828863926</v>
      </c>
      <c r="BZ116" s="108">
        <f>VLOOKUP(Input!$C11,'2021Data'!$A2:$DX85,78,0)</f>
        <v>115</v>
      </c>
      <c r="CA116" s="108">
        <f>VLOOKUP(Input!$C11,'2021Data'!$A2:$DX85,79,0)</f>
        <v>35</v>
      </c>
      <c r="CB116" s="108">
        <f>VLOOKUP(Input!$C11,'2021Data'!$A2:$DX85,80,0)</f>
        <v>87</v>
      </c>
      <c r="CC116" s="108">
        <f>VLOOKUP(Input!$C11,'2021Data'!$A2:$DX85,81,0)</f>
        <v>237</v>
      </c>
      <c r="CD116" s="108">
        <f>VLOOKUP(Input!$C11,'2021Data'!$A2:$DX85,82,0)</f>
        <v>2573</v>
      </c>
      <c r="CE116" s="108">
        <f>VLOOKUP(Input!$C11,'2021Data'!$A2:$DX85,85,0)</f>
        <v>4647</v>
      </c>
      <c r="CF116" s="108">
        <f>VLOOKUP(Input!$C11,'2021Data'!$A2:$DX85,84,0)</f>
        <v>1225</v>
      </c>
      <c r="CG116" s="108">
        <f>VLOOKUP(Input!$C11,'2021Data'!$A2:$DX85,85,0)</f>
        <v>4647</v>
      </c>
      <c r="CH116" s="109">
        <f>VLOOKUP(Input!$C11,'2021Data'!$A2:$DX85,86,0)</f>
        <v>2.8164148439062529E-2</v>
      </c>
      <c r="CI116" s="108">
        <f>VLOOKUP(Input!$C11,'2021Data'!$A2:$DX85,87,0)</f>
        <v>87723</v>
      </c>
      <c r="CJ116" s="109">
        <f>VLOOKUP(Input!$C11,'2021Data'!$A2:$DX85,88,0)</f>
        <v>0.53166421207658321</v>
      </c>
      <c r="CK116" s="108">
        <f>VLOOKUP(Input!$C11,'2021Data'!$A2:$DX85,89,0)</f>
        <v>94158</v>
      </c>
      <c r="CL116" s="107" t="str">
        <f>VLOOKUP(Input!$C11,'2021Data'!$A2:$DX85,90,0)</f>
        <v>Yes</v>
      </c>
      <c r="CM116" s="107" t="str">
        <f>VLOOKUP(Input!$C11,'2021Data'!$A2:$DX85,91,0)</f>
        <v>Yes</v>
      </c>
      <c r="CN116" s="107" t="str">
        <f>VLOOKUP(Input!$C11,'2021Data'!$A2:$DX85,92,0)</f>
        <v>Yes</v>
      </c>
      <c r="CO116" s="169">
        <f>VLOOKUP(Input!$C11,'2021Data'!$A2:$DX85,93,0)</f>
        <v>11</v>
      </c>
      <c r="CP116" s="108">
        <f>VLOOKUP(Input!$C11,'2021Data'!$A2:$DX85,94,0)</f>
        <v>14999.727272727272</v>
      </c>
      <c r="CQ116" s="169">
        <f>VLOOKUP(Input!$C11,'2021Data'!$A2:$DX85,95,0)</f>
        <v>0</v>
      </c>
      <c r="CR116" s="169">
        <f>VLOOKUP(Input!$C11,'2021Data'!$A2:$DX85,96,0)</f>
        <v>54</v>
      </c>
      <c r="CS116" s="169">
        <f>VLOOKUP(Input!$C11,'2021Data'!$A2:$DX85,97,0)</f>
        <v>65</v>
      </c>
      <c r="CT116" s="108">
        <f>VLOOKUP(Input!$C11,'2021Data'!$A2:$DX85,98,0)</f>
        <v>2538.4153846153845</v>
      </c>
      <c r="CU116" s="108">
        <f>VLOOKUP(Input!$C11,'2021Data'!$A2:$DX85,99,0)</f>
        <v>375</v>
      </c>
      <c r="CV116" s="125">
        <f>VLOOKUP(Input!$C11,'2021Data'!$A2:$DX85,100,0)</f>
        <v>79060</v>
      </c>
      <c r="CW116" s="109">
        <f>VLOOKUP(Input!$C11,'2021Data'!$A2:$DX85,101,0)</f>
        <v>40</v>
      </c>
      <c r="CX116" s="107" t="str">
        <f>VLOOKUP(Input!$C11,'2021Data'!$A2:$DX85,102,0)</f>
        <v>Yes</v>
      </c>
      <c r="CY116" s="107" t="str">
        <f>VLOOKUP(Input!$C11,'2021Data'!$A2:$DX85,103,0)</f>
        <v>Yes</v>
      </c>
      <c r="CZ116" s="108">
        <f>VLOOKUP(Input!$C11,'2021Data'!$A2:$DX85,104,0)</f>
        <v>56</v>
      </c>
      <c r="DA116" s="108">
        <f>VLOOKUP(Input!$C11,'2021Data'!$A2:$DX85,105,0)</f>
        <v>194</v>
      </c>
      <c r="DB116" s="143">
        <f>VLOOKUP(Input!$C11,'2021Data'!$A2:$DX85,106,0)</f>
        <v>97</v>
      </c>
      <c r="DC116" s="108">
        <f>VLOOKUP(Input!$C11,'2021Data'!$A2:$DX85,107,0)</f>
        <v>9016</v>
      </c>
      <c r="DD116" s="108">
        <f>VLOOKUP(Input!$C11,'2021Data'!$A2:$DX85,108,0)</f>
        <v>7282</v>
      </c>
      <c r="DE116" s="108">
        <f>VLOOKUP(Input!$C11,'2021Data'!$A2:$DX85,109,0)</f>
        <v>118525</v>
      </c>
      <c r="DF116" s="108">
        <f>VLOOKUP(Input!$C11,'2021Data'!$A2:$DX85,110,0)</f>
        <v>11458</v>
      </c>
      <c r="DG116" s="108">
        <f>VLOOKUP(Input!$C11,'2021Data'!$A2:$DX85,111,0)</f>
        <v>52</v>
      </c>
      <c r="DH116" s="108">
        <f>VLOOKUP(Input!$C11,'2021Data'!$A2:$DX85,112,0)</f>
        <v>6.944368685491252E-2</v>
      </c>
      <c r="DI116" s="108">
        <f>VLOOKUP(Input!$C11,'2021Data'!$A2:$DX85,113,0)</f>
        <v>63</v>
      </c>
      <c r="DJ116" s="108">
        <f>VLOOKUP(Input!$C11,'2021Data'!$A2:$DX85,114,0)</f>
        <v>63</v>
      </c>
      <c r="DK116" s="108">
        <f>VLOOKUP(Input!$C11,'2021Data'!$A2:$DX85,115,0)</f>
        <v>6254</v>
      </c>
      <c r="DL116" s="108">
        <f>VLOOKUP(Input!$C11,'2021Data'!$A2:$DX85,116,0)</f>
        <v>8588</v>
      </c>
      <c r="DM116" s="108">
        <f>VLOOKUP(Input!$C11,'2021Data'!$A2:$DX85,117,0)</f>
        <v>0</v>
      </c>
      <c r="DN116" s="108" t="str">
        <f>VLOOKUP(Input!$C11,'2021Data'!$A2:$DX85,118,0)</f>
        <v>NC0103</v>
      </c>
      <c r="DO116" s="128" t="str">
        <f>VLOOKUP(Input!$C11,'2021Data'!$A2:$DX85,119,0)</f>
        <v>County</v>
      </c>
      <c r="DP116" s="127">
        <f>VLOOKUP(Input!$C11,'2021Data'!$A2:$DX85,120,0)</f>
        <v>0</v>
      </c>
      <c r="DQ116" s="127">
        <f>VLOOKUP(Input!$C11,'2021Data'!$A2:$DX85,121,0)</f>
        <v>0</v>
      </c>
      <c r="DR116" s="127" t="str">
        <f>VLOOKUP(Input!$C11,'2021Data'!$A2:$DX85,122,0)</f>
        <v>ALAMANCE</v>
      </c>
      <c r="DS116" s="127" t="str">
        <f>VLOOKUP(Input!$C11,'2021Data'!$A2:$DX85,123,0)</f>
        <v>ALAMANCE</v>
      </c>
      <c r="DT116" s="198">
        <f>VLOOKUP(Input!$C11,'2021Data'!$A2:$DX85,124,0)</f>
        <v>44013</v>
      </c>
      <c r="DU116" s="198">
        <f>VLOOKUP(Input!$C11,'2021Data'!$A2:$DX85,125,0)</f>
        <v>44377</v>
      </c>
      <c r="DV116" s="127" t="str">
        <f>VLOOKUP(Input!$C11,'2021Data'!$A2:$DX85,126,0)</f>
        <v>ALAMANCE COUNTY PUBLIC LIBRARIES</v>
      </c>
      <c r="DW116" s="109">
        <f>VLOOKUP(Input!$C11,'2021Data'!$A2:$DX85,127,0)</f>
        <v>0.53788250695467188</v>
      </c>
      <c r="DX116" s="109">
        <f>VLOOKUP(Input!$C11,'2021Data'!$A2:$DZ85,128,0)</f>
        <v>0</v>
      </c>
      <c r="DY116" s="109">
        <f>VLOOKUP(Input!$C11,'2021Data'!$A2:$DZ85,129,0)</f>
        <v>1.5069364897543591</v>
      </c>
      <c r="DZ116" s="109">
        <f>VLOOKUP(Input!$C11,'2021Data'!$A2:$DZ85,130,0)</f>
        <v>0.78375364400564862</v>
      </c>
      <c r="EA116" s="110">
        <f>VLOOKUP(Input!$C11,'2021Data'!$A2:$EA85,131,0)</f>
        <v>0.4683021675276906</v>
      </c>
      <c r="EB116" s="110">
        <f>VLOOKUP(Input!$C11,'2021Data'!$A2:$EB85,132,0)</f>
        <v>0.69596418104348234</v>
      </c>
    </row>
    <row r="117" spans="2:132" x14ac:dyDescent="0.2">
      <c r="B117" s="114" t="str">
        <f>VLOOKUP(Input!$C17,'2021Data'!$A$2:$DX$85,1,FALSE)</f>
        <v xml:space="preserve">ALAMANCE </v>
      </c>
      <c r="C117" s="108" t="e">
        <f>VLOOKUP(Input!$C12,'2021Data'!$A$2:$DX$85,3,0)</f>
        <v>#N/A</v>
      </c>
      <c r="D117" s="108">
        <f>VLOOKUP(Input!$C17,'2021Data'!$A$2:$DX$85,4,0)</f>
        <v>3</v>
      </c>
      <c r="E117" s="108">
        <f>VLOOKUP(Input!$C17,'2021Data'!$A$2:$DX$85,5,0)</f>
        <v>0</v>
      </c>
      <c r="F117" s="108">
        <f>VLOOKUP(Input!$C17,'2021Data'!$A$2:$DX$85,6,0)</f>
        <v>55734</v>
      </c>
      <c r="G117" s="32">
        <f>VLOOKUP(Input!$C17,'2021Data'!$A$2:$DX$85,7,0)</f>
        <v>0</v>
      </c>
      <c r="H117" s="108">
        <f>VLOOKUP(Input!$C17,'2021Data'!$A$2:$DX$85,8,0)</f>
        <v>55734</v>
      </c>
      <c r="I117" s="109">
        <f>VLOOKUP(Input!$C17,'2021Data'!$A$2:$DX$85,9,0)</f>
        <v>0.34588999999999998</v>
      </c>
      <c r="J117" s="125">
        <f>VLOOKUP(Input!$C17,'2021Data'!$A$2:$DX$85,10,0)</f>
        <v>1597813</v>
      </c>
      <c r="K117" s="125">
        <f>VLOOKUP(Input!$C17,'2021Data'!$A$2:$DX$85,11,0)</f>
        <v>657579</v>
      </c>
      <c r="L117" s="125">
        <f>VLOOKUP(Input!$C17,'2021Data'!$A2:$DX85,12,0)</f>
        <v>2255392</v>
      </c>
      <c r="M117" s="110">
        <f>VLOOKUP(Input!$C17,'2021Data'!$A$2:$DX$85,13,0)</f>
        <v>13.669290956805275</v>
      </c>
      <c r="N117" s="125">
        <f>VLOOKUP(Input!$C17,'2021Data'!$A$2:$DX$85,14,0)</f>
        <v>158000</v>
      </c>
      <c r="O117" s="125">
        <f>VLOOKUP(Input!$C17,'2021Data'!$A$2:$DX$85,15,0)</f>
        <v>90000</v>
      </c>
      <c r="P117" s="125">
        <f>VLOOKUP(Input!$C17,'2021Data'!$A$2:$DX$85,16,0)</f>
        <v>62000</v>
      </c>
      <c r="Q117" s="125">
        <f>VLOOKUP(Input!$C17,'2021Data'!$A$2:$DX$85,17,0)</f>
        <v>310000</v>
      </c>
      <c r="R117" s="110">
        <f>VLOOKUP(Input!$C17,'2021Data'!$A$2:$DX$85,18,0)</f>
        <v>1.8788220391885913</v>
      </c>
      <c r="S117" s="125">
        <f>VLOOKUP(Input!$C17,'2021Data'!$A$2:$DX$85,19,0)</f>
        <v>461475</v>
      </c>
      <c r="T117" s="125">
        <f>VLOOKUP(Input!$C17,'2021Data'!$A$2:$DX$85,20,0)</f>
        <v>3026867</v>
      </c>
      <c r="U117" s="125">
        <f>VLOOKUP(Input!$C17,'2021Data'!$A$2:$DX$85,21,0)</f>
        <v>0</v>
      </c>
      <c r="V117" s="125">
        <f>VLOOKUP(Input!$C17,'2021Data'!$A$2:$DX$85,22,0)</f>
        <v>3026867</v>
      </c>
      <c r="W117" s="110">
        <f>VLOOKUP(Input!$C17,'2021Data'!$A$2:$DX$85,23,0)</f>
        <v>18.344982029976304</v>
      </c>
      <c r="X117" s="126">
        <f>VLOOKUP(Input!$C17,'2021Data'!$A$2:$DX$85,24,0)</f>
        <v>0.74512424893462448</v>
      </c>
      <c r="Y117" s="126">
        <f>VLOOKUP(Input!$C17,'2021Data'!$A$2:$DX$85,25,0)</f>
        <v>0.10241612862408557</v>
      </c>
      <c r="Z117" s="126">
        <f>VLOOKUP(Input!$C17,'2021Data'!$A$2:$DX$85,26,0)</f>
        <v>0.15245962244128997</v>
      </c>
      <c r="AA117" s="126">
        <f>VLOOKUP(Input!$C17,'2021Data'!$A$2:$DX$85,27,0)</f>
        <v>0</v>
      </c>
      <c r="AB117" s="125">
        <f>VLOOKUP(Input!$C17,'2021Data'!$A$2:$DX$85,28,0)</f>
        <v>377087</v>
      </c>
      <c r="AC117" s="125">
        <f>VLOOKUP(Input!$C17,'2021Data'!$A$2:$DX$85,29,0)</f>
        <v>0</v>
      </c>
      <c r="AD117" s="125">
        <f>VLOOKUP(Input!$C17,'2021Data'!$A$2:$DX$85,30,0)</f>
        <v>0</v>
      </c>
      <c r="AE117" s="125">
        <f>VLOOKUP(Input!$C17,'2021Data'!$A$2:$DX$85,31,0)</f>
        <v>0</v>
      </c>
      <c r="AF117" s="125">
        <f>VLOOKUP(Input!$C17,'2021Data'!$A$2:$DX$85,32,0)</f>
        <v>299838</v>
      </c>
      <c r="AG117" s="125">
        <f>VLOOKUP(Input!$C17,'2021Data'!$A$2:$DX$85,33,0)</f>
        <v>2727029</v>
      </c>
      <c r="AH117" s="125">
        <f>VLOOKUP(Input!$C17,'2021Data'!$A$2:$DX$85,34,0)</f>
        <v>0</v>
      </c>
      <c r="AI117" s="125">
        <f>VLOOKUP(Input!$C17,'2021Data'!$A$2:$DX$85,35,0)</f>
        <v>3026867</v>
      </c>
      <c r="AJ117" s="110">
        <f>VLOOKUP(Input!$C17,'2021Data'!$A$2:$DX$85,36,0)</f>
        <v>18.344982029976304</v>
      </c>
      <c r="AK117" s="125">
        <f>VLOOKUP(Input!$C17,'2021Data'!$A$2:$DX$85,37,0)</f>
        <v>175947</v>
      </c>
      <c r="AL117" s="125">
        <f>VLOOKUP(Input!$C17,'2021Data'!$A$2:$DX$85,38,0)</f>
        <v>50000</v>
      </c>
      <c r="AM117" s="125">
        <f>VLOOKUP(Input!$C17,'2021Data'!$A$2:$DX$85,39,0)</f>
        <v>0</v>
      </c>
      <c r="AN117" s="125">
        <f>VLOOKUP(Input!$C17,'2021Data'!$A$2:$DX$85,40,0)</f>
        <v>64410</v>
      </c>
      <c r="AO117" s="125">
        <f>VLOOKUP(Input!$C17,'2021Data'!$A$2:$DX$85,41,0)</f>
        <v>64410</v>
      </c>
      <c r="AP117" s="155">
        <f>VLOOKUP(Input!$C17,'2021Data'!$A$2:$DX$85,42,0)</f>
        <v>3331620</v>
      </c>
      <c r="AQ117" s="110">
        <f>VLOOKUP(Input!$C17,'2021Data'!$A$2:$DX$85,43,0)</f>
        <v>20.192003490972564</v>
      </c>
      <c r="AR117" s="125">
        <f>VLOOKUP(Input!$C17,'2021Data'!$A$2:$DX$85,44,0)</f>
        <v>0</v>
      </c>
      <c r="AS117" s="125">
        <f>VLOOKUP(Input!$C17,'2021Data'!$A$2:$DX$85,45,0)</f>
        <v>0</v>
      </c>
      <c r="AT117" s="125">
        <f>VLOOKUP(Input!$C17,'2021Data'!$A$2:$DX$85,46,0)</f>
        <v>0</v>
      </c>
      <c r="AU117" s="125">
        <f>VLOOKUP(Input!$C17,'2021Data'!$A$2:$DX$85,47,0)</f>
        <v>0</v>
      </c>
      <c r="AV117" s="125">
        <f>VLOOKUP(Input!$C17,'2021Data'!$A$2:$DX$85,48,0)</f>
        <v>0</v>
      </c>
      <c r="AW117" s="125">
        <f>VLOOKUP(Input!$C17,'2021Data'!$A$2:$DX$85,49,0)</f>
        <v>0</v>
      </c>
      <c r="AX117" s="125">
        <f>VLOOKUP(Input!$C17,'2021Data'!$A$2:$DX$85,50,0)</f>
        <v>0</v>
      </c>
      <c r="AY117" s="125">
        <f>VLOOKUP(Input!$C17,'2021Data'!$A$2:$DX$85,51,0)</f>
        <v>0</v>
      </c>
      <c r="AZ117" s="108">
        <f>VLOOKUP(Input!$C17,'2021Data'!$A$2:$DX$85,52,0)</f>
        <v>167660</v>
      </c>
      <c r="BA117" s="109">
        <f>VLOOKUP(Input!$C17,'2021Data'!$A$2:$DX$85,53,0)</f>
        <v>1.0161396873882556</v>
      </c>
      <c r="BB117" s="108">
        <f>VLOOKUP(Input!$C17,'2021Data'!$A$2:$DX$85,54,0)</f>
        <v>13195</v>
      </c>
      <c r="BC117" s="108">
        <f>VLOOKUP(Input!$C17,'2021Data'!$A$2:$DX$85,55,0)</f>
        <v>25728</v>
      </c>
      <c r="BD117" s="108">
        <f>VLOOKUP(Input!$C17,'2021Data'!$A$2:$DX$85,56,0)</f>
        <v>24579</v>
      </c>
      <c r="BE117" s="108">
        <f>VLOOKUP(Input!$C17,'2021Data'!$A$2:$DX$85,57,0)</f>
        <v>2130</v>
      </c>
      <c r="BF117" s="108">
        <f>VLOOKUP(Input!$C17,'2021Data'!$A$2:$DX$85,58,0)</f>
        <v>133979</v>
      </c>
      <c r="BG117" s="108">
        <f>VLOOKUP(Input!$C17,'2021Data'!$A$2:$DX$85,59,0)</f>
        <v>7</v>
      </c>
      <c r="BH117" s="108">
        <f>VLOOKUP(Input!$C17,'2021Data'!$A$2:$DX$85,60,0)</f>
        <v>89</v>
      </c>
      <c r="BI117" s="108">
        <f>VLOOKUP(Input!$C17,'2021Data'!$A$2:$DX$85,61,0)</f>
        <v>0</v>
      </c>
      <c r="BJ117" s="108">
        <f>VLOOKUP(Input!$C17,'2021Data'!$A$2:$DX$85,62,0)</f>
        <v>93</v>
      </c>
      <c r="BK117" s="108">
        <f>VLOOKUP(Input!$C17,'2021Data'!$A$2:$DX$85,63,0)</f>
        <v>379581</v>
      </c>
      <c r="BL117" s="109">
        <f>VLOOKUP(Input!$C17,'2021Data'!$A$2:$DX$85,64,0)</f>
        <v>2.300532736958854</v>
      </c>
      <c r="BM117" s="108">
        <f>VLOOKUP(Input!$C17,'2021Data'!$A$2:$DX$85,65,0)</f>
        <v>189</v>
      </c>
      <c r="BN117" s="108">
        <f>VLOOKUP(Input!$C17,'2021Data'!$A$2:$DX$85,66,0)</f>
        <v>20756</v>
      </c>
      <c r="BO117" s="109">
        <f>VLOOKUP(Input!$C17,'2021Data'!$A$2:$DX$85,67,0)</f>
        <v>0.12579622659805936</v>
      </c>
      <c r="BP117" s="108">
        <f>VLOOKUP(Input!$C17,'2021Data'!$A$2:$DX$85,68,0)</f>
        <v>88749</v>
      </c>
      <c r="BQ117" s="108">
        <f>VLOOKUP(Input!$C17,'2021Data'!$A$2:$DX$85,69,0)</f>
        <v>0</v>
      </c>
      <c r="BR117" s="360">
        <f>VLOOKUP(Input!$C17,'2021Data'!$A$2:$DX$85,70,0)</f>
        <v>248640</v>
      </c>
      <c r="BS117" s="108">
        <f>VLOOKUP(Input!$C17,'2021Data'!$A$2:$DX$85,71,0)</f>
        <v>129317</v>
      </c>
      <c r="BT117" s="108">
        <f>VLOOKUP(Input!$C17,'2021Data'!$A$2:$DX$85,72,0)</f>
        <v>377957</v>
      </c>
      <c r="BU117" s="109">
        <f>VLOOKUP(Input!$C17,'2021Data'!$A$2:$DX$85,73,0)</f>
        <v>2.2906901337600076</v>
      </c>
      <c r="BV117" s="108">
        <f>VLOOKUP(Input!$C17,'2021Data'!$A$2:$DX$85,74,0)</f>
        <v>5814.7230769230773</v>
      </c>
      <c r="BW117" s="169">
        <f>VLOOKUP(Input!$C17,'2021Data'!$A$2:$DX$85,75,0)</f>
        <v>44.009897531439215</v>
      </c>
      <c r="BX117" s="169">
        <f>VLOOKUP(Input!$C17,'2021Data'!$A$2:$DX$85,76,0)</f>
        <v>4.3085279801192389</v>
      </c>
      <c r="BY117" s="109">
        <f>VLOOKUP(Input!$C17,'2021Data'!$A$2:$DX$85,77,0)</f>
        <v>0.99572159828863926</v>
      </c>
      <c r="BZ117" s="108">
        <f>VLOOKUP(Input!$C17,'2021Data'!$A$2:$DX$85,78,0)</f>
        <v>115</v>
      </c>
      <c r="CA117" s="108">
        <f>VLOOKUP(Input!$C17,'2021Data'!$A$2:$DX$85,79,0)</f>
        <v>35</v>
      </c>
      <c r="CB117" s="108">
        <f>VLOOKUP(Input!$C17,'2021Data'!$A$2:$DX$85,80,0)</f>
        <v>87</v>
      </c>
      <c r="CC117" s="108">
        <f>VLOOKUP(Input!$C17,'2021Data'!$A$2:$DX$85,81,0)</f>
        <v>237</v>
      </c>
      <c r="CD117" s="108">
        <f>VLOOKUP(Input!$C17,'2021Data'!$A$2:$DX$85,82,0)</f>
        <v>2573</v>
      </c>
      <c r="CE117" s="108">
        <f>VLOOKUP(Input!$C17,'2021Data'!$A$2:$DX$85,85,0)</f>
        <v>4647</v>
      </c>
      <c r="CF117" s="108">
        <f>VLOOKUP(Input!$C17,'2021Data'!$A$2:$DX$85,84,0)</f>
        <v>1225</v>
      </c>
      <c r="CG117" s="108">
        <f>VLOOKUP(Input!$C17,'2021Data'!$A$2:$DX$85,85,0)</f>
        <v>4647</v>
      </c>
      <c r="CH117" s="109">
        <f>VLOOKUP(Input!$C17,'2021Data'!$A$2:$DX$85,86,0)</f>
        <v>2.8164148439062529E-2</v>
      </c>
      <c r="CI117" s="108">
        <f>VLOOKUP(Input!$C17,'2021Data'!$A$2:$DX$85,87,0)</f>
        <v>87723</v>
      </c>
      <c r="CJ117" s="109">
        <f>VLOOKUP(Input!$C17,'2021Data'!$A$2:$DX$85,88,0)</f>
        <v>0.53166421207658321</v>
      </c>
      <c r="CK117" s="108">
        <f>VLOOKUP(Input!$C17,'2021Data'!$A$2:$DX$85,89,0)</f>
        <v>94158</v>
      </c>
      <c r="CL117" s="107" t="str">
        <f>VLOOKUP(Input!$C17,'2021Data'!$A$2:$DX$85,90,0)</f>
        <v>Yes</v>
      </c>
      <c r="CM117" s="107" t="str">
        <f>VLOOKUP(Input!$C17,'2021Data'!$A$2:$DX$85,91,0)</f>
        <v>Yes</v>
      </c>
      <c r="CN117" s="107" t="str">
        <f>VLOOKUP(Input!$C17,'2021Data'!$A$2:$DX$85,92,0)</f>
        <v>Yes</v>
      </c>
      <c r="CO117" s="169">
        <f>VLOOKUP(Input!$C17,'2021Data'!$A$2:$DX$85,93,0)</f>
        <v>11</v>
      </c>
      <c r="CP117" s="108">
        <f>VLOOKUP(Input!$C17,'2021Data'!$A$2:$DX$85,94,0)</f>
        <v>14999.727272727272</v>
      </c>
      <c r="CQ117" s="169">
        <f>VLOOKUP(Input!$C17,'2021Data'!$A$2:$DX$85,95,0)</f>
        <v>0</v>
      </c>
      <c r="CR117" s="169">
        <f>VLOOKUP(Input!$C17,'2021Data'!$A$2:$DX$85,96,0)</f>
        <v>54</v>
      </c>
      <c r="CS117" s="169">
        <f>VLOOKUP(Input!$C17,'2021Data'!$A$2:$DX$85,97,0)</f>
        <v>65</v>
      </c>
      <c r="CT117" s="108">
        <f>VLOOKUP(Input!$C17,'2021Data'!$A$2:$DX$85,98,0)</f>
        <v>2538.4153846153845</v>
      </c>
      <c r="CU117" s="108">
        <f>VLOOKUP(Input!$C17,'2021Data'!$A$2:$DX$85,99,0)</f>
        <v>375</v>
      </c>
      <c r="CV117" s="125">
        <f>VLOOKUP(Input!$C17,'2021Data'!$A$2:$DX$85,100,0)</f>
        <v>79060</v>
      </c>
      <c r="CW117" s="109">
        <f>VLOOKUP(Input!$C17,'2021Data'!$A$2:$DX$85,101,0)</f>
        <v>40</v>
      </c>
      <c r="CX117" s="107" t="str">
        <f>VLOOKUP(Input!$C17,'2021Data'!$A$2:$DX$85,102,0)</f>
        <v>Yes</v>
      </c>
      <c r="CY117" s="107" t="str">
        <f>VLOOKUP(Input!$C17,'2021Data'!$A$2:$DX$85,103,0)</f>
        <v>Yes</v>
      </c>
      <c r="CZ117" s="108">
        <f>VLOOKUP(Input!$C17,'2021Data'!$A$2:$DX$85,104,0)</f>
        <v>56</v>
      </c>
      <c r="DA117" s="108">
        <f>VLOOKUP(Input!$C17,'2021Data'!$A$2:$DX$85,105,0)</f>
        <v>194</v>
      </c>
      <c r="DB117" s="143">
        <f>VLOOKUP(Input!$C17,'2021Data'!$A$2:$DX$85,106,0)</f>
        <v>97</v>
      </c>
      <c r="DC117" s="108">
        <f>VLOOKUP(Input!$C17,'2021Data'!$A$2:$DX$85,107,0)</f>
        <v>9016</v>
      </c>
      <c r="DD117" s="108">
        <f>VLOOKUP(Input!$C17,'2021Data'!$A$2:$DX$85,108,0)</f>
        <v>7282</v>
      </c>
      <c r="DE117" s="108">
        <f>VLOOKUP(Input!$C17,'2021Data'!$A$2:$DX$85,109,0)</f>
        <v>118525</v>
      </c>
      <c r="DF117" s="108">
        <f>VLOOKUP(Input!$C17,'2021Data'!$A$2:$DX$85,110,0)</f>
        <v>11458</v>
      </c>
      <c r="DG117" s="108">
        <f>VLOOKUP(Input!$C17,'2021Data'!$A$2:$DX$85,111,0)</f>
        <v>52</v>
      </c>
      <c r="DH117" s="108">
        <f>VLOOKUP(Input!$C17,'2021Data'!$A$2:$DX$85,112,0)</f>
        <v>6.944368685491252E-2</v>
      </c>
      <c r="DI117" s="108">
        <f>VLOOKUP(Input!$C17,'2021Data'!$A$2:$DX$85,113,0)</f>
        <v>63</v>
      </c>
      <c r="DJ117" s="108">
        <f>VLOOKUP(Input!$C17,'2021Data'!$A$2:$DX$85,114,0)</f>
        <v>63</v>
      </c>
      <c r="DK117" s="108">
        <f>VLOOKUP(Input!$C17,'2021Data'!$A$2:$DX$85,115,0)</f>
        <v>6254</v>
      </c>
      <c r="DL117" s="108">
        <f>VLOOKUP(Input!$C17,'2021Data'!$A$2:$DX$85,116,0)</f>
        <v>8588</v>
      </c>
      <c r="DM117" s="108">
        <f>VLOOKUP(Input!$C17,'2021Data'!$A$2:$DX$85,117,0)</f>
        <v>0</v>
      </c>
      <c r="DN117" s="108" t="str">
        <f>VLOOKUP(Input!$C17,'2021Data'!$A$2:$DX$85,118,0)</f>
        <v>NC0103</v>
      </c>
      <c r="DO117" s="128" t="str">
        <f>VLOOKUP(Input!$C17,'2021Data'!$A$2:$DX$85,119,0)</f>
        <v>County</v>
      </c>
      <c r="DP117" s="127">
        <f>VLOOKUP(Input!$C17,'2021Data'!$A$2:$DX$85,120,0)</f>
        <v>0</v>
      </c>
      <c r="DQ117" s="127">
        <f>VLOOKUP(Input!$C17,'2021Data'!$A$2:$DX$85,121,0)</f>
        <v>0</v>
      </c>
      <c r="DR117" s="127" t="str">
        <f>VLOOKUP(Input!$C17,'2021Data'!$A$2:$DX$85,122,0)</f>
        <v>ALAMANCE</v>
      </c>
      <c r="DS117" s="127" t="str">
        <f>VLOOKUP(Input!$C17,'2021Data'!$A$2:$DX$85,123,0)</f>
        <v>ALAMANCE</v>
      </c>
      <c r="DT117" s="198">
        <f>VLOOKUP(Input!$C17,'2021Data'!$A$2:$DX$85,124,0)</f>
        <v>44013</v>
      </c>
      <c r="DU117" s="198">
        <f>VLOOKUP(Input!$C17,'2021Data'!$A$2:$DX$85,125,0)</f>
        <v>44377</v>
      </c>
      <c r="DV117" s="127" t="str">
        <f>VLOOKUP(Input!$C17,'2021Data'!$A$2:$DX$85,126,0)</f>
        <v>ALAMANCE COUNTY PUBLIC LIBRARIES</v>
      </c>
      <c r="DW117" s="109">
        <f>VLOOKUP(Input!$C17,'2021Data'!$A$2:$DX$85,127,0)</f>
        <v>0.53788250695467188</v>
      </c>
      <c r="DX117" s="109">
        <f>VLOOKUP(Input!$C17,'2021Data'!$A$2:$DZ$85,128,0)</f>
        <v>0</v>
      </c>
      <c r="DY117" s="109">
        <f>VLOOKUP(Input!$C17,'2021Data'!$A$2:$DZ$85,129,0)</f>
        <v>1.5069364897543591</v>
      </c>
      <c r="DZ117" s="109">
        <f>VLOOKUP(Input!$C17,'2021Data'!$A$2:$DZ$85,130,0)</f>
        <v>0.78375364400564862</v>
      </c>
      <c r="EA117" s="110">
        <f>VLOOKUP(Input!$C17,'2021Data'!$A$2:$EA$85,131,0)</f>
        <v>0.4683021675276906</v>
      </c>
      <c r="EB117" s="110">
        <f>VLOOKUP(Input!$C17,'2021Data'!$A$2:$EB$85,132,0)</f>
        <v>0.69596418104348234</v>
      </c>
    </row>
    <row r="118" spans="2:132" x14ac:dyDescent="0.2">
      <c r="B118" s="114" t="str">
        <f>VLOOKUP(Input!$C18,'2021Data'!$A$2:$DX$85,1,FALSE)</f>
        <v xml:space="preserve">ALAMANCE </v>
      </c>
      <c r="C118" s="108" t="e">
        <f>VLOOKUP(Input!$C13,'2021Data'!$A$2:$DX$85,3,0)</f>
        <v>#N/A</v>
      </c>
      <c r="D118" s="108">
        <f>VLOOKUP(Input!$C18,'2021Data'!$A$2:$DX$85,4,0)</f>
        <v>3</v>
      </c>
      <c r="E118" s="108">
        <f>VLOOKUP(Input!$C18,'2021Data'!$A$2:$DX$85,5,0)</f>
        <v>0</v>
      </c>
      <c r="F118" s="108">
        <f>VLOOKUP(Input!$C18,'2021Data'!$A$2:$DX$85,6,0)</f>
        <v>55734</v>
      </c>
      <c r="G118" s="32">
        <f>VLOOKUP(Input!$C18,'2021Data'!$A$2:$DX$85,7,0)</f>
        <v>0</v>
      </c>
      <c r="H118" s="108">
        <f>VLOOKUP(Input!$C18,'2021Data'!$A$2:$DX$85,8,0)</f>
        <v>55734</v>
      </c>
      <c r="I118" s="109">
        <f>VLOOKUP(Input!$C18,'2021Data'!$A$2:$DX$85,9,0)</f>
        <v>0.34588999999999998</v>
      </c>
      <c r="J118" s="125">
        <f>VLOOKUP(Input!$C18,'2021Data'!$A$2:$DX$85,10,0)</f>
        <v>1597813</v>
      </c>
      <c r="K118" s="125">
        <f>VLOOKUP(Input!$C18,'2021Data'!$A$2:$DX$85,11,0)</f>
        <v>657579</v>
      </c>
      <c r="L118" s="125">
        <f>VLOOKUP(Input!$C18,'2021Data'!$A2:$DX85,12,0)</f>
        <v>2255392</v>
      </c>
      <c r="M118" s="110">
        <f>VLOOKUP(Input!$C18,'2021Data'!$A$2:$DX$85,13,0)</f>
        <v>13.669290956805275</v>
      </c>
      <c r="N118" s="125">
        <f>VLOOKUP(Input!$C18,'2021Data'!$A$2:$DX$85,14,0)</f>
        <v>158000</v>
      </c>
      <c r="O118" s="125">
        <f>VLOOKUP(Input!$C18,'2021Data'!$A$2:$DX$85,15,0)</f>
        <v>90000</v>
      </c>
      <c r="P118" s="125">
        <f>VLOOKUP(Input!$C18,'2021Data'!$A$2:$DX$85,16,0)</f>
        <v>62000</v>
      </c>
      <c r="Q118" s="125">
        <f>VLOOKUP(Input!$C18,'2021Data'!$A$2:$DX$85,17,0)</f>
        <v>310000</v>
      </c>
      <c r="R118" s="110">
        <f>VLOOKUP(Input!$C18,'2021Data'!$A$2:$DX$85,18,0)</f>
        <v>1.8788220391885913</v>
      </c>
      <c r="S118" s="125">
        <f>VLOOKUP(Input!$C18,'2021Data'!$A$2:$DX$85,19,0)</f>
        <v>461475</v>
      </c>
      <c r="T118" s="125">
        <f>VLOOKUP(Input!$C18,'2021Data'!$A$2:$DX$85,20,0)</f>
        <v>3026867</v>
      </c>
      <c r="U118" s="125">
        <f>VLOOKUP(Input!$C18,'2021Data'!$A$2:$DX$85,21,0)</f>
        <v>0</v>
      </c>
      <c r="V118" s="125">
        <f>VLOOKUP(Input!$C18,'2021Data'!$A$2:$DX$85,22,0)</f>
        <v>3026867</v>
      </c>
      <c r="W118" s="110">
        <f>VLOOKUP(Input!$C18,'2021Data'!$A$2:$DX$85,23,0)</f>
        <v>18.344982029976304</v>
      </c>
      <c r="X118" s="126">
        <f>VLOOKUP(Input!$C18,'2021Data'!$A$2:$DX$85,24,0)</f>
        <v>0.74512424893462448</v>
      </c>
      <c r="Y118" s="126">
        <f>VLOOKUP(Input!$C18,'2021Data'!$A$2:$DX$85,25,0)</f>
        <v>0.10241612862408557</v>
      </c>
      <c r="Z118" s="126">
        <f>VLOOKUP(Input!$C18,'2021Data'!$A$2:$DX$85,26,0)</f>
        <v>0.15245962244128997</v>
      </c>
      <c r="AA118" s="126">
        <f>VLOOKUP(Input!$C18,'2021Data'!$A$2:$DX$85,27,0)</f>
        <v>0</v>
      </c>
      <c r="AB118" s="125">
        <f>VLOOKUP(Input!$C18,'2021Data'!$A$2:$DX$85,28,0)</f>
        <v>377087</v>
      </c>
      <c r="AC118" s="125">
        <f>VLOOKUP(Input!$C18,'2021Data'!$A$2:$DX$85,29,0)</f>
        <v>0</v>
      </c>
      <c r="AD118" s="125">
        <f>VLOOKUP(Input!$C18,'2021Data'!$A$2:$DX$85,30,0)</f>
        <v>0</v>
      </c>
      <c r="AE118" s="125">
        <f>VLOOKUP(Input!$C18,'2021Data'!$A$2:$DX$85,31,0)</f>
        <v>0</v>
      </c>
      <c r="AF118" s="125">
        <f>VLOOKUP(Input!$C18,'2021Data'!$A$2:$DX$85,32,0)</f>
        <v>299838</v>
      </c>
      <c r="AG118" s="125">
        <f>VLOOKUP(Input!$C18,'2021Data'!$A$2:$DX$85,33,0)</f>
        <v>2727029</v>
      </c>
      <c r="AH118" s="125">
        <f>VLOOKUP(Input!$C18,'2021Data'!$A$2:$DX$85,34,0)</f>
        <v>0</v>
      </c>
      <c r="AI118" s="125">
        <f>VLOOKUP(Input!$C18,'2021Data'!$A$2:$DX$85,35,0)</f>
        <v>3026867</v>
      </c>
      <c r="AJ118" s="110">
        <f>VLOOKUP(Input!$C18,'2021Data'!$A$2:$DX$85,36,0)</f>
        <v>18.344982029976304</v>
      </c>
      <c r="AK118" s="125">
        <f>VLOOKUP(Input!$C18,'2021Data'!$A$2:$DX$85,37,0)</f>
        <v>175947</v>
      </c>
      <c r="AL118" s="125">
        <f>VLOOKUP(Input!$C18,'2021Data'!$A$2:$DX$85,38,0)</f>
        <v>50000</v>
      </c>
      <c r="AM118" s="125">
        <f>VLOOKUP(Input!$C18,'2021Data'!$A$2:$DX$85,39,0)</f>
        <v>0</v>
      </c>
      <c r="AN118" s="125">
        <f>VLOOKUP(Input!$C18,'2021Data'!$A$2:$DX$85,40,0)</f>
        <v>64410</v>
      </c>
      <c r="AO118" s="125">
        <f>VLOOKUP(Input!$C18,'2021Data'!$A$2:$DX$85,41,0)</f>
        <v>64410</v>
      </c>
      <c r="AP118" s="155">
        <f>VLOOKUP(Input!$C18,'2021Data'!$A$2:$DX$85,42,0)</f>
        <v>3331620</v>
      </c>
      <c r="AQ118" s="110">
        <f>VLOOKUP(Input!$C18,'2021Data'!$A$2:$DX$85,43,0)</f>
        <v>20.192003490972564</v>
      </c>
      <c r="AR118" s="125">
        <f>VLOOKUP(Input!$C18,'2021Data'!$A$2:$DX$85,44,0)</f>
        <v>0</v>
      </c>
      <c r="AS118" s="125">
        <f>VLOOKUP(Input!$C18,'2021Data'!$A$2:$DX$85,45,0)</f>
        <v>0</v>
      </c>
      <c r="AT118" s="125">
        <f>VLOOKUP(Input!$C18,'2021Data'!$A$2:$DX$85,46,0)</f>
        <v>0</v>
      </c>
      <c r="AU118" s="125">
        <f>VLOOKUP(Input!$C18,'2021Data'!$A$2:$DX$85,47,0)</f>
        <v>0</v>
      </c>
      <c r="AV118" s="125">
        <f>VLOOKUP(Input!$C18,'2021Data'!$A$2:$DX$85,48,0)</f>
        <v>0</v>
      </c>
      <c r="AW118" s="125">
        <f>VLOOKUP(Input!$C18,'2021Data'!$A$2:$DX$85,49,0)</f>
        <v>0</v>
      </c>
      <c r="AX118" s="125">
        <f>VLOOKUP(Input!$C18,'2021Data'!$A$2:$DX$85,50,0)</f>
        <v>0</v>
      </c>
      <c r="AY118" s="125">
        <f>VLOOKUP(Input!$C18,'2021Data'!$A$2:$DX$85,51,0)</f>
        <v>0</v>
      </c>
      <c r="AZ118" s="108">
        <f>VLOOKUP(Input!$C18,'2021Data'!$A$2:$DX$85,52,0)</f>
        <v>167660</v>
      </c>
      <c r="BA118" s="109">
        <f>VLOOKUP(Input!$C18,'2021Data'!$A$2:$DX$85,53,0)</f>
        <v>1.0161396873882556</v>
      </c>
      <c r="BB118" s="108">
        <f>VLOOKUP(Input!$C18,'2021Data'!$A$2:$DX$85,54,0)</f>
        <v>13195</v>
      </c>
      <c r="BC118" s="108">
        <f>VLOOKUP(Input!$C18,'2021Data'!$A$2:$DX$85,55,0)</f>
        <v>25728</v>
      </c>
      <c r="BD118" s="108">
        <f>VLOOKUP(Input!$C18,'2021Data'!$A$2:$DX$85,56,0)</f>
        <v>24579</v>
      </c>
      <c r="BE118" s="108">
        <f>VLOOKUP(Input!$C18,'2021Data'!$A$2:$DX$85,57,0)</f>
        <v>2130</v>
      </c>
      <c r="BF118" s="108">
        <f>VLOOKUP(Input!$C18,'2021Data'!$A$2:$DX$85,58,0)</f>
        <v>133979</v>
      </c>
      <c r="BG118" s="108">
        <f>VLOOKUP(Input!$C18,'2021Data'!$A$2:$DX$85,59,0)</f>
        <v>7</v>
      </c>
      <c r="BH118" s="108">
        <f>VLOOKUP(Input!$C18,'2021Data'!$A$2:$DX$85,60,0)</f>
        <v>89</v>
      </c>
      <c r="BI118" s="108">
        <f>VLOOKUP(Input!$C18,'2021Data'!$A$2:$DX$85,61,0)</f>
        <v>0</v>
      </c>
      <c r="BJ118" s="108">
        <f>VLOOKUP(Input!$C18,'2021Data'!$A$2:$DX$85,62,0)</f>
        <v>93</v>
      </c>
      <c r="BK118" s="108">
        <f>VLOOKUP(Input!$C18,'2021Data'!$A$2:$DX$85,63,0)</f>
        <v>379581</v>
      </c>
      <c r="BL118" s="109">
        <f>VLOOKUP(Input!$C18,'2021Data'!$A$2:$DX$85,64,0)</f>
        <v>2.300532736958854</v>
      </c>
      <c r="BM118" s="108">
        <f>VLOOKUP(Input!$C18,'2021Data'!$A$2:$DX$85,65,0)</f>
        <v>189</v>
      </c>
      <c r="BN118" s="108">
        <f>VLOOKUP(Input!$C18,'2021Data'!$A$2:$DX$85,66,0)</f>
        <v>20756</v>
      </c>
      <c r="BO118" s="109">
        <f>VLOOKUP(Input!$C18,'2021Data'!$A$2:$DX$85,67,0)</f>
        <v>0.12579622659805936</v>
      </c>
      <c r="BP118" s="108">
        <f>VLOOKUP(Input!$C18,'2021Data'!$A$2:$DX$85,68,0)</f>
        <v>88749</v>
      </c>
      <c r="BQ118" s="108">
        <f>VLOOKUP(Input!$C18,'2021Data'!$A$2:$DX$85,69,0)</f>
        <v>0</v>
      </c>
      <c r="BR118" s="360">
        <f>VLOOKUP(Input!$C18,'2021Data'!$A$2:$DX$85,70,0)</f>
        <v>248640</v>
      </c>
      <c r="BS118" s="108">
        <f>VLOOKUP(Input!$C18,'2021Data'!$A$2:$DX$85,71,0)</f>
        <v>129317</v>
      </c>
      <c r="BT118" s="108">
        <f>VLOOKUP(Input!$C18,'2021Data'!$A$2:$DX$85,72,0)</f>
        <v>377957</v>
      </c>
      <c r="BU118" s="109">
        <f>VLOOKUP(Input!$C18,'2021Data'!$A$2:$DX$85,73,0)</f>
        <v>2.2906901337600076</v>
      </c>
      <c r="BV118" s="108">
        <f>VLOOKUP(Input!$C18,'2021Data'!$A$2:$DZ$85,74,0)</f>
        <v>5814.7230769230773</v>
      </c>
      <c r="BW118" s="169">
        <f>VLOOKUP(Input!$C18,'2021Data'!$A$2:$DX$85,75,0)</f>
        <v>44.009897531439215</v>
      </c>
      <c r="BX118" s="169">
        <f>VLOOKUP(Input!$C18,'2021Data'!$A$2:$DX$85,76,0)</f>
        <v>4.3085279801192389</v>
      </c>
      <c r="BY118" s="109">
        <f>VLOOKUP(Input!$C18,'2021Data'!$A$2:$DX$85,77,0)</f>
        <v>0.99572159828863926</v>
      </c>
      <c r="BZ118" s="108">
        <f>VLOOKUP(Input!$C18,'2021Data'!$A$2:$DX$85,78,0)</f>
        <v>115</v>
      </c>
      <c r="CA118" s="108">
        <f>VLOOKUP(Input!$C18,'2021Data'!$A$2:$DX$85,79,0)</f>
        <v>35</v>
      </c>
      <c r="CB118" s="108">
        <f>VLOOKUP(Input!$C18,'2021Data'!$A$2:$DX$85,80,0)</f>
        <v>87</v>
      </c>
      <c r="CC118" s="108">
        <f>VLOOKUP(Input!$C18,'2021Data'!$A$2:$DX$85,81,0)</f>
        <v>237</v>
      </c>
      <c r="CD118" s="108">
        <f>VLOOKUP(Input!$C18,'2021Data'!$A$2:$DX$85,82,0)</f>
        <v>2573</v>
      </c>
      <c r="CE118" s="108">
        <f>VLOOKUP(Input!$C18,'2021Data'!$A$2:$DX$85,85,0)</f>
        <v>4647</v>
      </c>
      <c r="CF118" s="108">
        <f>VLOOKUP(Input!$C18,'2021Data'!$A$2:$DX$85,84,0)</f>
        <v>1225</v>
      </c>
      <c r="CG118" s="108">
        <f>VLOOKUP(Input!$C18,'2021Data'!$A$2:$DX$85,85,0)</f>
        <v>4647</v>
      </c>
      <c r="CH118" s="109">
        <f>VLOOKUP(Input!$C18,'2021Data'!$A$2:$DX$85,86,0)</f>
        <v>2.8164148439062529E-2</v>
      </c>
      <c r="CI118" s="108">
        <f>VLOOKUP(Input!$C18,'2021Data'!$A$2:$DX$85,87,0)</f>
        <v>87723</v>
      </c>
      <c r="CJ118" s="109">
        <f>VLOOKUP(Input!$C18,'2021Data'!$A$2:$DX$85,88,0)</f>
        <v>0.53166421207658321</v>
      </c>
      <c r="CK118" s="108">
        <f>VLOOKUP(Input!$C18,'2021Data'!$A$2:$DX$85,89,0)</f>
        <v>94158</v>
      </c>
      <c r="CL118" s="107" t="str">
        <f>VLOOKUP(Input!$C18,'2021Data'!$A$2:$DX$85,90,0)</f>
        <v>Yes</v>
      </c>
      <c r="CM118" s="107" t="str">
        <f>VLOOKUP(Input!$C18,'2021Data'!$A$2:$DX$85,91,0)</f>
        <v>Yes</v>
      </c>
      <c r="CN118" s="107" t="str">
        <f>VLOOKUP(Input!$C18,'2021Data'!$A$2:$DX$85,92,0)</f>
        <v>Yes</v>
      </c>
      <c r="CO118" s="169">
        <f>VLOOKUP(Input!$C18,'2021Data'!$A$2:$DX$85,93,0)</f>
        <v>11</v>
      </c>
      <c r="CP118" s="108">
        <f>VLOOKUP(Input!$C18,'2021Data'!$A$2:$DX$85,94,0)</f>
        <v>14999.727272727272</v>
      </c>
      <c r="CQ118" s="169">
        <f>VLOOKUP(Input!$C18,'2021Data'!$A$2:$DX$85,95,0)</f>
        <v>0</v>
      </c>
      <c r="CR118" s="169">
        <f>VLOOKUP(Input!$C18,'2021Data'!$A$2:$DX$85,96,0)</f>
        <v>54</v>
      </c>
      <c r="CS118" s="169">
        <f>VLOOKUP(Input!$C18,'2021Data'!$A$2:$DX$85,97,0)</f>
        <v>65</v>
      </c>
      <c r="CT118" s="108">
        <f>VLOOKUP(Input!$C18,'2021Data'!$A$2:$DX$85,98,0)</f>
        <v>2538.4153846153845</v>
      </c>
      <c r="CU118" s="108">
        <f>VLOOKUP(Input!$C18,'2021Data'!$A$2:$DX$85,99,0)</f>
        <v>375</v>
      </c>
      <c r="CV118" s="125">
        <f>VLOOKUP(Input!$C18,'2021Data'!$A$2:$DX$85,100,0)</f>
        <v>79060</v>
      </c>
      <c r="CW118" s="109">
        <f>VLOOKUP(Input!$C18,'2021Data'!$A$2:$DX$85,101,0)</f>
        <v>40</v>
      </c>
      <c r="CX118" s="107" t="str">
        <f>VLOOKUP(Input!$C18,'2021Data'!$A$2:$DX$85,102,0)</f>
        <v>Yes</v>
      </c>
      <c r="CY118" s="107" t="str">
        <f>VLOOKUP(Input!$C18,'2021Data'!$A$2:$DX$85,103,0)</f>
        <v>Yes</v>
      </c>
      <c r="CZ118" s="108">
        <f>VLOOKUP(Input!$C18,'2021Data'!$A$2:$DX$85,104,0)</f>
        <v>56</v>
      </c>
      <c r="DA118" s="108">
        <f>VLOOKUP(Input!$C18,'2021Data'!$A$2:$DX$85,105,0)</f>
        <v>194</v>
      </c>
      <c r="DB118" s="143">
        <f>VLOOKUP(Input!$C18,'2021Data'!$A$2:$DX$85,106,0)</f>
        <v>97</v>
      </c>
      <c r="DC118" s="108">
        <f>VLOOKUP(Input!$C18,'2021Data'!$A$2:$DX$85,107,0)</f>
        <v>9016</v>
      </c>
      <c r="DD118" s="108">
        <f>VLOOKUP(Input!$C18,'2021Data'!$A$2:$DX$85,108,0)</f>
        <v>7282</v>
      </c>
      <c r="DE118" s="108">
        <f>VLOOKUP(Input!$C18,'2021Data'!$A$2:$DX$85,109,0)</f>
        <v>118525</v>
      </c>
      <c r="DF118" s="108">
        <f>VLOOKUP(Input!$C18,'2021Data'!$A$2:$DX$85,110,0)</f>
        <v>11458</v>
      </c>
      <c r="DG118" s="108">
        <f>VLOOKUP(Input!$C18,'2021Data'!$A$2:$DX$85,111,0)</f>
        <v>52</v>
      </c>
      <c r="DH118" s="108">
        <f>VLOOKUP(Input!$C18,'2021Data'!$A$2:$DX$85,112,0)</f>
        <v>6.944368685491252E-2</v>
      </c>
      <c r="DI118" s="108">
        <f>VLOOKUP(Input!$C18,'2021Data'!$A$2:$DX$85,113,0)</f>
        <v>63</v>
      </c>
      <c r="DJ118" s="108">
        <f>VLOOKUP(Input!$C18,'2021Data'!$A$2:$DX$85,114,0)</f>
        <v>63</v>
      </c>
      <c r="DK118" s="108">
        <f>VLOOKUP(Input!$C18,'2021Data'!$A$2:$DX$85,115,0)</f>
        <v>6254</v>
      </c>
      <c r="DL118" s="108">
        <f>VLOOKUP(Input!$C18,'2021Data'!$A$2:$DX$85,116,0)</f>
        <v>8588</v>
      </c>
      <c r="DM118" s="108">
        <f>VLOOKUP(Input!$C18,'2021Data'!$A$2:$DX$85,117,0)</f>
        <v>0</v>
      </c>
      <c r="DN118" s="108" t="str">
        <f>VLOOKUP(Input!$C18,'2021Data'!$A$2:$DX$85,118,0)</f>
        <v>NC0103</v>
      </c>
      <c r="DO118" s="128" t="str">
        <f>VLOOKUP(Input!$C18,'2021Data'!$A$2:$DX$85,119,0)</f>
        <v>County</v>
      </c>
      <c r="DP118" s="127">
        <f>VLOOKUP(Input!$C18,'2021Data'!$A$2:$DX$85,120,0)</f>
        <v>0</v>
      </c>
      <c r="DQ118" s="127">
        <f>VLOOKUP(Input!$C18,'2021Data'!$A$2:$DX$85,121,0)</f>
        <v>0</v>
      </c>
      <c r="DR118" s="127" t="str">
        <f>VLOOKUP(Input!$C18,'2021Data'!$A$2:$DX$85,122,0)</f>
        <v>ALAMANCE</v>
      </c>
      <c r="DS118" s="127" t="str">
        <f>VLOOKUP(Input!$C18,'2021Data'!$A$2:$DX$85,123,0)</f>
        <v>ALAMANCE</v>
      </c>
      <c r="DT118" s="198">
        <f>VLOOKUP(Input!$C18,'2021Data'!$A$2:$DX$85,124,0)</f>
        <v>44013</v>
      </c>
      <c r="DU118" s="198">
        <f>VLOOKUP(Input!$C18,'2021Data'!$A$2:$DX$85,125,0)</f>
        <v>44377</v>
      </c>
      <c r="DV118" s="127" t="str">
        <f>VLOOKUP(Input!$C18,'2021Data'!$A$2:$DX$85,126,0)</f>
        <v>ALAMANCE COUNTY PUBLIC LIBRARIES</v>
      </c>
      <c r="DW118" s="109">
        <f>VLOOKUP(Input!$C18,'2021Data'!$A$2:$DX$85,127,0)</f>
        <v>0.53788250695467188</v>
      </c>
      <c r="DX118" s="109">
        <f>VLOOKUP(Input!$C18,'2021Data'!$A$2:$DZ$85,128,0)</f>
        <v>0</v>
      </c>
      <c r="DY118" s="109">
        <f>VLOOKUP(Input!$C18,'2021Data'!$A$2:$DZ$85,129,0)</f>
        <v>1.5069364897543591</v>
      </c>
      <c r="DZ118" s="109">
        <f>VLOOKUP(Input!$C18,'2021Data'!$A$2:$DZ$85,130,0)</f>
        <v>0.78375364400564862</v>
      </c>
      <c r="EA118" s="110">
        <f>VLOOKUP(Input!$C18,'2021Data'!$A$2:$EA$85,131,0)</f>
        <v>0.4683021675276906</v>
      </c>
      <c r="EB118" s="110">
        <f>VLOOKUP(Input!$C18,'2021Data'!$A$2:$EB$85,132,0)</f>
        <v>0.69596418104348234</v>
      </c>
    </row>
    <row r="119" spans="2:132" x14ac:dyDescent="0.2">
      <c r="B119" s="114" t="str">
        <f>VLOOKUP(Input!$C19,'2021Data'!$A$2:$DX$85,1,FALSE)</f>
        <v xml:space="preserve">ALAMANCE </v>
      </c>
      <c r="C119" s="108" t="e">
        <f>VLOOKUP(Input!$C14,'2021Data'!$A$2:$DX$85,3,0)</f>
        <v>#N/A</v>
      </c>
      <c r="D119" s="108">
        <f>VLOOKUP(Input!$C19,'2021Data'!$A$2:$DX$85,4,0)</f>
        <v>3</v>
      </c>
      <c r="E119" s="108">
        <f>VLOOKUP(Input!$C19,'2021Data'!$A$2:$DX$85,5,0)</f>
        <v>0</v>
      </c>
      <c r="F119" s="108">
        <f>VLOOKUP(Input!$C19,'2021Data'!$A$2:$DX$85,6,0)</f>
        <v>55734</v>
      </c>
      <c r="G119" s="32">
        <f>VLOOKUP(Input!$C19,'2021Data'!$A$2:$DX$85,7,0)</f>
        <v>0</v>
      </c>
      <c r="H119" s="108">
        <f>VLOOKUP(Input!$C19,'2021Data'!$A$2:$DX$85,8,0)</f>
        <v>55734</v>
      </c>
      <c r="I119" s="109">
        <f>VLOOKUP(Input!$C19,'2021Data'!$A$2:$DX$85,9,0)</f>
        <v>0.34588999999999998</v>
      </c>
      <c r="J119" s="125">
        <f>VLOOKUP(Input!$C19,'2021Data'!$A$2:$DX$85,10,0)</f>
        <v>1597813</v>
      </c>
      <c r="K119" s="125">
        <f>VLOOKUP(Input!$C19,'2021Data'!$A$2:$DX$85,11,0)</f>
        <v>657579</v>
      </c>
      <c r="L119" s="125">
        <f>VLOOKUP(Input!$C19,'2021Data'!$A2:$DX85,12,0)</f>
        <v>2255392</v>
      </c>
      <c r="M119" s="110">
        <f>VLOOKUP(Input!$C19,'2021Data'!$A$2:$DX$85,13,0)</f>
        <v>13.669290956805275</v>
      </c>
      <c r="N119" s="125">
        <f>VLOOKUP(Input!$C19,'2021Data'!$A$2:$DX$85,14,0)</f>
        <v>158000</v>
      </c>
      <c r="O119" s="125">
        <f>VLOOKUP(Input!$C19,'2021Data'!$A$2:$DX$85,15,0)</f>
        <v>90000</v>
      </c>
      <c r="P119" s="125">
        <f>VLOOKUP(Input!$C19,'2021Data'!$A$2:$DX$85,16,0)</f>
        <v>62000</v>
      </c>
      <c r="Q119" s="125">
        <f>VLOOKUP(Input!$C19,'2021Data'!$A$2:$DX$85,17,0)</f>
        <v>310000</v>
      </c>
      <c r="R119" s="110">
        <f>VLOOKUP(Input!$C19,'2021Data'!$A$2:$DX$85,18,0)</f>
        <v>1.8788220391885913</v>
      </c>
      <c r="S119" s="125">
        <f>VLOOKUP(Input!$C19,'2021Data'!$A$2:$DX$85,19,0)</f>
        <v>461475</v>
      </c>
      <c r="T119" s="125">
        <f>VLOOKUP(Input!$C19,'2021Data'!$A$2:$DX$85,20,0)</f>
        <v>3026867</v>
      </c>
      <c r="U119" s="125">
        <f>VLOOKUP(Input!$C19,'2021Data'!$A$2:$DX$85,21,0)</f>
        <v>0</v>
      </c>
      <c r="V119" s="125">
        <f>VLOOKUP(Input!$C19,'2021Data'!$A$2:$DX$85,22,0)</f>
        <v>3026867</v>
      </c>
      <c r="W119" s="110">
        <f>VLOOKUP(Input!$C19,'2021Data'!$A$2:$DX$85,23,0)</f>
        <v>18.344982029976304</v>
      </c>
      <c r="X119" s="126">
        <f>VLOOKUP(Input!$C19,'2021Data'!$A$2:$DX$85,24,0)</f>
        <v>0.74512424893462448</v>
      </c>
      <c r="Y119" s="126">
        <f>VLOOKUP(Input!$C19,'2021Data'!$A$2:$DX$85,25,0)</f>
        <v>0.10241612862408557</v>
      </c>
      <c r="Z119" s="126">
        <f>VLOOKUP(Input!$C19,'2021Data'!$A$2:$DX$85,26,0)</f>
        <v>0.15245962244128997</v>
      </c>
      <c r="AA119" s="126">
        <f>VLOOKUP(Input!$C19,'2021Data'!$A$2:$DX$85,27,0)</f>
        <v>0</v>
      </c>
      <c r="AB119" s="125">
        <f>VLOOKUP(Input!$C19,'2021Data'!$A$2:$DX$85,28,0)</f>
        <v>377087</v>
      </c>
      <c r="AC119" s="125">
        <f>VLOOKUP(Input!$C19,'2021Data'!$A$2:$DX$85,29,0)</f>
        <v>0</v>
      </c>
      <c r="AD119" s="125">
        <f>VLOOKUP(Input!$C19,'2021Data'!$A$2:$DX$85,30,0)</f>
        <v>0</v>
      </c>
      <c r="AE119" s="125">
        <f>VLOOKUP(Input!$C19,'2021Data'!$A$2:$DX$85,31,0)</f>
        <v>0</v>
      </c>
      <c r="AF119" s="125">
        <f>VLOOKUP(Input!$C19,'2021Data'!$A$2:$DX$85,32,0)</f>
        <v>299838</v>
      </c>
      <c r="AG119" s="125">
        <f>VLOOKUP(Input!$C19,'2021Data'!$A$2:$DX$85,33,0)</f>
        <v>2727029</v>
      </c>
      <c r="AH119" s="125">
        <f>VLOOKUP(Input!$C19,'2021Data'!$A$2:$DX$85,34,0)</f>
        <v>0</v>
      </c>
      <c r="AI119" s="125">
        <f>VLOOKUP(Input!$C19,'2021Data'!$A$2:$DX$85,35,0)</f>
        <v>3026867</v>
      </c>
      <c r="AJ119" s="110">
        <f>VLOOKUP(Input!$C19,'2021Data'!$A$2:$DX$85,36,0)</f>
        <v>18.344982029976304</v>
      </c>
      <c r="AK119" s="125">
        <f>VLOOKUP(Input!$C19,'2021Data'!$A$2:$DX$85,37,0)</f>
        <v>175947</v>
      </c>
      <c r="AL119" s="125">
        <f>VLOOKUP(Input!$C19,'2021Data'!$A$2:$DX$85,38,0)</f>
        <v>50000</v>
      </c>
      <c r="AM119" s="125">
        <f>VLOOKUP(Input!$C19,'2021Data'!$A$2:$DX$85,39,0)</f>
        <v>0</v>
      </c>
      <c r="AN119" s="125">
        <f>VLOOKUP(Input!$C19,'2021Data'!$A$2:$DX$85,40,0)</f>
        <v>64410</v>
      </c>
      <c r="AO119" s="125">
        <f>VLOOKUP(Input!$C19,'2021Data'!$A$2:$DX$85,41,0)</f>
        <v>64410</v>
      </c>
      <c r="AP119" s="155">
        <f>VLOOKUP(Input!$C19,'2021Data'!$A$2:$DX$85,42,0)</f>
        <v>3331620</v>
      </c>
      <c r="AQ119" s="110">
        <f>VLOOKUP(Input!$C19,'2021Data'!$A$2:$DX$85,43,0)</f>
        <v>20.192003490972564</v>
      </c>
      <c r="AR119" s="125">
        <f>VLOOKUP(Input!$C19,'2021Data'!$A$2:$DX$85,44,0)</f>
        <v>0</v>
      </c>
      <c r="AS119" s="125">
        <f>VLOOKUP(Input!$C19,'2021Data'!$A$2:$DX$85,45,0)</f>
        <v>0</v>
      </c>
      <c r="AT119" s="125">
        <f>VLOOKUP(Input!$C19,'2021Data'!$A$2:$DX$85,46,0)</f>
        <v>0</v>
      </c>
      <c r="AU119" s="125">
        <f>VLOOKUP(Input!$C19,'2021Data'!$A$2:$DX$85,47,0)</f>
        <v>0</v>
      </c>
      <c r="AV119" s="125">
        <f>VLOOKUP(Input!$C19,'2021Data'!$A$2:$DX$85,48,0)</f>
        <v>0</v>
      </c>
      <c r="AW119" s="125">
        <f>VLOOKUP(Input!$C19,'2021Data'!$A$2:$DX$85,49,0)</f>
        <v>0</v>
      </c>
      <c r="AX119" s="125">
        <f>VLOOKUP(Input!$C19,'2021Data'!$A$2:$DX$85,50,0)</f>
        <v>0</v>
      </c>
      <c r="AY119" s="125">
        <f>VLOOKUP(Input!$C19,'2021Data'!$A$2:$DX$85,51,0)</f>
        <v>0</v>
      </c>
      <c r="AZ119" s="108">
        <f>VLOOKUP(Input!$C19,'2021Data'!$A$2:$DX$85,52,0)</f>
        <v>167660</v>
      </c>
      <c r="BA119" s="109">
        <f>VLOOKUP(Input!$C19,'2021Data'!$A$2:$DX$85,53,0)</f>
        <v>1.0161396873882556</v>
      </c>
      <c r="BB119" s="108">
        <f>VLOOKUP(Input!$C19,'2021Data'!$A$2:$DX$85,54,0)</f>
        <v>13195</v>
      </c>
      <c r="BC119" s="108">
        <f>VLOOKUP(Input!$C19,'2021Data'!$A$2:$DX$85,55,0)</f>
        <v>25728</v>
      </c>
      <c r="BD119" s="108">
        <f>VLOOKUP(Input!$C19,'2021Data'!$A$2:$DX$85,56,0)</f>
        <v>24579</v>
      </c>
      <c r="BE119" s="108">
        <f>VLOOKUP(Input!$C19,'2021Data'!$A$2:$DX$85,57,0)</f>
        <v>2130</v>
      </c>
      <c r="BF119" s="108">
        <f>VLOOKUP(Input!$C19,'2021Data'!$A$2:$DX$85,58,0)</f>
        <v>133979</v>
      </c>
      <c r="BG119" s="108">
        <f>VLOOKUP(Input!$C19,'2021Data'!$A$2:$DX$85,59,0)</f>
        <v>7</v>
      </c>
      <c r="BH119" s="108">
        <f>VLOOKUP(Input!$C19,'2021Data'!$A$2:$DX$85,60,0)</f>
        <v>89</v>
      </c>
      <c r="BI119" s="108">
        <f>VLOOKUP(Input!$C19,'2021Data'!$A$2:$DX$85,61,0)</f>
        <v>0</v>
      </c>
      <c r="BJ119" s="108">
        <f>VLOOKUP(Input!$C19,'2021Data'!$A$2:$DX$85,62,0)</f>
        <v>93</v>
      </c>
      <c r="BK119" s="108">
        <f>VLOOKUP(Input!$C19,'2021Data'!$A$2:$DX$85,63,0)</f>
        <v>379581</v>
      </c>
      <c r="BL119" s="109">
        <f>VLOOKUP(Input!$C19,'2021Data'!$A$2:$DX$85,64,0)</f>
        <v>2.300532736958854</v>
      </c>
      <c r="BM119" s="108">
        <f>VLOOKUP(Input!$C19,'2021Data'!$A$2:$DX$85,65,0)</f>
        <v>189</v>
      </c>
      <c r="BN119" s="108">
        <f>VLOOKUP(Input!$C19,'2021Data'!$A$2:$DX$85,66,0)</f>
        <v>20756</v>
      </c>
      <c r="BO119" s="109">
        <f>VLOOKUP(Input!$C19,'2021Data'!$A$2:$DX$85,67,0)</f>
        <v>0.12579622659805936</v>
      </c>
      <c r="BP119" s="108">
        <f>VLOOKUP(Input!$C19,'2021Data'!$A$2:$DX$85,68,0)</f>
        <v>88749</v>
      </c>
      <c r="BQ119" s="108">
        <f>VLOOKUP(Input!$C19,'2021Data'!$A$2:$DX$85,69,0)</f>
        <v>0</v>
      </c>
      <c r="BR119" s="360">
        <f>VLOOKUP(Input!$C19,'2021Data'!$A$2:$DX$85,70,0)</f>
        <v>248640</v>
      </c>
      <c r="BS119" s="108">
        <f>VLOOKUP(Input!$C19,'2021Data'!$A$2:$DX$85,71,0)</f>
        <v>129317</v>
      </c>
      <c r="BT119" s="108">
        <f>VLOOKUP(Input!$C19,'2021Data'!$A$2:$DX$85,72,0)</f>
        <v>377957</v>
      </c>
      <c r="BU119" s="109">
        <f>VLOOKUP(Input!$C19,'2021Data'!$A$2:$DX$85,73,0)</f>
        <v>2.2906901337600076</v>
      </c>
      <c r="BV119" s="108">
        <f>VLOOKUP(Input!$C19,'2021Data'!$A$2:$DX$85,74,0)</f>
        <v>5814.7230769230773</v>
      </c>
      <c r="BW119" s="169">
        <f>VLOOKUP(Input!$C19,'2021Data'!$A$2:$DX$85,75,0)</f>
        <v>44.009897531439215</v>
      </c>
      <c r="BX119" s="169">
        <f>VLOOKUP(Input!$C19,'2021Data'!$A$2:$DX$85,76,0)</f>
        <v>4.3085279801192389</v>
      </c>
      <c r="BY119" s="109">
        <f>VLOOKUP(Input!$C19,'2021Data'!$A$2:$DX$85,77,0)</f>
        <v>0.99572159828863926</v>
      </c>
      <c r="BZ119" s="108">
        <f>VLOOKUP(Input!$C19,'2021Data'!$A$2:$DX$85,78,0)</f>
        <v>115</v>
      </c>
      <c r="CA119" s="108">
        <f>VLOOKUP(Input!$C19,'2021Data'!$A$2:$DX$85,79,0)</f>
        <v>35</v>
      </c>
      <c r="CB119" s="108">
        <f>VLOOKUP(Input!$C19,'2021Data'!$A$2:$DX$85,80,0)</f>
        <v>87</v>
      </c>
      <c r="CC119" s="108">
        <f>VLOOKUP(Input!$C19,'2021Data'!$A$2:$DX$85,81,0)</f>
        <v>237</v>
      </c>
      <c r="CD119" s="108">
        <f>VLOOKUP(Input!$C19,'2021Data'!$A$2:$DX$85,82,0)</f>
        <v>2573</v>
      </c>
      <c r="CE119" s="108">
        <f>VLOOKUP(Input!$C19,'2021Data'!$A$2:$DX$85,85,0)</f>
        <v>4647</v>
      </c>
      <c r="CF119" s="108">
        <f>VLOOKUP(Input!$C19,'2021Data'!$A$2:$DX$85,84,0)</f>
        <v>1225</v>
      </c>
      <c r="CG119" s="108">
        <f>VLOOKUP(Input!$C19,'2021Data'!$A$2:$DX$85,85,0)</f>
        <v>4647</v>
      </c>
      <c r="CH119" s="109">
        <f>VLOOKUP(Input!$C19,'2021Data'!$A$2:$DX$85,86,0)</f>
        <v>2.8164148439062529E-2</v>
      </c>
      <c r="CI119" s="108">
        <f>VLOOKUP(Input!$C19,'2021Data'!$A$2:$DX$85,87,0)</f>
        <v>87723</v>
      </c>
      <c r="CJ119" s="109">
        <f>VLOOKUP(Input!$C19,'2021Data'!$A$2:$DX$85,88,0)</f>
        <v>0.53166421207658321</v>
      </c>
      <c r="CK119" s="108">
        <f>VLOOKUP(Input!$C19,'2021Data'!$A$2:$DX$85,89,0)</f>
        <v>94158</v>
      </c>
      <c r="CL119" s="107" t="str">
        <f>VLOOKUP(Input!$C19,'2021Data'!$A$2:$DX$85,90,0)</f>
        <v>Yes</v>
      </c>
      <c r="CM119" s="107" t="str">
        <f>VLOOKUP(Input!$C19,'2021Data'!$A$2:$DX$85,91,0)</f>
        <v>Yes</v>
      </c>
      <c r="CN119" s="107" t="str">
        <f>VLOOKUP(Input!$C19,'2021Data'!$A$2:$DX$85,92,0)</f>
        <v>Yes</v>
      </c>
      <c r="CO119" s="169">
        <f>VLOOKUP(Input!$C19,'2021Data'!$A$2:$DX$85,93,0)</f>
        <v>11</v>
      </c>
      <c r="CP119" s="108">
        <f>VLOOKUP(Input!$C19,'2021Data'!$A$2:$DX$85,94,0)</f>
        <v>14999.727272727272</v>
      </c>
      <c r="CQ119" s="169">
        <f>VLOOKUP(Input!$C19,'2021Data'!$A$2:$DX$85,95,0)</f>
        <v>0</v>
      </c>
      <c r="CR119" s="169">
        <f>VLOOKUP(Input!$C19,'2021Data'!$A$2:$DX$85,96,0)</f>
        <v>54</v>
      </c>
      <c r="CS119" s="169">
        <f>VLOOKUP(Input!$C19,'2021Data'!$A$2:$DX$85,97,0)</f>
        <v>65</v>
      </c>
      <c r="CT119" s="108">
        <f>VLOOKUP(Input!$C19,'2021Data'!$A$2:$DX$85,98,0)</f>
        <v>2538.4153846153845</v>
      </c>
      <c r="CU119" s="108">
        <f>VLOOKUP(Input!$C19,'2021Data'!$A$2:$DX$85,99,0)</f>
        <v>375</v>
      </c>
      <c r="CV119" s="125">
        <f>VLOOKUP(Input!$C19,'2021Data'!$A$2:$DX$85,100,0)</f>
        <v>79060</v>
      </c>
      <c r="CW119" s="109">
        <f>VLOOKUP(Input!$C19,'2021Data'!$A$2:$DX$85,101,0)</f>
        <v>40</v>
      </c>
      <c r="CX119" s="107" t="str">
        <f>VLOOKUP(Input!$C19,'2021Data'!$A$2:$DX$85,102,0)</f>
        <v>Yes</v>
      </c>
      <c r="CY119" s="107" t="str">
        <f>VLOOKUP(Input!$C19,'2021Data'!$A$2:$DX$85,103,0)</f>
        <v>Yes</v>
      </c>
      <c r="CZ119" s="108">
        <f>VLOOKUP(Input!$C19,'2021Data'!$A$2:$DX$85,104,0)</f>
        <v>56</v>
      </c>
      <c r="DA119" s="108">
        <f>VLOOKUP(Input!$C19,'2021Data'!$A$2:$DX$85,105,0)</f>
        <v>194</v>
      </c>
      <c r="DB119" s="143">
        <f>VLOOKUP(Input!$C19,'2021Data'!$A$2:$DX$85,106,0)</f>
        <v>97</v>
      </c>
      <c r="DC119" s="108">
        <f>VLOOKUP(Input!$C19,'2021Data'!$A$2:$DX$85,107,0)</f>
        <v>9016</v>
      </c>
      <c r="DD119" s="108">
        <f>VLOOKUP(Input!$C19,'2021Data'!$A$2:$DX$85,108,0)</f>
        <v>7282</v>
      </c>
      <c r="DE119" s="108">
        <f>VLOOKUP(Input!$C19,'2021Data'!$A$2:$DX$85,109,0)</f>
        <v>118525</v>
      </c>
      <c r="DF119" s="108">
        <f>VLOOKUP(Input!$C19,'2021Data'!$A$2:$DX$85,110,0)</f>
        <v>11458</v>
      </c>
      <c r="DG119" s="108">
        <f>VLOOKUP(Input!$C19,'2021Data'!$A$2:$DX$85,111,0)</f>
        <v>52</v>
      </c>
      <c r="DH119" s="108">
        <f>VLOOKUP(Input!$C19,'2021Data'!$A$2:$DX$85,112,0)</f>
        <v>6.944368685491252E-2</v>
      </c>
      <c r="DI119" s="108">
        <f>VLOOKUP(Input!$C19,'2021Data'!$A$2:$DX$85,113,0)</f>
        <v>63</v>
      </c>
      <c r="DJ119" s="108">
        <f>VLOOKUP(Input!$C19,'2021Data'!$A$2:$DX$85,114,0)</f>
        <v>63</v>
      </c>
      <c r="DK119" s="108">
        <f>VLOOKUP(Input!$C19,'2021Data'!$A$2:$DX$85,115,0)</f>
        <v>6254</v>
      </c>
      <c r="DL119" s="108">
        <f>VLOOKUP(Input!$C19,'2021Data'!$A$2:$DX$85,116,0)</f>
        <v>8588</v>
      </c>
      <c r="DM119" s="108">
        <f>VLOOKUP(Input!$C19,'2021Data'!$A$2:$DX$85,117,0)</f>
        <v>0</v>
      </c>
      <c r="DN119" s="108" t="str">
        <f>VLOOKUP(Input!$C19,'2021Data'!$A$2:$DX$85,118,0)</f>
        <v>NC0103</v>
      </c>
      <c r="DO119" s="128" t="str">
        <f>VLOOKUP(Input!$C19,'2021Data'!$A$2:$DX$85,119,0)</f>
        <v>County</v>
      </c>
      <c r="DP119" s="127">
        <f>VLOOKUP(Input!$C19,'2021Data'!$A$2:$DX$85,120,0)</f>
        <v>0</v>
      </c>
      <c r="DQ119" s="127">
        <f>VLOOKUP(Input!$C19,'2021Data'!$A$2:$DX$85,121,0)</f>
        <v>0</v>
      </c>
      <c r="DR119" s="127" t="str">
        <f>VLOOKUP(Input!$C19,'2021Data'!$A$2:$DX$85,122,0)</f>
        <v>ALAMANCE</v>
      </c>
      <c r="DS119" s="127" t="str">
        <f>VLOOKUP(Input!$C19,'2021Data'!$A$2:$DX$85,123,0)</f>
        <v>ALAMANCE</v>
      </c>
      <c r="DT119" s="198">
        <f>VLOOKUP(Input!$C19,'2021Data'!$A$2:$DX$85,124,0)</f>
        <v>44013</v>
      </c>
      <c r="DU119" s="198">
        <f>VLOOKUP(Input!$C19,'2021Data'!$A$2:$DX$85,125,0)</f>
        <v>44377</v>
      </c>
      <c r="DV119" s="127" t="str">
        <f>VLOOKUP(Input!$C19,'2021Data'!$A$2:$DX$85,126,0)</f>
        <v>ALAMANCE COUNTY PUBLIC LIBRARIES</v>
      </c>
      <c r="DW119" s="109">
        <f>VLOOKUP(Input!$C19,'2021Data'!$A$2:$DX$85,127,0)</f>
        <v>0.53788250695467188</v>
      </c>
      <c r="DX119" s="109">
        <f>VLOOKUP(Input!$C19,'2021Data'!$A$2:$DZ$85,128,0)</f>
        <v>0</v>
      </c>
      <c r="DY119" s="109">
        <f>VLOOKUP(Input!$C19,'2021Data'!$A$2:$DZ$85,129,0)</f>
        <v>1.5069364897543591</v>
      </c>
      <c r="DZ119" s="109">
        <f>VLOOKUP(Input!$C19,'2021Data'!$A$2:$DZ$85,130,0)</f>
        <v>0.78375364400564862</v>
      </c>
      <c r="EA119" s="110">
        <f>VLOOKUP(Input!$C19,'2021Data'!$A$2:$EA$85,131,0)</f>
        <v>0.4683021675276906</v>
      </c>
      <c r="EB119" s="110">
        <f>VLOOKUP(Input!$C19,'2021Data'!$A$2:$EB$85,132,0)</f>
        <v>0.69596418104348234</v>
      </c>
    </row>
    <row r="120" spans="2:132" ht="13.5" thickBot="1" x14ac:dyDescent="0.25">
      <c r="B120" s="114" t="str">
        <f>VLOOKUP(Input!$C20,'2021Data'!$A$2:$DX$85,1,FALSE)</f>
        <v xml:space="preserve">ALAMANCE </v>
      </c>
      <c r="C120" s="108" t="e">
        <f>VLOOKUP(Input!$C15,'2021Data'!$A$2:$DX$85,3,0)</f>
        <v>#N/A</v>
      </c>
      <c r="D120" s="108">
        <f>VLOOKUP(Input!C20,'2021Data'!$A2:$DX85,4,0)</f>
        <v>3</v>
      </c>
      <c r="E120" s="108">
        <f>VLOOKUP(Input!$C20,'2021Data'!$A$2:$DX$85,5,0)</f>
        <v>0</v>
      </c>
      <c r="F120" s="108">
        <f>VLOOKUP(Input!$C20,'2021Data'!$A$2:$DX$85,6,0)</f>
        <v>55734</v>
      </c>
      <c r="G120" s="32">
        <f>VLOOKUP(Input!$C20,'2021Data'!$A$2:$DX$85,7,0)</f>
        <v>0</v>
      </c>
      <c r="H120" s="108">
        <f>VLOOKUP(Input!$C20,'2021Data'!$A$2:$DX$85,8,0)</f>
        <v>55734</v>
      </c>
      <c r="I120" s="109">
        <f>VLOOKUP(Input!$C20,'2021Data'!$A$2:$DX$85,9,0)</f>
        <v>0.34588999999999998</v>
      </c>
      <c r="J120" s="125">
        <f>VLOOKUP(Input!$C20,'2021Data'!$A$2:$DX$85,10,0)</f>
        <v>1597813</v>
      </c>
      <c r="K120" s="125">
        <f>VLOOKUP(Input!$C20,'2021Data'!$A$2:$DX$85,11,0)</f>
        <v>657579</v>
      </c>
      <c r="L120" s="125">
        <f>VLOOKUP(Input!$C20,'2021Data'!$A2:$DX85,12,0)</f>
        <v>2255392</v>
      </c>
      <c r="M120" s="110">
        <f>VLOOKUP(Input!$C20,'2021Data'!$A$2:$DX$85,13,0)</f>
        <v>13.669290956805275</v>
      </c>
      <c r="N120" s="125">
        <f>VLOOKUP(Input!$C20,'2021Data'!$A$2:$DX$85,14,0)</f>
        <v>158000</v>
      </c>
      <c r="O120" s="125">
        <f>VLOOKUP(Input!$C20,'2021Data'!$A$2:$DX$85,15,0)</f>
        <v>90000</v>
      </c>
      <c r="P120" s="125">
        <f>VLOOKUP(Input!$C20,'2021Data'!$A$2:$DX$85,16,0)</f>
        <v>62000</v>
      </c>
      <c r="Q120" s="125">
        <f>VLOOKUP(Input!$C20,'2021Data'!$A$2:$DX$85,17,0)</f>
        <v>310000</v>
      </c>
      <c r="R120" s="110">
        <f>VLOOKUP(Input!$C20,'2021Data'!$A$2:$DX$85,18,0)</f>
        <v>1.8788220391885913</v>
      </c>
      <c r="S120" s="125">
        <f>VLOOKUP(Input!$C20,'2021Data'!$A$2:$DX$85,19,0)</f>
        <v>461475</v>
      </c>
      <c r="T120" s="125">
        <f>VLOOKUP(Input!$C20,'2021Data'!$A$2:$DX$85,20,0)</f>
        <v>3026867</v>
      </c>
      <c r="U120" s="125">
        <f>VLOOKUP(Input!$C20,'2021Data'!$A$2:$DX$85,21,0)</f>
        <v>0</v>
      </c>
      <c r="V120" s="125">
        <f>VLOOKUP(Input!$C20,'2021Data'!$A$2:$DX$85,22,0)</f>
        <v>3026867</v>
      </c>
      <c r="W120" s="110">
        <f>VLOOKUP(Input!$C20,'2021Data'!$A$2:$DX$85,23,0)</f>
        <v>18.344982029976304</v>
      </c>
      <c r="X120" s="126">
        <f>VLOOKUP(Input!$C20,'2021Data'!$A$2:$DX$85,24,0)</f>
        <v>0.74512424893462448</v>
      </c>
      <c r="Y120" s="126">
        <f>VLOOKUP(Input!$C20,'2021Data'!$A$2:$DX$85,25,0)</f>
        <v>0.10241612862408557</v>
      </c>
      <c r="Z120" s="126">
        <f>VLOOKUP(Input!$C20,'2021Data'!$A$2:$DX$85,26,0)</f>
        <v>0.15245962244128997</v>
      </c>
      <c r="AA120" s="126">
        <f>VLOOKUP(Input!$C20,'2021Data'!$A$2:$DX$85,27,0)</f>
        <v>0</v>
      </c>
      <c r="AB120" s="125">
        <f>VLOOKUP(Input!$C20,'2021Data'!$A$2:$DX$85,28,0)</f>
        <v>377087</v>
      </c>
      <c r="AC120" s="125">
        <f>VLOOKUP(Input!$C20,'2021Data'!$A$2:$DX$85,29,0)</f>
        <v>0</v>
      </c>
      <c r="AD120" s="125">
        <f>VLOOKUP(Input!$C20,'2021Data'!$A$2:$DX$85,30,0)</f>
        <v>0</v>
      </c>
      <c r="AE120" s="125">
        <f>VLOOKUP(Input!$C20,'2021Data'!$A$2:$DX$85,31,0)</f>
        <v>0</v>
      </c>
      <c r="AF120" s="125">
        <f>VLOOKUP(Input!$C20,'2021Data'!$A$2:$DX$85,32,0)</f>
        <v>299838</v>
      </c>
      <c r="AG120" s="125">
        <f>VLOOKUP(Input!$C20,'2021Data'!$A$2:$DX$85,33,0)</f>
        <v>2727029</v>
      </c>
      <c r="AH120" s="125">
        <f>VLOOKUP(Input!$C20,'2021Data'!$A$2:$DX$85,34,0)</f>
        <v>0</v>
      </c>
      <c r="AI120" s="125">
        <f>VLOOKUP(Input!$C20,'2021Data'!$A$2:$DX$85,35,0)</f>
        <v>3026867</v>
      </c>
      <c r="AJ120" s="110">
        <f>VLOOKUP(Input!$C20,'2021Data'!$A$2:$DX$85,36,0)</f>
        <v>18.344982029976304</v>
      </c>
      <c r="AK120" s="125">
        <f>VLOOKUP(Input!$C20,'2021Data'!$A$2:$DX$85,37,0)</f>
        <v>175947</v>
      </c>
      <c r="AL120" s="125">
        <f>VLOOKUP(Input!$C20,'2021Data'!$A$2:$DX$85,38,0)</f>
        <v>50000</v>
      </c>
      <c r="AM120" s="125">
        <f>VLOOKUP(Input!$C20,'2021Data'!$A$2:$DX$85,39,0)</f>
        <v>0</v>
      </c>
      <c r="AN120" s="125">
        <f>VLOOKUP(Input!$C20,'2021Data'!$A$2:$DX$85,40,0)</f>
        <v>64410</v>
      </c>
      <c r="AO120" s="125">
        <f>VLOOKUP(Input!$C20,'2021Data'!$A$2:$DX$85,41,0)</f>
        <v>64410</v>
      </c>
      <c r="AP120" s="155">
        <f>VLOOKUP(Input!$C20,'2021Data'!$A$2:$DX$85,42,0)</f>
        <v>3331620</v>
      </c>
      <c r="AQ120" s="110">
        <f>VLOOKUP(Input!$C20,'2021Data'!$A$2:$DX$85,43,0)</f>
        <v>20.192003490972564</v>
      </c>
      <c r="AR120" s="125">
        <f>VLOOKUP(Input!$C20,'2021Data'!$A$2:$DX$85,44,0)</f>
        <v>0</v>
      </c>
      <c r="AS120" s="125">
        <f>VLOOKUP(Input!$C20,'2021Data'!$A$2:$DX$85,45,0)</f>
        <v>0</v>
      </c>
      <c r="AT120" s="125">
        <f>VLOOKUP(Input!$C20,'2021Data'!$A$2:$DX$85,46,0)</f>
        <v>0</v>
      </c>
      <c r="AU120" s="125">
        <f>VLOOKUP(Input!$C20,'2021Data'!$A$2:$DX$85,47,0)</f>
        <v>0</v>
      </c>
      <c r="AV120" s="125">
        <f>VLOOKUP(Input!$C20,'2021Data'!$A$2:$DX$85,48,0)</f>
        <v>0</v>
      </c>
      <c r="AW120" s="125">
        <f>VLOOKUP(Input!$C20,'2021Data'!$A$2:$DX$85,49,0)</f>
        <v>0</v>
      </c>
      <c r="AX120" s="125">
        <f>VLOOKUP(Input!$C20,'2021Data'!$A$2:$DX$85,50,0)</f>
        <v>0</v>
      </c>
      <c r="AY120" s="125">
        <f>VLOOKUP(Input!$C20,'2021Data'!$A$2:$DX$85,51,0)</f>
        <v>0</v>
      </c>
      <c r="AZ120" s="108">
        <f>VLOOKUP(Input!$C20,'2021Data'!$A$2:$DX$85,52,0)</f>
        <v>167660</v>
      </c>
      <c r="BA120" s="109">
        <f>VLOOKUP(Input!$C20,'2021Data'!$A$2:$DX$85,53,0)</f>
        <v>1.0161396873882556</v>
      </c>
      <c r="BB120" s="108">
        <f>VLOOKUP(Input!$C20,'2021Data'!$A$2:$DX$85,54)</f>
        <v>13195</v>
      </c>
      <c r="BC120" s="108">
        <f>VLOOKUP(Input!$C20,'2021Data'!$A$2:$DX$85,55,0)</f>
        <v>25728</v>
      </c>
      <c r="BD120" s="108">
        <f>VLOOKUP(Input!$C20,'2021Data'!$A$2:$DX$85,56,0)</f>
        <v>24579</v>
      </c>
      <c r="BE120" s="108">
        <f>VLOOKUP(Input!$C20,'2021Data'!$A$2:$DX$85,57,0)</f>
        <v>2130</v>
      </c>
      <c r="BF120" s="108">
        <f>VLOOKUP(Input!$C20,'2021Data'!$A$2:$DX$85,58,0)</f>
        <v>133979</v>
      </c>
      <c r="BG120" s="108">
        <f>VLOOKUP(Input!$C20,'2021Data'!$A$2:$DX$85,59,0)</f>
        <v>7</v>
      </c>
      <c r="BH120" s="108">
        <f>VLOOKUP(Input!$C20,'2021Data'!$A$2:$DX$85,60,0)</f>
        <v>89</v>
      </c>
      <c r="BI120" s="108">
        <f>VLOOKUP(Input!$C20,'2021Data'!$A$2:$DX$85,61,0)</f>
        <v>0</v>
      </c>
      <c r="BJ120" s="108">
        <f>VLOOKUP(Input!$C20,'2021Data'!$A$2:$DX$85,62,0)</f>
        <v>93</v>
      </c>
      <c r="BK120" s="108">
        <f>VLOOKUP(Input!$C20,'2021Data'!$A$2:$DX$85,63,0)</f>
        <v>379581</v>
      </c>
      <c r="BL120" s="109">
        <f>VLOOKUP(Input!$C20,'2021Data'!$A$2:$DX$85,64,0)</f>
        <v>2.300532736958854</v>
      </c>
      <c r="BM120" s="108">
        <f>VLOOKUP(Input!$C20,'2021Data'!$A$2:$DX$85,65,0)</f>
        <v>189</v>
      </c>
      <c r="BN120" s="108">
        <f>VLOOKUP(Input!$C20,'2021Data'!$A$2:$DX$85,66,0)</f>
        <v>20756</v>
      </c>
      <c r="BO120" s="109">
        <f>VLOOKUP(Input!$C20,'2021Data'!$A$2:$DX$85,67,0)</f>
        <v>0.12579622659805936</v>
      </c>
      <c r="BP120" s="108">
        <f>VLOOKUP(Input!$C20,'2021Data'!$A$2:$DX$85,68,0)</f>
        <v>88749</v>
      </c>
      <c r="BQ120" s="108">
        <f>VLOOKUP(Input!$C20,'2021Data'!$A$2:$DX$85,69,0)</f>
        <v>0</v>
      </c>
      <c r="BR120" s="360">
        <f>VLOOKUP(Input!$C20,'2021Data'!$A$2:$DX$85,70,0)</f>
        <v>248640</v>
      </c>
      <c r="BS120" s="108">
        <f>VLOOKUP(Input!$C20,'2021Data'!$A$2:$DX$85,71,0)</f>
        <v>129317</v>
      </c>
      <c r="BT120" s="108">
        <f>VLOOKUP(Input!$C20,'2021Data'!$A$2:$DX$85,72,0)</f>
        <v>377957</v>
      </c>
      <c r="BU120" s="109">
        <f>VLOOKUP(Input!$C20,'2021Data'!$A$2:$DX$85,73)</f>
        <v>2.2906901337600076</v>
      </c>
      <c r="BV120" s="108">
        <f>VLOOKUP(Input!$C20,'2021Data'!$A$2:$DX$85,74,0)</f>
        <v>5814.7230769230773</v>
      </c>
      <c r="BW120" s="169">
        <f>VLOOKUP(Input!$C20,'2021Data'!$A$2:$DX$85,75,0)</f>
        <v>44.009897531439215</v>
      </c>
      <c r="BX120" s="169">
        <f>VLOOKUP(Input!$C20,'2021Data'!$A$2:$DX$85,76,0)</f>
        <v>4.3085279801192389</v>
      </c>
      <c r="BY120" s="109">
        <f>VLOOKUP(Input!$C20,'2021Data'!$A$2:$DX$85,77,0)</f>
        <v>0.99572159828863926</v>
      </c>
      <c r="BZ120" s="108">
        <f>VLOOKUP(Input!$C20,'2021Data'!$A$2:$DX$85,78,0)</f>
        <v>115</v>
      </c>
      <c r="CA120" s="108">
        <f>VLOOKUP(Input!$C20,'2021Data'!$A$2:$DX$85,79,0)</f>
        <v>35</v>
      </c>
      <c r="CB120" s="108">
        <f>VLOOKUP(Input!$C20,'2021Data'!$A$2:$DX$85,80,0)</f>
        <v>87</v>
      </c>
      <c r="CC120" s="108">
        <f>VLOOKUP(Input!$C20,'2021Data'!$A$2:$DX$85,81,0)</f>
        <v>237</v>
      </c>
      <c r="CD120" s="108">
        <f>VLOOKUP(Input!$C20,'2021Data'!$A$2:$DX$85,82,0)</f>
        <v>2573</v>
      </c>
      <c r="CE120" s="108">
        <f>VLOOKUP(Input!$C20,'2021Data'!$A$2:$DX$85,85,0)</f>
        <v>4647</v>
      </c>
      <c r="CF120" s="108">
        <f>VLOOKUP(Input!$C20,'2021Data'!$A$2:$DX$85,84,0)</f>
        <v>1225</v>
      </c>
      <c r="CG120" s="108">
        <f>VLOOKUP(Input!$C20,'2021Data'!$A$2:$DX$85,85,0)</f>
        <v>4647</v>
      </c>
      <c r="CH120" s="109">
        <f>VLOOKUP(Input!$C20,'2021Data'!$A$2:$DX$85,86,0)</f>
        <v>2.8164148439062529E-2</v>
      </c>
      <c r="CI120" s="108">
        <f>VLOOKUP(Input!$C20,'2021Data'!$A$2:$DX$85,87,0)</f>
        <v>87723</v>
      </c>
      <c r="CJ120" s="109">
        <f>VLOOKUP(Input!$C20,'2021Data'!$A$2:$DX$85,88,0)</f>
        <v>0.53166421207658321</v>
      </c>
      <c r="CK120" s="108">
        <f>VLOOKUP(Input!$C20,'2021Data'!$A$2:$DX$85,89,0)</f>
        <v>94158</v>
      </c>
      <c r="CL120" s="107" t="str">
        <f>VLOOKUP(Input!$C20,'2021Data'!$A$2:$DX$85,90,0)</f>
        <v>Yes</v>
      </c>
      <c r="CM120" s="107" t="str">
        <f>VLOOKUP(Input!$C20,'2021Data'!$A$2:$DX$85,91,0)</f>
        <v>Yes</v>
      </c>
      <c r="CN120" s="107" t="str">
        <f>VLOOKUP(Input!$C20,'2021Data'!$A$2:$DX$85,92,0)</f>
        <v>Yes</v>
      </c>
      <c r="CO120" s="169">
        <f>VLOOKUP(Input!$C20,'2021Data'!$A$2:$DX$85,93,0)</f>
        <v>11</v>
      </c>
      <c r="CP120" s="108">
        <f>VLOOKUP(Input!$C20,'2021Data'!$A$2:$DX$85,94,0)</f>
        <v>14999.727272727272</v>
      </c>
      <c r="CQ120" s="169">
        <f>VLOOKUP(Input!$C20,'2021Data'!$A$2:$DX$85,95,0)</f>
        <v>0</v>
      </c>
      <c r="CR120" s="169">
        <f>VLOOKUP(Input!$C20,'2021Data'!$A$2:$DX$85,96,0)</f>
        <v>54</v>
      </c>
      <c r="CS120" s="169">
        <f>VLOOKUP(Input!$C20,'2021Data'!$A$2:$DX$85,97,0)</f>
        <v>65</v>
      </c>
      <c r="CT120" s="108">
        <f>VLOOKUP(Input!$C20,'2021Data'!$A$2:$DX$85,98,0)</f>
        <v>2538.4153846153845</v>
      </c>
      <c r="CU120" s="108">
        <f>VLOOKUP(Input!$C20,'2021Data'!$A$2:$DX$85,99,0)</f>
        <v>375</v>
      </c>
      <c r="CV120" s="125">
        <f>VLOOKUP(Input!$C20,'2021Data'!$A$2:$DX$85,100,0)</f>
        <v>79060</v>
      </c>
      <c r="CW120" s="109">
        <f>VLOOKUP(Input!$C20,'2021Data'!$A$2:$DX$85,101,0)</f>
        <v>40</v>
      </c>
      <c r="CX120" s="107" t="str">
        <f>VLOOKUP(Input!$C20,'2021Data'!$A$2:$DX$85,102,0)</f>
        <v>Yes</v>
      </c>
      <c r="CY120" s="107" t="str">
        <f>VLOOKUP(Input!$C20,'2021Data'!$A$2:$DX$85,103,0)</f>
        <v>Yes</v>
      </c>
      <c r="CZ120" s="108">
        <f>VLOOKUP(Input!$C20,'2021Data'!$A$2:$DX$85,104,0)</f>
        <v>56</v>
      </c>
      <c r="DA120" s="108">
        <f>VLOOKUP(Input!$C20,'2021Data'!$A$2:$DX$85,105,0)</f>
        <v>194</v>
      </c>
      <c r="DB120" s="143">
        <f>VLOOKUP(Input!$C20,'2021Data'!$A$2:$DX$85,106,0)</f>
        <v>97</v>
      </c>
      <c r="DC120" s="108">
        <f>VLOOKUP(Input!$C20,'2021Data'!$A$2:$DX$85,107,0)</f>
        <v>9016</v>
      </c>
      <c r="DD120" s="108">
        <f>VLOOKUP(Input!$C20,'2021Data'!$A$2:$DX$85,108,0)</f>
        <v>7282</v>
      </c>
      <c r="DE120" s="108">
        <f>VLOOKUP(Input!$C20,'2021Data'!$A$2:$DX$85,109,0)</f>
        <v>118525</v>
      </c>
      <c r="DF120" s="108">
        <f>VLOOKUP(Input!$C20,'2021Data'!$A$2:$DX$85,110,0)</f>
        <v>11458</v>
      </c>
      <c r="DG120" s="108">
        <f>VLOOKUP(Input!$C20,'2021Data'!$A$2:$DX$85,111,0)</f>
        <v>52</v>
      </c>
      <c r="DH120" s="108">
        <f>VLOOKUP(Input!$C20,'2021Data'!$A$2:$DX$85,112,0)</f>
        <v>6.944368685491252E-2</v>
      </c>
      <c r="DI120" s="108">
        <f>VLOOKUP(Input!$C20,'2021Data'!$A$2:$DX$85,113,0)</f>
        <v>63</v>
      </c>
      <c r="DJ120" s="108">
        <f>VLOOKUP(Input!$C20,'2021Data'!$A$2:$DX$85,114,0)</f>
        <v>63</v>
      </c>
      <c r="DK120" s="108">
        <f>VLOOKUP(Input!$C20,'2021Data'!$A$2:$DX$85,115,0)</f>
        <v>6254</v>
      </c>
      <c r="DL120" s="108">
        <f>VLOOKUP(Input!$C20,'2021Data'!$A$2:$DX$85,116,0)</f>
        <v>8588</v>
      </c>
      <c r="DM120" s="108">
        <f>VLOOKUP(Input!$C20,'2021Data'!$A$2:$DX$85,117,0)</f>
        <v>0</v>
      </c>
      <c r="DN120" s="108" t="str">
        <f>VLOOKUP(Input!$C20,'2021Data'!$A$2:$DX$85,118,0)</f>
        <v>NC0103</v>
      </c>
      <c r="DO120" s="128" t="str">
        <f>VLOOKUP(Input!$C20,'2021Data'!$A$2:$DX$85,119,0)</f>
        <v>County</v>
      </c>
      <c r="DP120" s="127">
        <f>VLOOKUP(Input!$C20,'2021Data'!$A$2:$DX$85,120,0)</f>
        <v>0</v>
      </c>
      <c r="DQ120" s="127">
        <f>VLOOKUP(Input!$C20,'2021Data'!$A$2:$DX$85,121,0)</f>
        <v>0</v>
      </c>
      <c r="DR120" s="127" t="str">
        <f>VLOOKUP(Input!$C20,'2021Data'!$A$2:$DX$85,122,0)</f>
        <v>ALAMANCE</v>
      </c>
      <c r="DS120" s="127" t="str">
        <f>VLOOKUP(Input!$C20,'2021Data'!$A$2:$DX$85,123,0)</f>
        <v>ALAMANCE</v>
      </c>
      <c r="DT120" s="198">
        <f>VLOOKUP(Input!$C20,'2021Data'!$A$2:$DX$85,124,0)</f>
        <v>44013</v>
      </c>
      <c r="DU120" s="198">
        <f>VLOOKUP(Input!$C20,'2021Data'!$A$2:$DX$85,125,0)</f>
        <v>44377</v>
      </c>
      <c r="DV120" s="127" t="str">
        <f>VLOOKUP(Input!$C20,'2021Data'!$A$2:$DX$85,126,0)</f>
        <v>ALAMANCE COUNTY PUBLIC LIBRARIES</v>
      </c>
      <c r="DW120" s="109">
        <f>VLOOKUP(Input!$C20,'2021Data'!$A$2:$DX$85,127,0)</f>
        <v>0.53788250695467188</v>
      </c>
      <c r="DX120" s="109">
        <f>VLOOKUP(Input!$C20,'2021Data'!$A$2:$DZ$85,128,0)</f>
        <v>0</v>
      </c>
      <c r="DY120" s="109">
        <f>VLOOKUP(Input!$C20,'2021Data'!$A$2:$DZ$85,129,0)</f>
        <v>1.5069364897543591</v>
      </c>
      <c r="DZ120" s="109">
        <f>VLOOKUP(Input!$C20,'2021Data'!$A$2:$DZ$85,130,0)</f>
        <v>0.78375364400564862</v>
      </c>
      <c r="EA120" s="110">
        <f>VLOOKUP(Input!$C20,'2021Data'!$A$2:$EA$85,131,0)</f>
        <v>0.4683021675276906</v>
      </c>
      <c r="EB120" s="110">
        <f>VLOOKUP(Input!$C20,'2021Data'!$A$2:$EB$85,132,0)</f>
        <v>0.69596418104348234</v>
      </c>
    </row>
    <row r="121" spans="2:132" ht="13.5" thickBot="1" x14ac:dyDescent="0.25">
      <c r="B121" s="97" t="s">
        <v>5</v>
      </c>
      <c r="C121" s="108">
        <f>C107</f>
        <v>124846.28571428571</v>
      </c>
      <c r="D121" s="108">
        <f t="shared" ref="D121:BH121" si="166">D107</f>
        <v>5.0384615384615383</v>
      </c>
      <c r="E121" s="108">
        <f t="shared" si="166"/>
        <v>1.0714285714285714</v>
      </c>
      <c r="F121" s="108">
        <f t="shared" si="166"/>
        <v>58502.120481927712</v>
      </c>
      <c r="G121" s="32">
        <f t="shared" si="166"/>
        <v>0</v>
      </c>
      <c r="H121" s="108" t="e">
        <f t="shared" si="166"/>
        <v>#VALUE!</v>
      </c>
      <c r="I121" s="109">
        <f t="shared" si="166"/>
        <v>0.55860402439024393</v>
      </c>
      <c r="J121" s="125">
        <f t="shared" si="166"/>
        <v>1451846.2803571429</v>
      </c>
      <c r="K121" s="125">
        <f t="shared" si="166"/>
        <v>594806.90297619044</v>
      </c>
      <c r="L121" s="125">
        <f t="shared" si="166"/>
        <v>2059790.3463414635</v>
      </c>
      <c r="M121" s="110">
        <f t="shared" si="166"/>
        <v>17.285179884933431</v>
      </c>
      <c r="N121" s="125">
        <f t="shared" si="166"/>
        <v>187566.3598809524</v>
      </c>
      <c r="O121" s="125">
        <f t="shared" si="166"/>
        <v>117316.29309523808</v>
      </c>
      <c r="P121" s="125">
        <f t="shared" si="166"/>
        <v>25891.719761904762</v>
      </c>
      <c r="Q121" s="125">
        <f t="shared" si="166"/>
        <v>330774.37273809523</v>
      </c>
      <c r="R121" s="110">
        <f t="shared" si="166"/>
        <v>2.4980739271535892</v>
      </c>
      <c r="S121" s="125">
        <f t="shared" si="166"/>
        <v>507089.51285714284</v>
      </c>
      <c r="T121" s="125">
        <f t="shared" si="166"/>
        <v>2884517.0689285719</v>
      </c>
      <c r="U121" s="125">
        <f t="shared" si="166"/>
        <v>1185.3048780487804</v>
      </c>
      <c r="V121" s="125">
        <f t="shared" si="166"/>
        <v>2884517.0689285719</v>
      </c>
      <c r="W121" s="110">
        <f t="shared" si="166"/>
        <v>23.833334203665633</v>
      </c>
      <c r="X121" s="111">
        <f t="shared" si="166"/>
        <v>0.73322486346667848</v>
      </c>
      <c r="Y121" s="111">
        <f t="shared" si="166"/>
        <v>0.10056538281533596</v>
      </c>
      <c r="Z121" s="111">
        <f t="shared" si="166"/>
        <v>0.16620975371798577</v>
      </c>
      <c r="AA121" s="111">
        <f t="shared" si="166"/>
        <v>5.4782640478845412E-4</v>
      </c>
      <c r="AB121" s="125">
        <f t="shared" si="166"/>
        <v>618791.17857142852</v>
      </c>
      <c r="AC121" s="125">
        <f t="shared" si="166"/>
        <v>348419.51190476189</v>
      </c>
      <c r="AD121" s="125">
        <f t="shared" si="166"/>
        <v>2556223.3214285714</v>
      </c>
      <c r="AE121" s="125" t="e">
        <f t="shared" si="166"/>
        <v>#DIV/0!</v>
      </c>
      <c r="AF121" s="125" t="e">
        <f t="shared" si="166"/>
        <v>#REF!</v>
      </c>
      <c r="AG121" s="125" t="e">
        <f t="shared" si="166"/>
        <v>#REF!</v>
      </c>
      <c r="AH121" s="125" t="e">
        <f t="shared" si="166"/>
        <v>#DIV/0!</v>
      </c>
      <c r="AI121" s="125">
        <f t="shared" si="166"/>
        <v>2928914.5975609757</v>
      </c>
      <c r="AJ121" s="110">
        <f t="shared" si="166"/>
        <v>22.473312331344946</v>
      </c>
      <c r="AK121" s="125">
        <f t="shared" si="166"/>
        <v>172036.35714285713</v>
      </c>
      <c r="AL121" s="125">
        <f t="shared" si="166"/>
        <v>19149.658536585364</v>
      </c>
      <c r="AM121" s="125" t="e">
        <f t="shared" si="166"/>
        <v>#DIV/0!</v>
      </c>
      <c r="AN121" s="125">
        <f t="shared" si="166"/>
        <v>184280.45238095237</v>
      </c>
      <c r="AO121" s="125">
        <f t="shared" si="166"/>
        <v>188659.93902439025</v>
      </c>
      <c r="AP121" s="125">
        <f t="shared" si="166"/>
        <v>3299420.0952380951</v>
      </c>
      <c r="AQ121" s="110">
        <f t="shared" si="166"/>
        <v>25.769166856154431</v>
      </c>
      <c r="AR121" s="125" t="e">
        <f t="shared" si="166"/>
        <v>#DIV/0!</v>
      </c>
      <c r="AS121" s="125">
        <f t="shared" si="166"/>
        <v>216232.91463414635</v>
      </c>
      <c r="AT121" s="125">
        <f t="shared" si="166"/>
        <v>0</v>
      </c>
      <c r="AU121" s="125">
        <f t="shared" si="166"/>
        <v>5487.8048780487807</v>
      </c>
      <c r="AV121" s="125">
        <f t="shared" si="166"/>
        <v>1757.7560975609756</v>
      </c>
      <c r="AW121" s="125" t="e">
        <f t="shared" si="166"/>
        <v>#DIV/0!</v>
      </c>
      <c r="AX121" s="125">
        <f t="shared" si="166"/>
        <v>11802.304878048781</v>
      </c>
      <c r="AY121" s="125">
        <f t="shared" si="166"/>
        <v>235280.78048780488</v>
      </c>
      <c r="AZ121" s="108">
        <f t="shared" si="166"/>
        <v>177018.59523809524</v>
      </c>
      <c r="BA121" s="109">
        <f t="shared" si="166"/>
        <v>1.792033036647688</v>
      </c>
      <c r="BB121" s="108">
        <f t="shared" si="166"/>
        <v>7038.3214285714284</v>
      </c>
      <c r="BC121" s="108">
        <f t="shared" si="166"/>
        <v>41589.785714285717</v>
      </c>
      <c r="BD121" s="108">
        <f t="shared" si="166"/>
        <v>11030.154761904761</v>
      </c>
      <c r="BE121" s="108">
        <f t="shared" si="166"/>
        <v>4490.0595238095239</v>
      </c>
      <c r="BF121" s="108">
        <f t="shared" si="166"/>
        <v>184868.66666666666</v>
      </c>
      <c r="BG121" s="108">
        <f t="shared" si="166"/>
        <v>6.2073170731707314</v>
      </c>
      <c r="BH121" s="108">
        <f t="shared" si="166"/>
        <v>89</v>
      </c>
      <c r="BI121" s="108">
        <f t="shared" ref="BI121:BM121" si="167">BI107</f>
        <v>0</v>
      </c>
      <c r="BJ121" s="108">
        <f t="shared" si="167"/>
        <v>92.071428571428569</v>
      </c>
      <c r="BK121" s="108">
        <f t="shared" si="167"/>
        <v>433150.10714285716</v>
      </c>
      <c r="BL121" s="109">
        <f t="shared" si="167"/>
        <v>7.1829446509588957</v>
      </c>
      <c r="BM121" s="108">
        <f t="shared" si="167"/>
        <v>155.60714285714286</v>
      </c>
      <c r="BN121" s="108">
        <f t="shared" ref="BN121:CK121" si="168">BN107</f>
        <v>39570.785714285717</v>
      </c>
      <c r="BO121" s="109">
        <f t="shared" si="168"/>
        <v>0.33245709175040428</v>
      </c>
      <c r="BP121" s="108">
        <f t="shared" si="168"/>
        <v>162716.01190476189</v>
      </c>
      <c r="BQ121" s="108">
        <f t="shared" si="168"/>
        <v>0</v>
      </c>
      <c r="BR121" s="360">
        <f t="shared" si="168"/>
        <v>287900.84146341466</v>
      </c>
      <c r="BS121" s="108">
        <f t="shared" si="168"/>
        <v>293059.35714285716</v>
      </c>
      <c r="BT121" s="108">
        <f t="shared" si="168"/>
        <v>578414.95238095243</v>
      </c>
      <c r="BU121" s="109">
        <f t="shared" si="168"/>
        <v>3.738997791934882</v>
      </c>
      <c r="BV121" s="108">
        <f t="shared" si="168"/>
        <v>11306.861663737302</v>
      </c>
      <c r="BW121" s="169">
        <f t="shared" si="168"/>
        <v>95.434679049988944</v>
      </c>
      <c r="BX121" s="109">
        <f t="shared" si="168"/>
        <v>6.4088385529678416</v>
      </c>
      <c r="BY121" s="109">
        <f t="shared" si="168"/>
        <v>0.8712747121516603</v>
      </c>
      <c r="BZ121" s="108">
        <f t="shared" si="168"/>
        <v>123.78571428571429</v>
      </c>
      <c r="CA121" s="108">
        <f t="shared" si="168"/>
        <v>18.773809523809526</v>
      </c>
      <c r="CB121" s="108">
        <f t="shared" si="168"/>
        <v>54.297619047619051</v>
      </c>
      <c r="CC121" s="108">
        <f t="shared" si="168"/>
        <v>198.78048780487805</v>
      </c>
      <c r="CD121" s="108">
        <f t="shared" si="168"/>
        <v>2850.4819277108436</v>
      </c>
      <c r="CE121" s="108">
        <f t="shared" si="168"/>
        <v>226.39759036144579</v>
      </c>
      <c r="CF121" s="108">
        <f t="shared" si="168"/>
        <v>968.60240963855426</v>
      </c>
      <c r="CG121" s="108">
        <f t="shared" si="168"/>
        <v>4088.6951219512193</v>
      </c>
      <c r="CH121" s="109">
        <f t="shared" si="168"/>
        <v>8.8903126511871572E-2</v>
      </c>
      <c r="CI121" s="108">
        <v>128973.69797421731</v>
      </c>
      <c r="CJ121" s="109">
        <f t="shared" si="168"/>
        <v>1.0138611254224486</v>
      </c>
      <c r="CK121" s="108">
        <f t="shared" si="168"/>
        <v>69771.829268292684</v>
      </c>
      <c r="CL121" s="128"/>
      <c r="CM121" s="128"/>
      <c r="CN121" s="128"/>
      <c r="CO121" s="169">
        <f t="shared" ref="CO121:CW121" si="169">CO107</f>
        <v>9.2996428571428567</v>
      </c>
      <c r="CP121" s="108">
        <f t="shared" si="169"/>
        <v>15957.084378333566</v>
      </c>
      <c r="CQ121" s="169">
        <f t="shared" si="169"/>
        <v>0.60440476190476189</v>
      </c>
      <c r="CR121" s="169">
        <f t="shared" si="169"/>
        <v>27.380833333333332</v>
      </c>
      <c r="CS121" s="169">
        <f t="shared" si="169"/>
        <v>37.284880952380959</v>
      </c>
      <c r="CT121" s="108">
        <f t="shared" si="169"/>
        <v>3613.7609206646866</v>
      </c>
      <c r="CU121" s="108">
        <f t="shared" si="169"/>
        <v>539.66666666666663</v>
      </c>
      <c r="CV121" s="125">
        <f t="shared" si="169"/>
        <v>81999.345238095237</v>
      </c>
      <c r="CW121" s="109">
        <f t="shared" si="169"/>
        <v>37.307317073170729</v>
      </c>
      <c r="CX121" s="128"/>
      <c r="CY121" s="128"/>
      <c r="CZ121" s="108">
        <f t="shared" ref="CZ121:DF121" si="170">CZ107</f>
        <v>6115.4285714285716</v>
      </c>
      <c r="DA121" s="108">
        <f t="shared" si="170"/>
        <v>6134.3214285714284</v>
      </c>
      <c r="DB121" s="108">
        <f t="shared" si="170"/>
        <v>87.44047619047619</v>
      </c>
      <c r="DC121" s="108">
        <f t="shared" si="170"/>
        <v>9346.2857142857138</v>
      </c>
      <c r="DD121" s="108">
        <f t="shared" si="170"/>
        <v>25966.903614457831</v>
      </c>
      <c r="DE121" s="108">
        <f t="shared" si="170"/>
        <v>388888.82142857142</v>
      </c>
      <c r="DF121" s="108">
        <f t="shared" si="170"/>
        <v>11596.707317073171</v>
      </c>
      <c r="DG121" s="108">
        <f t="shared" ref="DG121:DL121" si="171">DG107</f>
        <v>50.524390243902438</v>
      </c>
      <c r="DH121" s="108">
        <f t="shared" si="171"/>
        <v>0.28128763825153807</v>
      </c>
      <c r="DI121" s="108">
        <f t="shared" si="171"/>
        <v>45.975609756097562</v>
      </c>
      <c r="DJ121" s="108">
        <f t="shared" si="171"/>
        <v>45.780487804878049</v>
      </c>
      <c r="DK121" s="211">
        <f t="shared" si="171"/>
        <v>1057.6047197640119</v>
      </c>
      <c r="DL121" s="108">
        <f t="shared" si="171"/>
        <v>9019.8963414634145</v>
      </c>
      <c r="DM121" s="129"/>
      <c r="DN121" s="127"/>
      <c r="DO121" s="107"/>
      <c r="DS121" s="109"/>
      <c r="DT121" s="114"/>
      <c r="DW121" s="109">
        <f>DW107</f>
        <v>0.97036736670569801</v>
      </c>
      <c r="DX121" s="109">
        <f>DX107</f>
        <v>0</v>
      </c>
      <c r="DY121" s="109">
        <f>DY107</f>
        <v>2.0869680540050135</v>
      </c>
      <c r="DZ121" s="109">
        <f>DZ107</f>
        <v>1.6520297379298698</v>
      </c>
      <c r="EA121" s="110">
        <f t="shared" ref="EA121:EB121" si="172">EA107</f>
        <v>0.63319132090839281</v>
      </c>
      <c r="EB121" s="110">
        <f t="shared" si="172"/>
        <v>0.5194011075956626</v>
      </c>
    </row>
  </sheetData>
  <sheetProtection formatCells="0" formatColumns="0" formatRows="0" sort="0" autoFilter="0" pivotTables="0"/>
  <pageMargins left="0.7" right="0.7" top="0.75" bottom="0.75" header="0.3" footer="0.3"/>
  <pageSetup orientation="portrait" r:id="rId1"/>
  <ignoredErrors>
    <ignoredError sqref="AI15:AI21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K333"/>
  <sheetViews>
    <sheetView topLeftCell="A2" workbookViewId="0">
      <selection activeCell="J27" sqref="J27"/>
    </sheetView>
  </sheetViews>
  <sheetFormatPr defaultColWidth="8.875" defaultRowHeight="16.5" x14ac:dyDescent="0.3"/>
  <cols>
    <col min="2" max="2" width="36.375" customWidth="1"/>
    <col min="9" max="9" width="14" customWidth="1"/>
    <col min="10" max="10" width="17.5" bestFit="1" customWidth="1"/>
    <col min="11" max="11" width="16.875" bestFit="1" customWidth="1"/>
  </cols>
  <sheetData>
    <row r="1" spans="1:11" x14ac:dyDescent="0.3">
      <c r="A1" s="13" t="s">
        <v>214</v>
      </c>
      <c r="B1" s="13" t="s">
        <v>215</v>
      </c>
      <c r="C1" s="13" t="s">
        <v>216</v>
      </c>
      <c r="D1" s="13" t="s">
        <v>217</v>
      </c>
      <c r="E1" s="13" t="s">
        <v>877</v>
      </c>
      <c r="F1" s="13" t="s">
        <v>878</v>
      </c>
      <c r="G1" s="13" t="s">
        <v>879</v>
      </c>
    </row>
    <row r="2" spans="1:11" x14ac:dyDescent="0.3">
      <c r="A2" s="15">
        <v>10</v>
      </c>
      <c r="B2" s="14" t="s">
        <v>218</v>
      </c>
      <c r="C2" s="14" t="s">
        <v>219</v>
      </c>
      <c r="D2" s="14" t="s">
        <v>220</v>
      </c>
      <c r="E2" s="15">
        <v>5529</v>
      </c>
      <c r="F2" s="15">
        <v>2412</v>
      </c>
      <c r="G2" s="15">
        <v>52</v>
      </c>
      <c r="J2" s="16" t="s">
        <v>882</v>
      </c>
    </row>
    <row r="3" spans="1:11" x14ac:dyDescent="0.3">
      <c r="A3" s="15">
        <v>10</v>
      </c>
      <c r="B3" s="14" t="s">
        <v>221</v>
      </c>
      <c r="C3" s="14" t="s">
        <v>222</v>
      </c>
      <c r="D3" s="14" t="s">
        <v>220</v>
      </c>
      <c r="E3" s="15">
        <v>3900</v>
      </c>
      <c r="F3" s="15">
        <v>2412</v>
      </c>
      <c r="G3" s="15">
        <v>52</v>
      </c>
      <c r="I3" s="16" t="s">
        <v>880</v>
      </c>
      <c r="J3" t="s">
        <v>883</v>
      </c>
      <c r="K3" t="s">
        <v>884</v>
      </c>
    </row>
    <row r="4" spans="1:11" x14ac:dyDescent="0.3">
      <c r="A4" s="15">
        <v>10</v>
      </c>
      <c r="B4" s="14" t="s">
        <v>223</v>
      </c>
      <c r="C4" s="14" t="s">
        <v>224</v>
      </c>
      <c r="D4" s="14" t="s">
        <v>220</v>
      </c>
      <c r="E4" s="15">
        <v>3900</v>
      </c>
      <c r="F4" s="15">
        <v>2412</v>
      </c>
      <c r="G4" s="15">
        <v>52</v>
      </c>
      <c r="I4" s="17">
        <v>2</v>
      </c>
      <c r="J4">
        <v>17480</v>
      </c>
      <c r="K4">
        <v>6235</v>
      </c>
    </row>
    <row r="5" spans="1:11" x14ac:dyDescent="0.3">
      <c r="A5" s="15">
        <v>100</v>
      </c>
      <c r="B5" s="14" t="s">
        <v>225</v>
      </c>
      <c r="C5" s="14" t="s">
        <v>226</v>
      </c>
      <c r="D5" s="14" t="s">
        <v>227</v>
      </c>
      <c r="E5" s="15">
        <v>0</v>
      </c>
      <c r="F5" s="15">
        <v>610</v>
      </c>
      <c r="G5" s="15">
        <v>52</v>
      </c>
      <c r="I5" s="17">
        <v>5</v>
      </c>
      <c r="J5">
        <v>6734</v>
      </c>
      <c r="K5">
        <v>2691</v>
      </c>
    </row>
    <row r="6" spans="1:11" x14ac:dyDescent="0.3">
      <c r="A6" s="15">
        <v>100</v>
      </c>
      <c r="B6" s="14" t="s">
        <v>228</v>
      </c>
      <c r="C6" s="14" t="s">
        <v>229</v>
      </c>
      <c r="D6" s="14" t="s">
        <v>220</v>
      </c>
      <c r="E6" s="15">
        <v>19000</v>
      </c>
      <c r="F6" s="15">
        <v>2829</v>
      </c>
      <c r="G6" s="15">
        <v>52</v>
      </c>
      <c r="I6" s="17">
        <v>9</v>
      </c>
      <c r="J6">
        <v>55536</v>
      </c>
      <c r="K6">
        <v>13211</v>
      </c>
    </row>
    <row r="7" spans="1:11" x14ac:dyDescent="0.3">
      <c r="A7" s="15">
        <v>100</v>
      </c>
      <c r="B7" s="14" t="s">
        <v>230</v>
      </c>
      <c r="C7" s="14" t="s">
        <v>231</v>
      </c>
      <c r="D7" s="14" t="s">
        <v>220</v>
      </c>
      <c r="E7" s="15">
        <v>12500</v>
      </c>
      <c r="F7" s="15">
        <v>2040</v>
      </c>
      <c r="G7" s="15">
        <v>52</v>
      </c>
      <c r="I7" s="17">
        <v>10</v>
      </c>
      <c r="J7">
        <v>13329</v>
      </c>
      <c r="K7">
        <v>7236</v>
      </c>
    </row>
    <row r="8" spans="1:11" x14ac:dyDescent="0.3">
      <c r="A8" s="15">
        <v>100</v>
      </c>
      <c r="B8" s="14" t="s">
        <v>232</v>
      </c>
      <c r="C8" s="14" t="s">
        <v>233</v>
      </c>
      <c r="D8" s="14" t="s">
        <v>220</v>
      </c>
      <c r="E8" s="15">
        <v>18500</v>
      </c>
      <c r="F8" s="15">
        <v>2040</v>
      </c>
      <c r="G8" s="15">
        <v>52</v>
      </c>
      <c r="I8" s="17">
        <v>12</v>
      </c>
      <c r="J8">
        <v>135815</v>
      </c>
      <c r="K8">
        <v>26535</v>
      </c>
    </row>
    <row r="9" spans="1:11" x14ac:dyDescent="0.3">
      <c r="A9" s="15">
        <v>100</v>
      </c>
      <c r="B9" s="14" t="s">
        <v>234</v>
      </c>
      <c r="C9" s="14" t="s">
        <v>235</v>
      </c>
      <c r="D9" s="14" t="s">
        <v>220</v>
      </c>
      <c r="E9" s="15">
        <v>1993</v>
      </c>
      <c r="F9" s="15">
        <v>2040</v>
      </c>
      <c r="G9" s="15">
        <v>52</v>
      </c>
      <c r="I9" s="17">
        <v>16</v>
      </c>
      <c r="J9">
        <v>64300</v>
      </c>
      <c r="K9">
        <v>16880</v>
      </c>
    </row>
    <row r="10" spans="1:11" x14ac:dyDescent="0.3">
      <c r="A10" s="15">
        <v>100</v>
      </c>
      <c r="B10" s="14" t="s">
        <v>236</v>
      </c>
      <c r="C10" s="14" t="s">
        <v>237</v>
      </c>
      <c r="D10" s="14" t="s">
        <v>227</v>
      </c>
      <c r="E10" s="15">
        <v>0</v>
      </c>
      <c r="F10" s="15">
        <v>610</v>
      </c>
      <c r="G10" s="15">
        <v>52</v>
      </c>
      <c r="I10" s="17">
        <v>20</v>
      </c>
      <c r="J10">
        <v>244881</v>
      </c>
      <c r="K10">
        <v>52230</v>
      </c>
    </row>
    <row r="11" spans="1:11" x14ac:dyDescent="0.3">
      <c r="A11" s="15">
        <v>100</v>
      </c>
      <c r="B11" s="14" t="s">
        <v>238</v>
      </c>
      <c r="C11" s="14" t="s">
        <v>239</v>
      </c>
      <c r="D11" s="14" t="s">
        <v>220</v>
      </c>
      <c r="E11" s="15">
        <v>18500</v>
      </c>
      <c r="F11" s="15">
        <v>2040</v>
      </c>
      <c r="G11" s="15">
        <v>52</v>
      </c>
      <c r="I11" s="17">
        <v>28</v>
      </c>
      <c r="J11">
        <v>500</v>
      </c>
      <c r="K11">
        <v>896</v>
      </c>
    </row>
    <row r="12" spans="1:11" x14ac:dyDescent="0.3">
      <c r="A12" s="15">
        <v>100</v>
      </c>
      <c r="B12" s="14" t="s">
        <v>240</v>
      </c>
      <c r="C12" s="14" t="s">
        <v>241</v>
      </c>
      <c r="D12" s="14" t="s">
        <v>220</v>
      </c>
      <c r="E12" s="15">
        <v>18000</v>
      </c>
      <c r="F12" s="15">
        <v>2040</v>
      </c>
      <c r="G12" s="15">
        <v>52</v>
      </c>
      <c r="I12" s="17">
        <v>30</v>
      </c>
      <c r="J12">
        <v>64908</v>
      </c>
      <c r="K12">
        <v>15137</v>
      </c>
    </row>
    <row r="13" spans="1:11" x14ac:dyDescent="0.3">
      <c r="A13" s="15">
        <v>100</v>
      </c>
      <c r="B13" s="14" t="s">
        <v>242</v>
      </c>
      <c r="C13" s="14" t="s">
        <v>243</v>
      </c>
      <c r="D13" s="14" t="s">
        <v>220</v>
      </c>
      <c r="E13" s="15">
        <v>17350</v>
      </c>
      <c r="F13" s="15">
        <v>2040</v>
      </c>
      <c r="G13" s="15">
        <v>52</v>
      </c>
      <c r="I13" s="17">
        <v>41</v>
      </c>
      <c r="J13">
        <v>3072</v>
      </c>
      <c r="K13">
        <v>3253</v>
      </c>
    </row>
    <row r="14" spans="1:11" x14ac:dyDescent="0.3">
      <c r="A14" s="15">
        <v>100</v>
      </c>
      <c r="B14" s="14" t="s">
        <v>244</v>
      </c>
      <c r="C14" s="14" t="s">
        <v>245</v>
      </c>
      <c r="D14" s="14" t="s">
        <v>220</v>
      </c>
      <c r="E14" s="15">
        <v>19500</v>
      </c>
      <c r="F14" s="15">
        <v>2040</v>
      </c>
      <c r="G14" s="15">
        <v>52</v>
      </c>
      <c r="I14" s="17">
        <v>49</v>
      </c>
      <c r="J14">
        <v>20000</v>
      </c>
      <c r="K14">
        <v>2602</v>
      </c>
    </row>
    <row r="15" spans="1:11" x14ac:dyDescent="0.3">
      <c r="A15" s="15">
        <v>100</v>
      </c>
      <c r="B15" s="14" t="s">
        <v>246</v>
      </c>
      <c r="C15" s="14" t="s">
        <v>247</v>
      </c>
      <c r="D15" s="14" t="s">
        <v>220</v>
      </c>
      <c r="E15" s="15">
        <v>9030</v>
      </c>
      <c r="F15" s="15">
        <v>2040</v>
      </c>
      <c r="G15" s="15">
        <v>52</v>
      </c>
      <c r="I15" s="17">
        <v>50</v>
      </c>
      <c r="J15">
        <v>1550</v>
      </c>
      <c r="K15">
        <v>1611</v>
      </c>
    </row>
    <row r="16" spans="1:11" x14ac:dyDescent="0.3">
      <c r="A16" s="15">
        <v>100</v>
      </c>
      <c r="B16" s="14" t="s">
        <v>248</v>
      </c>
      <c r="C16" s="14" t="s">
        <v>249</v>
      </c>
      <c r="D16" s="14" t="s">
        <v>220</v>
      </c>
      <c r="E16" s="15">
        <v>14707</v>
      </c>
      <c r="F16" s="15">
        <v>1400</v>
      </c>
      <c r="G16" s="15">
        <v>36</v>
      </c>
      <c r="I16" s="17">
        <v>51</v>
      </c>
      <c r="J16">
        <v>47500</v>
      </c>
      <c r="K16">
        <v>7928</v>
      </c>
    </row>
    <row r="17" spans="1:11" x14ac:dyDescent="0.3">
      <c r="A17" s="15">
        <v>100</v>
      </c>
      <c r="B17" s="14" t="s">
        <v>250</v>
      </c>
      <c r="C17" s="14" t="s">
        <v>251</v>
      </c>
      <c r="D17" s="14" t="s">
        <v>220</v>
      </c>
      <c r="E17" s="15">
        <v>23450</v>
      </c>
      <c r="F17" s="15">
        <v>2829</v>
      </c>
      <c r="G17" s="15">
        <v>52</v>
      </c>
      <c r="I17" s="17">
        <v>56</v>
      </c>
      <c r="J17">
        <v>34781</v>
      </c>
      <c r="K17">
        <v>6604</v>
      </c>
    </row>
    <row r="18" spans="1:11" x14ac:dyDescent="0.3">
      <c r="A18" s="15">
        <v>100</v>
      </c>
      <c r="B18" s="14" t="s">
        <v>252</v>
      </c>
      <c r="C18" s="14" t="s">
        <v>253</v>
      </c>
      <c r="D18" s="14" t="s">
        <v>220</v>
      </c>
      <c r="E18" s="15">
        <v>19500</v>
      </c>
      <c r="F18" s="15">
        <v>2040</v>
      </c>
      <c r="G18" s="15">
        <v>49</v>
      </c>
      <c r="I18" s="17">
        <v>64</v>
      </c>
      <c r="J18">
        <v>37000</v>
      </c>
      <c r="K18">
        <v>2475</v>
      </c>
    </row>
    <row r="19" spans="1:11" x14ac:dyDescent="0.3">
      <c r="A19" s="15">
        <v>100</v>
      </c>
      <c r="B19" s="14" t="s">
        <v>254</v>
      </c>
      <c r="C19" s="14" t="s">
        <v>255</v>
      </c>
      <c r="D19" s="14" t="s">
        <v>220</v>
      </c>
      <c r="E19" s="15">
        <v>10600</v>
      </c>
      <c r="F19" s="15">
        <v>2040</v>
      </c>
      <c r="G19" s="15">
        <v>52</v>
      </c>
      <c r="I19" s="17">
        <v>86</v>
      </c>
      <c r="J19">
        <v>117476</v>
      </c>
      <c r="K19">
        <v>17268</v>
      </c>
    </row>
    <row r="20" spans="1:11" x14ac:dyDescent="0.3">
      <c r="A20" s="15">
        <v>100</v>
      </c>
      <c r="B20" s="14" t="s">
        <v>256</v>
      </c>
      <c r="C20" s="14" t="s">
        <v>257</v>
      </c>
      <c r="D20" s="14" t="s">
        <v>220</v>
      </c>
      <c r="E20" s="15">
        <v>18500</v>
      </c>
      <c r="F20" s="15">
        <v>2040</v>
      </c>
      <c r="G20" s="15">
        <v>52</v>
      </c>
      <c r="I20" s="17">
        <v>88</v>
      </c>
      <c r="J20">
        <v>68271</v>
      </c>
      <c r="K20">
        <v>14434</v>
      </c>
    </row>
    <row r="21" spans="1:11" x14ac:dyDescent="0.3">
      <c r="A21" s="15">
        <v>100</v>
      </c>
      <c r="B21" s="14" t="s">
        <v>258</v>
      </c>
      <c r="C21" s="14" t="s">
        <v>259</v>
      </c>
      <c r="D21" s="14" t="s">
        <v>220</v>
      </c>
      <c r="E21" s="15">
        <v>13532</v>
      </c>
      <c r="F21" s="15">
        <v>2040</v>
      </c>
      <c r="G21" s="15">
        <v>52</v>
      </c>
      <c r="I21" s="17">
        <v>91</v>
      </c>
      <c r="J21">
        <v>1000</v>
      </c>
      <c r="K21">
        <v>880</v>
      </c>
    </row>
    <row r="22" spans="1:11" x14ac:dyDescent="0.3">
      <c r="A22" s="15">
        <v>100</v>
      </c>
      <c r="B22" s="14" t="s">
        <v>260</v>
      </c>
      <c r="C22" s="14" t="s">
        <v>261</v>
      </c>
      <c r="D22" s="14" t="s">
        <v>220</v>
      </c>
      <c r="E22" s="15">
        <v>15562</v>
      </c>
      <c r="F22" s="15">
        <v>2040</v>
      </c>
      <c r="G22" s="15">
        <v>52</v>
      </c>
      <c r="I22" s="17">
        <v>94</v>
      </c>
      <c r="J22">
        <v>5305</v>
      </c>
      <c r="K22">
        <v>2407</v>
      </c>
    </row>
    <row r="23" spans="1:11" x14ac:dyDescent="0.3">
      <c r="A23" s="15">
        <v>100</v>
      </c>
      <c r="B23" s="14" t="s">
        <v>262</v>
      </c>
      <c r="C23" s="14" t="s">
        <v>263</v>
      </c>
      <c r="D23" s="14" t="s">
        <v>220</v>
      </c>
      <c r="E23" s="15">
        <v>12900</v>
      </c>
      <c r="F23" s="15">
        <v>2040</v>
      </c>
      <c r="G23" s="15">
        <v>52</v>
      </c>
      <c r="I23" s="17">
        <v>100</v>
      </c>
      <c r="J23">
        <v>418116</v>
      </c>
      <c r="K23">
        <v>59278</v>
      </c>
    </row>
    <row r="24" spans="1:11" x14ac:dyDescent="0.3">
      <c r="A24" s="15">
        <v>100</v>
      </c>
      <c r="B24" s="14" t="s">
        <v>264</v>
      </c>
      <c r="C24" s="14" t="s">
        <v>265</v>
      </c>
      <c r="D24" s="14" t="s">
        <v>220</v>
      </c>
      <c r="E24" s="15">
        <v>10984</v>
      </c>
      <c r="F24" s="15">
        <v>2040</v>
      </c>
      <c r="G24" s="15">
        <v>52</v>
      </c>
      <c r="I24" s="17">
        <v>109</v>
      </c>
      <c r="J24">
        <v>54954</v>
      </c>
      <c r="K24">
        <v>6384</v>
      </c>
    </row>
    <row r="25" spans="1:11" x14ac:dyDescent="0.3">
      <c r="A25" s="15">
        <v>100</v>
      </c>
      <c r="B25" s="14" t="s">
        <v>266</v>
      </c>
      <c r="C25" s="14" t="s">
        <v>267</v>
      </c>
      <c r="D25" s="14" t="s">
        <v>220</v>
      </c>
      <c r="E25" s="15">
        <v>19500</v>
      </c>
      <c r="F25" s="15">
        <v>2040</v>
      </c>
      <c r="G25" s="15">
        <v>52</v>
      </c>
      <c r="I25" s="17">
        <v>117</v>
      </c>
      <c r="J25">
        <v>4700</v>
      </c>
      <c r="K25">
        <v>3571</v>
      </c>
    </row>
    <row r="26" spans="1:11" x14ac:dyDescent="0.3">
      <c r="A26" s="15">
        <v>100</v>
      </c>
      <c r="B26" s="14" t="s">
        <v>268</v>
      </c>
      <c r="C26" s="14" t="s">
        <v>269</v>
      </c>
      <c r="D26" s="14" t="s">
        <v>220</v>
      </c>
      <c r="E26" s="15">
        <v>16800</v>
      </c>
      <c r="F26" s="15">
        <v>2040</v>
      </c>
      <c r="G26" s="15">
        <v>52</v>
      </c>
      <c r="I26" s="17">
        <v>120</v>
      </c>
      <c r="J26">
        <v>4034</v>
      </c>
      <c r="K26">
        <v>2376</v>
      </c>
    </row>
    <row r="27" spans="1:11" x14ac:dyDescent="0.3">
      <c r="A27" s="15">
        <v>100</v>
      </c>
      <c r="B27" s="14" t="s">
        <v>270</v>
      </c>
      <c r="C27" s="14" t="s">
        <v>271</v>
      </c>
      <c r="D27" s="14" t="s">
        <v>220</v>
      </c>
      <c r="E27" s="15">
        <v>12400</v>
      </c>
      <c r="F27" s="15">
        <v>2040</v>
      </c>
      <c r="G27" s="15">
        <v>52</v>
      </c>
      <c r="I27" s="17">
        <v>125</v>
      </c>
      <c r="J27">
        <v>172520</v>
      </c>
      <c r="K27">
        <v>31749</v>
      </c>
    </row>
    <row r="28" spans="1:11" x14ac:dyDescent="0.3">
      <c r="A28" s="15">
        <v>100</v>
      </c>
      <c r="B28" s="14" t="s">
        <v>272</v>
      </c>
      <c r="C28" s="14" t="s">
        <v>273</v>
      </c>
      <c r="D28" s="14" t="s">
        <v>220</v>
      </c>
      <c r="E28" s="15">
        <v>11193</v>
      </c>
      <c r="F28" s="15">
        <v>2040</v>
      </c>
      <c r="G28" s="15">
        <v>52</v>
      </c>
      <c r="I28" s="17">
        <v>139</v>
      </c>
      <c r="J28">
        <v>2203</v>
      </c>
      <c r="K28">
        <v>3120</v>
      </c>
    </row>
    <row r="29" spans="1:11" x14ac:dyDescent="0.3">
      <c r="A29" s="15">
        <v>100</v>
      </c>
      <c r="B29" s="14" t="s">
        <v>274</v>
      </c>
      <c r="C29" s="14" t="s">
        <v>275</v>
      </c>
      <c r="D29" s="14" t="s">
        <v>220</v>
      </c>
      <c r="E29" s="15">
        <v>12037</v>
      </c>
      <c r="F29" s="15">
        <v>2040</v>
      </c>
      <c r="G29" s="15">
        <v>52</v>
      </c>
      <c r="I29" s="17">
        <v>140</v>
      </c>
      <c r="J29">
        <v>2950</v>
      </c>
      <c r="K29">
        <v>988</v>
      </c>
    </row>
    <row r="30" spans="1:11" x14ac:dyDescent="0.3">
      <c r="A30" s="15">
        <v>100</v>
      </c>
      <c r="B30" s="14" t="s">
        <v>276</v>
      </c>
      <c r="C30" s="14" t="s">
        <v>277</v>
      </c>
      <c r="D30" s="14" t="s">
        <v>220</v>
      </c>
      <c r="E30" s="15">
        <v>20019</v>
      </c>
      <c r="F30" s="15">
        <v>2040</v>
      </c>
      <c r="G30" s="15">
        <v>52</v>
      </c>
      <c r="I30" s="17">
        <v>143</v>
      </c>
      <c r="J30">
        <v>144976</v>
      </c>
      <c r="K30">
        <v>30876</v>
      </c>
    </row>
    <row r="31" spans="1:11" x14ac:dyDescent="0.3">
      <c r="A31" s="15">
        <v>100</v>
      </c>
      <c r="B31" s="14" t="s">
        <v>278</v>
      </c>
      <c r="C31" s="14" t="s">
        <v>279</v>
      </c>
      <c r="D31" s="14" t="s">
        <v>220</v>
      </c>
      <c r="E31" s="15">
        <v>16605</v>
      </c>
      <c r="F31" s="15">
        <v>2040</v>
      </c>
      <c r="G31" s="15">
        <v>52</v>
      </c>
      <c r="I31" s="17">
        <v>150</v>
      </c>
      <c r="J31">
        <v>61420</v>
      </c>
      <c r="K31">
        <v>6192</v>
      </c>
    </row>
    <row r="32" spans="1:11" x14ac:dyDescent="0.3">
      <c r="A32" s="15">
        <v>100</v>
      </c>
      <c r="B32" s="14" t="s">
        <v>280</v>
      </c>
      <c r="C32" s="14" t="s">
        <v>281</v>
      </c>
      <c r="D32" s="14" t="s">
        <v>220</v>
      </c>
      <c r="E32" s="15">
        <v>12729</v>
      </c>
      <c r="F32" s="15">
        <v>2040</v>
      </c>
      <c r="G32" s="15">
        <v>52</v>
      </c>
      <c r="I32" s="17">
        <v>153</v>
      </c>
      <c r="J32">
        <v>2064</v>
      </c>
      <c r="K32">
        <v>1651</v>
      </c>
    </row>
    <row r="33" spans="1:11" x14ac:dyDescent="0.3">
      <c r="A33" s="15">
        <v>100</v>
      </c>
      <c r="B33" s="14" t="s">
        <v>282</v>
      </c>
      <c r="C33" s="14" t="s">
        <v>283</v>
      </c>
      <c r="D33" s="14" t="s">
        <v>220</v>
      </c>
      <c r="E33" s="15">
        <v>10700</v>
      </c>
      <c r="F33" s="15">
        <v>2040</v>
      </c>
      <c r="G33" s="15">
        <v>52</v>
      </c>
      <c r="I33" s="17">
        <v>154</v>
      </c>
      <c r="J33">
        <v>135</v>
      </c>
      <c r="K33">
        <v>624</v>
      </c>
    </row>
    <row r="34" spans="1:11" x14ac:dyDescent="0.3">
      <c r="A34" s="15">
        <v>100</v>
      </c>
      <c r="B34" s="14" t="s">
        <v>284</v>
      </c>
      <c r="C34" s="14" t="s">
        <v>285</v>
      </c>
      <c r="D34" s="14" t="s">
        <v>220</v>
      </c>
      <c r="E34" s="15">
        <v>12025</v>
      </c>
      <c r="F34" s="15">
        <v>2040</v>
      </c>
      <c r="G34" s="15">
        <v>52</v>
      </c>
      <c r="I34" s="17">
        <v>162</v>
      </c>
      <c r="J34">
        <v>12760</v>
      </c>
      <c r="K34">
        <v>4344</v>
      </c>
    </row>
    <row r="35" spans="1:11" x14ac:dyDescent="0.3">
      <c r="A35" s="15">
        <v>109</v>
      </c>
      <c r="B35" s="14" t="s">
        <v>286</v>
      </c>
      <c r="C35" s="14" t="s">
        <v>287</v>
      </c>
      <c r="D35" s="14" t="s">
        <v>220</v>
      </c>
      <c r="E35" s="15">
        <v>21450</v>
      </c>
      <c r="F35" s="15">
        <v>3046</v>
      </c>
      <c r="G35" s="15">
        <v>52</v>
      </c>
      <c r="I35" s="17">
        <v>180</v>
      </c>
      <c r="J35">
        <v>4400</v>
      </c>
      <c r="K35">
        <v>2288</v>
      </c>
    </row>
    <row r="36" spans="1:11" x14ac:dyDescent="0.3">
      <c r="A36" s="15">
        <v>109</v>
      </c>
      <c r="B36" s="14" t="s">
        <v>288</v>
      </c>
      <c r="C36" s="14" t="s">
        <v>289</v>
      </c>
      <c r="D36" s="14" t="s">
        <v>220</v>
      </c>
      <c r="E36" s="15">
        <v>33504</v>
      </c>
      <c r="F36" s="15">
        <v>3338</v>
      </c>
      <c r="G36" s="15">
        <v>52</v>
      </c>
      <c r="I36" s="17">
        <v>181</v>
      </c>
      <c r="J36">
        <v>37273</v>
      </c>
      <c r="K36">
        <v>8957</v>
      </c>
    </row>
    <row r="37" spans="1:11" x14ac:dyDescent="0.3">
      <c r="A37" s="15">
        <v>117</v>
      </c>
      <c r="B37" s="14" t="s">
        <v>290</v>
      </c>
      <c r="C37" s="14" t="s">
        <v>291</v>
      </c>
      <c r="D37" s="14" t="s">
        <v>220</v>
      </c>
      <c r="E37" s="15">
        <v>2400</v>
      </c>
      <c r="F37" s="15">
        <v>1750</v>
      </c>
      <c r="G37" s="15">
        <v>52</v>
      </c>
      <c r="I37" s="17">
        <v>189</v>
      </c>
      <c r="J37">
        <v>581310</v>
      </c>
      <c r="K37">
        <v>76775</v>
      </c>
    </row>
    <row r="38" spans="1:11" x14ac:dyDescent="0.3">
      <c r="A38" s="15">
        <v>117</v>
      </c>
      <c r="B38" s="14" t="s">
        <v>292</v>
      </c>
      <c r="C38" s="14" t="s">
        <v>293</v>
      </c>
      <c r="D38" s="14" t="s">
        <v>220</v>
      </c>
      <c r="E38" s="15">
        <v>2300</v>
      </c>
      <c r="F38" s="15">
        <v>1821</v>
      </c>
      <c r="G38" s="15">
        <v>52</v>
      </c>
      <c r="I38" s="17">
        <v>190</v>
      </c>
      <c r="J38">
        <v>501751</v>
      </c>
      <c r="K38">
        <v>64655</v>
      </c>
    </row>
    <row r="39" spans="1:11" x14ac:dyDescent="0.3">
      <c r="A39" s="15">
        <v>12</v>
      </c>
      <c r="B39" s="14" t="s">
        <v>294</v>
      </c>
      <c r="C39" s="14" t="s">
        <v>295</v>
      </c>
      <c r="D39" s="14" t="s">
        <v>220</v>
      </c>
      <c r="E39" s="15">
        <v>18500</v>
      </c>
      <c r="F39" s="15">
        <v>1896</v>
      </c>
      <c r="G39" s="15">
        <v>52</v>
      </c>
      <c r="I39" s="17">
        <v>198</v>
      </c>
      <c r="J39">
        <v>56700</v>
      </c>
      <c r="K39">
        <v>6656</v>
      </c>
    </row>
    <row r="40" spans="1:11" x14ac:dyDescent="0.3">
      <c r="A40" s="15">
        <v>12</v>
      </c>
      <c r="B40" s="14" t="s">
        <v>296</v>
      </c>
      <c r="C40" s="14" t="s">
        <v>297</v>
      </c>
      <c r="D40" s="14" t="s">
        <v>220</v>
      </c>
      <c r="E40" s="15">
        <v>22000</v>
      </c>
      <c r="F40" s="15">
        <v>2144</v>
      </c>
      <c r="G40" s="15">
        <v>52</v>
      </c>
      <c r="I40" s="17">
        <v>212</v>
      </c>
      <c r="J40">
        <v>9606</v>
      </c>
      <c r="K40">
        <v>1560</v>
      </c>
    </row>
    <row r="41" spans="1:11" x14ac:dyDescent="0.3">
      <c r="A41" s="15">
        <v>12</v>
      </c>
      <c r="B41" s="14" t="s">
        <v>298</v>
      </c>
      <c r="C41" s="14" t="s">
        <v>299</v>
      </c>
      <c r="D41" s="14" t="s">
        <v>220</v>
      </c>
      <c r="E41" s="15">
        <v>12035</v>
      </c>
      <c r="F41" s="15">
        <v>1896</v>
      </c>
      <c r="G41" s="15">
        <v>52</v>
      </c>
      <c r="I41" s="17">
        <v>213</v>
      </c>
      <c r="J41">
        <v>1795</v>
      </c>
      <c r="K41">
        <v>1296</v>
      </c>
    </row>
    <row r="42" spans="1:11" x14ac:dyDescent="0.3">
      <c r="A42" s="15">
        <v>12</v>
      </c>
      <c r="B42" s="14" t="s">
        <v>300</v>
      </c>
      <c r="C42" s="14" t="s">
        <v>301</v>
      </c>
      <c r="D42" s="14" t="s">
        <v>220</v>
      </c>
      <c r="E42" s="15">
        <v>8930</v>
      </c>
      <c r="F42" s="15">
        <v>2106</v>
      </c>
      <c r="G42" s="15">
        <v>52</v>
      </c>
      <c r="I42" s="17">
        <v>215</v>
      </c>
      <c r="J42">
        <v>9800</v>
      </c>
      <c r="K42">
        <v>2598</v>
      </c>
    </row>
    <row r="43" spans="1:11" x14ac:dyDescent="0.3">
      <c r="A43" s="15">
        <v>12</v>
      </c>
      <c r="B43" s="14" t="s">
        <v>302</v>
      </c>
      <c r="C43" s="14" t="s">
        <v>303</v>
      </c>
      <c r="D43" s="14" t="s">
        <v>220</v>
      </c>
      <c r="E43" s="15">
        <v>9750</v>
      </c>
      <c r="F43" s="15">
        <v>2106</v>
      </c>
      <c r="G43" s="15">
        <v>52</v>
      </c>
      <c r="I43" s="17">
        <v>228</v>
      </c>
      <c r="J43">
        <v>29549</v>
      </c>
      <c r="K43">
        <v>6816</v>
      </c>
    </row>
    <row r="44" spans="1:11" x14ac:dyDescent="0.3">
      <c r="A44" s="15">
        <v>12</v>
      </c>
      <c r="B44" s="14" t="s">
        <v>304</v>
      </c>
      <c r="C44" s="14" t="s">
        <v>305</v>
      </c>
      <c r="D44" s="14" t="s">
        <v>220</v>
      </c>
      <c r="E44" s="15">
        <v>21000</v>
      </c>
      <c r="F44" s="15">
        <v>2638</v>
      </c>
      <c r="G44" s="15">
        <v>52</v>
      </c>
      <c r="I44" s="17">
        <v>231</v>
      </c>
      <c r="J44">
        <v>1287</v>
      </c>
      <c r="K44">
        <v>1912</v>
      </c>
    </row>
    <row r="45" spans="1:11" x14ac:dyDescent="0.3">
      <c r="A45" s="15">
        <v>12</v>
      </c>
      <c r="B45" s="14" t="s">
        <v>306</v>
      </c>
      <c r="C45" s="14" t="s">
        <v>307</v>
      </c>
      <c r="D45" s="14" t="s">
        <v>220</v>
      </c>
      <c r="E45" s="15">
        <v>3000</v>
      </c>
      <c r="F45" s="15">
        <v>2498</v>
      </c>
      <c r="G45" s="15">
        <v>52</v>
      </c>
      <c r="I45" s="17">
        <v>236</v>
      </c>
      <c r="J45">
        <v>12633</v>
      </c>
      <c r="K45">
        <v>4235</v>
      </c>
    </row>
    <row r="46" spans="1:11" x14ac:dyDescent="0.3">
      <c r="A46" s="15">
        <v>12</v>
      </c>
      <c r="B46" s="14" t="s">
        <v>308</v>
      </c>
      <c r="C46" s="14" t="s">
        <v>309</v>
      </c>
      <c r="D46" s="14" t="s">
        <v>220</v>
      </c>
      <c r="E46" s="15">
        <v>20000</v>
      </c>
      <c r="F46" s="15">
        <v>2898</v>
      </c>
      <c r="G46" s="15">
        <v>52</v>
      </c>
      <c r="I46" s="17">
        <v>238</v>
      </c>
      <c r="J46">
        <v>500</v>
      </c>
      <c r="K46">
        <v>1005</v>
      </c>
    </row>
    <row r="47" spans="1:11" x14ac:dyDescent="0.3">
      <c r="A47" s="15">
        <v>12</v>
      </c>
      <c r="B47" s="14" t="s">
        <v>310</v>
      </c>
      <c r="C47" s="14" t="s">
        <v>311</v>
      </c>
      <c r="D47" s="14" t="s">
        <v>220</v>
      </c>
      <c r="E47" s="15">
        <v>4000</v>
      </c>
      <c r="F47" s="15">
        <v>2122</v>
      </c>
      <c r="G47" s="15">
        <v>52</v>
      </c>
      <c r="I47" s="17">
        <v>240</v>
      </c>
      <c r="J47">
        <v>33482</v>
      </c>
      <c r="K47">
        <v>8181</v>
      </c>
    </row>
    <row r="48" spans="1:11" x14ac:dyDescent="0.3">
      <c r="A48" s="15">
        <v>12</v>
      </c>
      <c r="B48" s="14" t="s">
        <v>312</v>
      </c>
      <c r="C48" s="14" t="s">
        <v>313</v>
      </c>
      <c r="D48" s="14" t="s">
        <v>220</v>
      </c>
      <c r="E48" s="15">
        <v>5000</v>
      </c>
      <c r="F48" s="15">
        <v>2107</v>
      </c>
      <c r="G48" s="15">
        <v>52</v>
      </c>
      <c r="I48" s="17">
        <v>254</v>
      </c>
      <c r="J48">
        <v>22000</v>
      </c>
      <c r="K48">
        <v>6644</v>
      </c>
    </row>
    <row r="49" spans="1:11" x14ac:dyDescent="0.3">
      <c r="A49" s="15">
        <v>12</v>
      </c>
      <c r="B49" s="14" t="s">
        <v>314</v>
      </c>
      <c r="C49" s="14" t="s">
        <v>315</v>
      </c>
      <c r="D49" s="14" t="s">
        <v>220</v>
      </c>
      <c r="E49" s="15">
        <v>1600</v>
      </c>
      <c r="F49" s="15">
        <v>1829</v>
      </c>
      <c r="G49" s="15">
        <v>52</v>
      </c>
      <c r="I49" s="17">
        <v>256</v>
      </c>
      <c r="J49">
        <v>20000</v>
      </c>
      <c r="K49">
        <v>3136</v>
      </c>
    </row>
    <row r="50" spans="1:11" x14ac:dyDescent="0.3">
      <c r="A50" s="15">
        <v>12</v>
      </c>
      <c r="B50" s="14" t="s">
        <v>316</v>
      </c>
      <c r="C50" s="14" t="s">
        <v>317</v>
      </c>
      <c r="D50" s="14" t="s">
        <v>220</v>
      </c>
      <c r="E50" s="15">
        <v>10000</v>
      </c>
      <c r="F50" s="15">
        <v>2295</v>
      </c>
      <c r="G50" s="15">
        <v>52</v>
      </c>
      <c r="I50" s="17">
        <v>262</v>
      </c>
      <c r="J50">
        <v>10000</v>
      </c>
      <c r="K50">
        <v>2730</v>
      </c>
    </row>
    <row r="51" spans="1:11" x14ac:dyDescent="0.3">
      <c r="A51" s="15">
        <v>120</v>
      </c>
      <c r="B51" s="14" t="s">
        <v>318</v>
      </c>
      <c r="C51" s="14" t="s">
        <v>319</v>
      </c>
      <c r="D51" s="14" t="s">
        <v>220</v>
      </c>
      <c r="E51" s="15">
        <v>4034</v>
      </c>
      <c r="F51" s="15">
        <v>2376</v>
      </c>
      <c r="G51" s="15">
        <v>52</v>
      </c>
      <c r="I51" s="17">
        <v>264</v>
      </c>
      <c r="J51">
        <v>32956</v>
      </c>
      <c r="K51">
        <v>3000</v>
      </c>
    </row>
    <row r="52" spans="1:11" x14ac:dyDescent="0.3">
      <c r="A52" s="15">
        <v>125</v>
      </c>
      <c r="B52" s="14" t="s">
        <v>320</v>
      </c>
      <c r="C52" s="14" t="s">
        <v>321</v>
      </c>
      <c r="D52" s="14" t="s">
        <v>220</v>
      </c>
      <c r="E52" s="15">
        <v>15126</v>
      </c>
      <c r="F52" s="15">
        <v>2496</v>
      </c>
      <c r="G52" s="15">
        <v>52</v>
      </c>
      <c r="I52" s="17">
        <v>266</v>
      </c>
      <c r="J52">
        <v>0</v>
      </c>
      <c r="K52">
        <v>212</v>
      </c>
    </row>
    <row r="53" spans="1:11" x14ac:dyDescent="0.3">
      <c r="A53" s="15">
        <v>125</v>
      </c>
      <c r="B53" s="14" t="s">
        <v>322</v>
      </c>
      <c r="C53" s="14" t="s">
        <v>323</v>
      </c>
      <c r="D53" s="14" t="s">
        <v>220</v>
      </c>
      <c r="E53" s="15">
        <v>15000</v>
      </c>
      <c r="F53" s="15">
        <v>2496</v>
      </c>
      <c r="G53" s="15">
        <v>52</v>
      </c>
      <c r="I53" s="17">
        <v>269</v>
      </c>
      <c r="J53">
        <v>2510</v>
      </c>
      <c r="K53">
        <v>3123</v>
      </c>
    </row>
    <row r="54" spans="1:11" x14ac:dyDescent="0.3">
      <c r="A54" s="15">
        <v>125</v>
      </c>
      <c r="B54" s="14" t="s">
        <v>324</v>
      </c>
      <c r="C54" s="14" t="s">
        <v>325</v>
      </c>
      <c r="D54" s="14" t="s">
        <v>220</v>
      </c>
      <c r="E54" s="15">
        <v>9700</v>
      </c>
      <c r="F54" s="15">
        <v>2496</v>
      </c>
      <c r="G54" s="15">
        <v>52</v>
      </c>
      <c r="I54" s="17">
        <v>283</v>
      </c>
      <c r="J54">
        <v>805</v>
      </c>
      <c r="K54">
        <v>1000</v>
      </c>
    </row>
    <row r="55" spans="1:11" x14ac:dyDescent="0.3">
      <c r="A55" s="15">
        <v>125</v>
      </c>
      <c r="B55" s="14" t="s">
        <v>326</v>
      </c>
      <c r="C55" s="14" t="s">
        <v>327</v>
      </c>
      <c r="D55" s="14" t="s">
        <v>220</v>
      </c>
      <c r="E55" s="15">
        <v>8107</v>
      </c>
      <c r="F55" s="15">
        <v>2496</v>
      </c>
      <c r="G55" s="15">
        <v>52</v>
      </c>
      <c r="I55" s="17">
        <v>284</v>
      </c>
      <c r="J55">
        <v>736</v>
      </c>
      <c r="K55">
        <v>1378</v>
      </c>
    </row>
    <row r="56" spans="1:11" x14ac:dyDescent="0.3">
      <c r="A56" s="15">
        <v>125</v>
      </c>
      <c r="B56" s="14" t="s">
        <v>328</v>
      </c>
      <c r="C56" s="14" t="s">
        <v>329</v>
      </c>
      <c r="D56" s="14" t="s">
        <v>220</v>
      </c>
      <c r="E56" s="15">
        <v>15500</v>
      </c>
      <c r="F56" s="15">
        <v>2496</v>
      </c>
      <c r="G56" s="15">
        <v>52</v>
      </c>
      <c r="I56" s="17">
        <v>295</v>
      </c>
      <c r="J56">
        <v>1099</v>
      </c>
      <c r="K56">
        <v>1030</v>
      </c>
    </row>
    <row r="57" spans="1:11" x14ac:dyDescent="0.3">
      <c r="A57" s="15">
        <v>125</v>
      </c>
      <c r="B57" s="14" t="s">
        <v>330</v>
      </c>
      <c r="C57" s="14" t="s">
        <v>331</v>
      </c>
      <c r="D57" s="14" t="s">
        <v>227</v>
      </c>
      <c r="E57" s="15">
        <v>312</v>
      </c>
      <c r="F57" s="15">
        <v>891</v>
      </c>
      <c r="G57" s="15">
        <v>52</v>
      </c>
      <c r="I57" s="17">
        <v>298</v>
      </c>
      <c r="J57">
        <v>5644</v>
      </c>
      <c r="K57">
        <v>2856</v>
      </c>
    </row>
    <row r="58" spans="1:11" x14ac:dyDescent="0.3">
      <c r="A58" s="15">
        <v>125</v>
      </c>
      <c r="B58" s="14" t="s">
        <v>332</v>
      </c>
      <c r="C58" s="14" t="s">
        <v>333</v>
      </c>
      <c r="D58" s="14" t="s">
        <v>220</v>
      </c>
      <c r="E58" s="15">
        <v>10000</v>
      </c>
      <c r="F58" s="15">
        <v>2496</v>
      </c>
      <c r="G58" s="15">
        <v>52</v>
      </c>
      <c r="I58" s="17">
        <v>300</v>
      </c>
      <c r="J58">
        <v>10300</v>
      </c>
      <c r="K58">
        <v>2416</v>
      </c>
    </row>
    <row r="59" spans="1:11" x14ac:dyDescent="0.3">
      <c r="A59" s="15">
        <v>125</v>
      </c>
      <c r="B59" s="14" t="s">
        <v>334</v>
      </c>
      <c r="C59" s="14" t="s">
        <v>335</v>
      </c>
      <c r="D59" s="14" t="s">
        <v>220</v>
      </c>
      <c r="E59" s="15">
        <v>10358</v>
      </c>
      <c r="F59" s="15">
        <v>3402</v>
      </c>
      <c r="G59" s="15">
        <v>49</v>
      </c>
      <c r="I59" s="17">
        <v>311</v>
      </c>
      <c r="J59">
        <v>120000</v>
      </c>
      <c r="K59">
        <v>13562</v>
      </c>
    </row>
    <row r="60" spans="1:11" x14ac:dyDescent="0.3">
      <c r="A60" s="15">
        <v>125</v>
      </c>
      <c r="B60" s="14" t="s">
        <v>336</v>
      </c>
      <c r="C60" s="14" t="s">
        <v>337</v>
      </c>
      <c r="D60" s="14" t="s">
        <v>220</v>
      </c>
      <c r="E60" s="15">
        <v>22000</v>
      </c>
      <c r="F60" s="15">
        <v>2496</v>
      </c>
      <c r="G60" s="15">
        <v>52</v>
      </c>
      <c r="I60" s="17">
        <v>315</v>
      </c>
      <c r="J60">
        <v>500</v>
      </c>
      <c r="K60">
        <v>877</v>
      </c>
    </row>
    <row r="61" spans="1:11" x14ac:dyDescent="0.3">
      <c r="A61" s="15">
        <v>125</v>
      </c>
      <c r="B61" s="14" t="s">
        <v>338</v>
      </c>
      <c r="C61" s="14" t="s">
        <v>339</v>
      </c>
      <c r="D61" s="14" t="s">
        <v>220</v>
      </c>
      <c r="E61" s="15">
        <v>24665</v>
      </c>
      <c r="F61" s="15">
        <v>2496</v>
      </c>
      <c r="G61" s="15">
        <v>52</v>
      </c>
      <c r="I61" s="17">
        <v>316</v>
      </c>
      <c r="J61">
        <v>13213</v>
      </c>
      <c r="K61">
        <v>4601</v>
      </c>
    </row>
    <row r="62" spans="1:11" x14ac:dyDescent="0.3">
      <c r="A62" s="15">
        <v>125</v>
      </c>
      <c r="B62" s="14" t="s">
        <v>340</v>
      </c>
      <c r="C62" s="14" t="s">
        <v>341</v>
      </c>
      <c r="D62" s="14" t="s">
        <v>220</v>
      </c>
      <c r="E62" s="15">
        <v>9200</v>
      </c>
      <c r="F62" s="15">
        <v>2496</v>
      </c>
      <c r="G62" s="15">
        <v>52</v>
      </c>
      <c r="I62" s="17">
        <v>324</v>
      </c>
      <c r="J62">
        <v>888</v>
      </c>
      <c r="K62">
        <v>714</v>
      </c>
    </row>
    <row r="63" spans="1:11" x14ac:dyDescent="0.3">
      <c r="A63" s="15">
        <v>125</v>
      </c>
      <c r="B63" s="14" t="s">
        <v>342</v>
      </c>
      <c r="C63" s="14" t="s">
        <v>343</v>
      </c>
      <c r="D63" s="14" t="s">
        <v>220</v>
      </c>
      <c r="E63" s="15">
        <v>12352</v>
      </c>
      <c r="F63" s="15">
        <v>2496</v>
      </c>
      <c r="G63" s="15">
        <v>52</v>
      </c>
      <c r="I63" s="17">
        <v>329</v>
      </c>
      <c r="J63">
        <v>278097</v>
      </c>
      <c r="K63">
        <v>27544</v>
      </c>
    </row>
    <row r="64" spans="1:11" x14ac:dyDescent="0.3">
      <c r="A64" s="15">
        <v>125</v>
      </c>
      <c r="B64" s="14" t="s">
        <v>344</v>
      </c>
      <c r="C64" s="14" t="s">
        <v>345</v>
      </c>
      <c r="D64" s="14" t="s">
        <v>220</v>
      </c>
      <c r="E64" s="15">
        <v>20200</v>
      </c>
      <c r="F64" s="15">
        <v>2496</v>
      </c>
      <c r="G64" s="15">
        <v>52</v>
      </c>
      <c r="I64" s="17">
        <v>334</v>
      </c>
      <c r="J64">
        <v>1424</v>
      </c>
      <c r="K64">
        <v>917</v>
      </c>
    </row>
    <row r="65" spans="1:11" x14ac:dyDescent="0.3">
      <c r="A65" s="15">
        <v>139</v>
      </c>
      <c r="B65" s="14" t="s">
        <v>346</v>
      </c>
      <c r="C65" s="14" t="s">
        <v>347</v>
      </c>
      <c r="D65" s="14" t="s">
        <v>220</v>
      </c>
      <c r="E65" s="15">
        <v>2100</v>
      </c>
      <c r="F65" s="15">
        <v>2080</v>
      </c>
      <c r="G65" s="15">
        <v>52</v>
      </c>
      <c r="I65" s="17">
        <v>343</v>
      </c>
      <c r="J65">
        <v>7776</v>
      </c>
      <c r="K65">
        <v>3616</v>
      </c>
    </row>
    <row r="66" spans="1:11" x14ac:dyDescent="0.3">
      <c r="A66" s="15">
        <v>139</v>
      </c>
      <c r="B66" s="14" t="s">
        <v>348</v>
      </c>
      <c r="C66" s="14" t="s">
        <v>349</v>
      </c>
      <c r="D66" s="14" t="s">
        <v>220</v>
      </c>
      <c r="E66" s="15">
        <v>103</v>
      </c>
      <c r="F66" s="15">
        <v>1040</v>
      </c>
      <c r="G66" s="15">
        <v>52</v>
      </c>
      <c r="I66" s="17">
        <v>344</v>
      </c>
      <c r="J66">
        <v>324951</v>
      </c>
      <c r="K66">
        <v>75358</v>
      </c>
    </row>
    <row r="67" spans="1:11" x14ac:dyDescent="0.3">
      <c r="A67" s="15">
        <v>140</v>
      </c>
      <c r="B67" s="14" t="s">
        <v>350</v>
      </c>
      <c r="C67" s="14" t="s">
        <v>351</v>
      </c>
      <c r="D67" s="14" t="s">
        <v>220</v>
      </c>
      <c r="E67" s="15">
        <v>2950</v>
      </c>
      <c r="F67" s="15">
        <v>988</v>
      </c>
      <c r="G67" s="15">
        <v>52</v>
      </c>
      <c r="I67" s="17">
        <v>357</v>
      </c>
      <c r="J67">
        <v>890</v>
      </c>
      <c r="K67">
        <v>1946</v>
      </c>
    </row>
    <row r="68" spans="1:11" x14ac:dyDescent="0.3">
      <c r="A68" s="15">
        <v>143</v>
      </c>
      <c r="B68" s="14" t="s">
        <v>352</v>
      </c>
      <c r="C68" s="14" t="s">
        <v>353</v>
      </c>
      <c r="D68" s="14" t="s">
        <v>220</v>
      </c>
      <c r="E68" s="15">
        <v>7527</v>
      </c>
      <c r="F68" s="15">
        <v>2032</v>
      </c>
      <c r="G68" s="15">
        <v>52</v>
      </c>
      <c r="I68" s="17">
        <v>384</v>
      </c>
      <c r="J68">
        <v>0</v>
      </c>
      <c r="K68">
        <v>420</v>
      </c>
    </row>
    <row r="69" spans="1:11" x14ac:dyDescent="0.3">
      <c r="A69" s="15">
        <v>143</v>
      </c>
      <c r="B69" s="14" t="s">
        <v>354</v>
      </c>
      <c r="C69" s="14" t="s">
        <v>355</v>
      </c>
      <c r="D69" s="14" t="s">
        <v>220</v>
      </c>
      <c r="E69" s="15">
        <v>5045</v>
      </c>
      <c r="F69" s="15">
        <v>2016</v>
      </c>
      <c r="G69" s="15">
        <v>52</v>
      </c>
      <c r="I69" s="17">
        <v>398</v>
      </c>
      <c r="J69">
        <v>50493</v>
      </c>
      <c r="K69">
        <v>8046</v>
      </c>
    </row>
    <row r="70" spans="1:11" x14ac:dyDescent="0.3">
      <c r="A70" s="15">
        <v>143</v>
      </c>
      <c r="B70" s="14" t="s">
        <v>356</v>
      </c>
      <c r="C70" s="14" t="s">
        <v>357</v>
      </c>
      <c r="D70" s="14" t="s">
        <v>220</v>
      </c>
      <c r="E70" s="15">
        <v>7072</v>
      </c>
      <c r="F70" s="15">
        <v>2016</v>
      </c>
      <c r="G70" s="15">
        <v>52</v>
      </c>
      <c r="I70" s="17">
        <v>400</v>
      </c>
      <c r="J70">
        <v>3325</v>
      </c>
      <c r="K70">
        <v>2974</v>
      </c>
    </row>
    <row r="71" spans="1:11" x14ac:dyDescent="0.3">
      <c r="A71" s="15">
        <v>143</v>
      </c>
      <c r="B71" s="14" t="s">
        <v>358</v>
      </c>
      <c r="C71" s="14" t="s">
        <v>359</v>
      </c>
      <c r="D71" s="14" t="s">
        <v>220</v>
      </c>
      <c r="E71" s="15">
        <v>9585</v>
      </c>
      <c r="F71" s="15">
        <v>2016</v>
      </c>
      <c r="G71" s="15">
        <v>43</v>
      </c>
      <c r="I71" s="17">
        <v>408</v>
      </c>
      <c r="J71">
        <v>20976</v>
      </c>
      <c r="K71">
        <v>4152</v>
      </c>
    </row>
    <row r="72" spans="1:11" x14ac:dyDescent="0.3">
      <c r="A72" s="15">
        <v>143</v>
      </c>
      <c r="B72" s="14" t="s">
        <v>360</v>
      </c>
      <c r="C72" s="14" t="s">
        <v>361</v>
      </c>
      <c r="D72" s="14" t="s">
        <v>220</v>
      </c>
      <c r="E72" s="15">
        <v>6313</v>
      </c>
      <c r="F72" s="15">
        <v>2016</v>
      </c>
      <c r="G72" s="15">
        <v>52</v>
      </c>
      <c r="I72" s="17">
        <v>432</v>
      </c>
      <c r="J72">
        <v>1680</v>
      </c>
      <c r="K72">
        <v>332</v>
      </c>
    </row>
    <row r="73" spans="1:11" x14ac:dyDescent="0.3">
      <c r="A73" s="15">
        <v>143</v>
      </c>
      <c r="B73" s="14" t="s">
        <v>362</v>
      </c>
      <c r="C73" s="14" t="s">
        <v>363</v>
      </c>
      <c r="D73" s="14" t="s">
        <v>220</v>
      </c>
      <c r="E73" s="15">
        <v>6834</v>
      </c>
      <c r="F73" s="15">
        <v>2032</v>
      </c>
      <c r="G73" s="15">
        <v>52</v>
      </c>
      <c r="I73" s="17">
        <v>452</v>
      </c>
      <c r="J73">
        <v>14229</v>
      </c>
      <c r="K73">
        <v>2834</v>
      </c>
    </row>
    <row r="74" spans="1:11" x14ac:dyDescent="0.3">
      <c r="A74" s="15">
        <v>143</v>
      </c>
      <c r="B74" s="14" t="s">
        <v>364</v>
      </c>
      <c r="C74" s="14" t="s">
        <v>365</v>
      </c>
      <c r="D74" s="14" t="s">
        <v>220</v>
      </c>
      <c r="E74" s="15">
        <v>13445</v>
      </c>
      <c r="F74" s="15">
        <v>2016</v>
      </c>
      <c r="G74" s="15">
        <v>52</v>
      </c>
      <c r="I74" s="17">
        <v>502</v>
      </c>
      <c r="J74">
        <v>3581</v>
      </c>
      <c r="K74">
        <v>1932</v>
      </c>
    </row>
    <row r="75" spans="1:11" x14ac:dyDescent="0.3">
      <c r="A75" s="15">
        <v>143</v>
      </c>
      <c r="B75" s="14" t="s">
        <v>366</v>
      </c>
      <c r="C75" s="14" t="s">
        <v>367</v>
      </c>
      <c r="D75" s="14" t="s">
        <v>220</v>
      </c>
      <c r="E75" s="15">
        <v>25661</v>
      </c>
      <c r="F75" s="15">
        <v>2032</v>
      </c>
      <c r="G75" s="15">
        <v>52</v>
      </c>
      <c r="I75" s="17">
        <v>517</v>
      </c>
      <c r="J75">
        <v>3000</v>
      </c>
      <c r="K75">
        <v>2930</v>
      </c>
    </row>
    <row r="76" spans="1:11" x14ac:dyDescent="0.3">
      <c r="A76" s="15">
        <v>143</v>
      </c>
      <c r="B76" s="14" t="s">
        <v>368</v>
      </c>
      <c r="C76" s="14" t="s">
        <v>369</v>
      </c>
      <c r="D76" s="14" t="s">
        <v>220</v>
      </c>
      <c r="E76" s="15">
        <v>4962</v>
      </c>
      <c r="F76" s="15">
        <v>2016</v>
      </c>
      <c r="G76" s="15">
        <v>52</v>
      </c>
      <c r="I76" s="17">
        <v>552</v>
      </c>
      <c r="J76">
        <v>1468</v>
      </c>
      <c r="K76">
        <v>2193</v>
      </c>
    </row>
    <row r="77" spans="1:11" x14ac:dyDescent="0.3">
      <c r="A77" s="15">
        <v>143</v>
      </c>
      <c r="B77" s="14" t="s">
        <v>370</v>
      </c>
      <c r="C77" s="14" t="s">
        <v>371</v>
      </c>
      <c r="D77" s="14" t="s">
        <v>220</v>
      </c>
      <c r="E77" s="15">
        <v>8121</v>
      </c>
      <c r="F77" s="15">
        <v>2032</v>
      </c>
      <c r="G77" s="15">
        <v>52</v>
      </c>
      <c r="I77" s="17">
        <v>649</v>
      </c>
      <c r="J77">
        <v>170</v>
      </c>
      <c r="K77">
        <v>800</v>
      </c>
    </row>
    <row r="78" spans="1:11" x14ac:dyDescent="0.3">
      <c r="A78" s="15">
        <v>143</v>
      </c>
      <c r="B78" s="14" t="s">
        <v>372</v>
      </c>
      <c r="C78" s="14" t="s">
        <v>373</v>
      </c>
      <c r="D78" s="14" t="s">
        <v>220</v>
      </c>
      <c r="E78" s="15">
        <v>915</v>
      </c>
      <c r="F78" s="15">
        <v>2286</v>
      </c>
      <c r="G78" s="15">
        <v>52</v>
      </c>
      <c r="I78" s="17" t="s">
        <v>881</v>
      </c>
      <c r="J78">
        <v>4053067</v>
      </c>
      <c r="K78">
        <v>721873</v>
      </c>
    </row>
    <row r="79" spans="1:11" x14ac:dyDescent="0.3">
      <c r="A79" s="15">
        <v>143</v>
      </c>
      <c r="B79" s="14" t="s">
        <v>374</v>
      </c>
      <c r="C79" s="14" t="s">
        <v>375</v>
      </c>
      <c r="D79" s="14" t="s">
        <v>220</v>
      </c>
      <c r="E79" s="15">
        <v>23990</v>
      </c>
      <c r="F79" s="15">
        <v>2032</v>
      </c>
      <c r="G79" s="15">
        <v>52</v>
      </c>
    </row>
    <row r="80" spans="1:11" x14ac:dyDescent="0.3">
      <c r="A80" s="15">
        <v>143</v>
      </c>
      <c r="B80" s="14" t="s">
        <v>376</v>
      </c>
      <c r="C80" s="14" t="s">
        <v>377</v>
      </c>
      <c r="D80" s="14" t="s">
        <v>220</v>
      </c>
      <c r="E80" s="15">
        <v>1400</v>
      </c>
      <c r="F80" s="15">
        <v>2286</v>
      </c>
      <c r="G80" s="15">
        <v>52</v>
      </c>
    </row>
    <row r="81" spans="1:7" x14ac:dyDescent="0.3">
      <c r="A81" s="15">
        <v>143</v>
      </c>
      <c r="B81" s="14" t="s">
        <v>378</v>
      </c>
      <c r="C81" s="14" t="s">
        <v>379</v>
      </c>
      <c r="D81" s="14" t="s">
        <v>220</v>
      </c>
      <c r="E81" s="15">
        <v>11068</v>
      </c>
      <c r="F81" s="15">
        <v>2032</v>
      </c>
      <c r="G81" s="15">
        <v>52</v>
      </c>
    </row>
    <row r="82" spans="1:7" x14ac:dyDescent="0.3">
      <c r="A82" s="15">
        <v>143</v>
      </c>
      <c r="B82" s="14" t="s">
        <v>380</v>
      </c>
      <c r="C82" s="14" t="s">
        <v>381</v>
      </c>
      <c r="D82" s="14" t="s">
        <v>220</v>
      </c>
      <c r="E82" s="15">
        <v>13038</v>
      </c>
      <c r="F82" s="15">
        <v>2016</v>
      </c>
      <c r="G82" s="15">
        <v>52</v>
      </c>
    </row>
    <row r="83" spans="1:7" x14ac:dyDescent="0.3">
      <c r="A83" s="15">
        <v>150</v>
      </c>
      <c r="B83" s="14" t="s">
        <v>382</v>
      </c>
      <c r="C83" s="14" t="s">
        <v>383</v>
      </c>
      <c r="D83" s="14" t="s">
        <v>220</v>
      </c>
      <c r="E83" s="15">
        <v>8000</v>
      </c>
      <c r="F83" s="15">
        <v>2064</v>
      </c>
      <c r="G83" s="15">
        <v>52</v>
      </c>
    </row>
    <row r="84" spans="1:7" x14ac:dyDescent="0.3">
      <c r="A84" s="15">
        <v>150</v>
      </c>
      <c r="B84" s="14" t="s">
        <v>384</v>
      </c>
      <c r="C84" s="14" t="s">
        <v>385</v>
      </c>
      <c r="D84" s="14" t="s">
        <v>220</v>
      </c>
      <c r="E84" s="15">
        <v>16500</v>
      </c>
      <c r="F84" s="15">
        <v>2064</v>
      </c>
      <c r="G84" s="15">
        <v>52</v>
      </c>
    </row>
    <row r="85" spans="1:7" x14ac:dyDescent="0.3">
      <c r="A85" s="15">
        <v>150</v>
      </c>
      <c r="B85" s="14" t="s">
        <v>386</v>
      </c>
      <c r="C85" s="14" t="s">
        <v>387</v>
      </c>
      <c r="D85" s="14" t="s">
        <v>220</v>
      </c>
      <c r="E85" s="15">
        <v>36920</v>
      </c>
      <c r="F85" s="15">
        <v>2064</v>
      </c>
      <c r="G85" s="15">
        <v>52</v>
      </c>
    </row>
    <row r="86" spans="1:7" x14ac:dyDescent="0.3">
      <c r="A86" s="15">
        <v>153</v>
      </c>
      <c r="B86" s="14" t="s">
        <v>388</v>
      </c>
      <c r="C86" s="14" t="s">
        <v>389</v>
      </c>
      <c r="D86" s="14" t="s">
        <v>220</v>
      </c>
      <c r="E86" s="15">
        <v>2064</v>
      </c>
      <c r="F86" s="15">
        <v>1651</v>
      </c>
      <c r="G86" s="15">
        <v>52</v>
      </c>
    </row>
    <row r="87" spans="1:7" x14ac:dyDescent="0.3">
      <c r="A87" s="15">
        <v>154</v>
      </c>
      <c r="B87" s="14" t="s">
        <v>390</v>
      </c>
      <c r="C87" s="14" t="s">
        <v>391</v>
      </c>
      <c r="D87" s="14" t="s">
        <v>227</v>
      </c>
      <c r="E87" s="15">
        <v>135</v>
      </c>
      <c r="F87" s="15">
        <v>624</v>
      </c>
      <c r="G87" s="15">
        <v>49</v>
      </c>
    </row>
    <row r="88" spans="1:7" x14ac:dyDescent="0.3">
      <c r="A88" s="15">
        <v>16</v>
      </c>
      <c r="B88" s="14" t="s">
        <v>392</v>
      </c>
      <c r="C88" s="14" t="s">
        <v>393</v>
      </c>
      <c r="D88" s="14" t="s">
        <v>220</v>
      </c>
      <c r="E88" s="15">
        <v>10000</v>
      </c>
      <c r="F88" s="15">
        <v>2808</v>
      </c>
      <c r="G88" s="15">
        <v>52</v>
      </c>
    </row>
    <row r="89" spans="1:7" x14ac:dyDescent="0.3">
      <c r="A89" s="15">
        <v>16</v>
      </c>
      <c r="B89" s="14" t="s">
        <v>394</v>
      </c>
      <c r="C89" s="14" t="s">
        <v>395</v>
      </c>
      <c r="D89" s="14" t="s">
        <v>220</v>
      </c>
      <c r="E89" s="15">
        <v>10000</v>
      </c>
      <c r="F89" s="15">
        <v>2808</v>
      </c>
      <c r="G89" s="15">
        <v>52</v>
      </c>
    </row>
    <row r="90" spans="1:7" x14ac:dyDescent="0.3">
      <c r="A90" s="15">
        <v>16</v>
      </c>
      <c r="B90" s="14" t="s">
        <v>396</v>
      </c>
      <c r="C90" s="14" t="s">
        <v>397</v>
      </c>
      <c r="D90" s="14" t="s">
        <v>220</v>
      </c>
      <c r="E90" s="15">
        <v>8100</v>
      </c>
      <c r="F90" s="15">
        <v>2808</v>
      </c>
      <c r="G90" s="15">
        <v>52</v>
      </c>
    </row>
    <row r="91" spans="1:7" x14ac:dyDescent="0.3">
      <c r="A91" s="15">
        <v>16</v>
      </c>
      <c r="B91" s="14" t="s">
        <v>398</v>
      </c>
      <c r="C91" s="14" t="s">
        <v>399</v>
      </c>
      <c r="D91" s="14" t="s">
        <v>220</v>
      </c>
      <c r="E91" s="15">
        <v>10000</v>
      </c>
      <c r="F91" s="15">
        <v>2808</v>
      </c>
      <c r="G91" s="15">
        <v>52</v>
      </c>
    </row>
    <row r="92" spans="1:7" x14ac:dyDescent="0.3">
      <c r="A92" s="15">
        <v>16</v>
      </c>
      <c r="B92" s="14" t="s">
        <v>400</v>
      </c>
      <c r="C92" s="14" t="s">
        <v>401</v>
      </c>
      <c r="D92" s="14" t="s">
        <v>220</v>
      </c>
      <c r="E92" s="15">
        <v>15000</v>
      </c>
      <c r="F92" s="15">
        <v>2840</v>
      </c>
      <c r="G92" s="15">
        <v>52</v>
      </c>
    </row>
    <row r="93" spans="1:7" x14ac:dyDescent="0.3">
      <c r="A93" s="15">
        <v>16</v>
      </c>
      <c r="B93" s="14" t="s">
        <v>402</v>
      </c>
      <c r="C93" s="14" t="s">
        <v>403</v>
      </c>
      <c r="D93" s="14" t="s">
        <v>220</v>
      </c>
      <c r="E93" s="15">
        <v>11200</v>
      </c>
      <c r="F93" s="15">
        <v>2808</v>
      </c>
      <c r="G93" s="15">
        <v>52</v>
      </c>
    </row>
    <row r="94" spans="1:7" x14ac:dyDescent="0.3">
      <c r="A94" s="15">
        <v>162</v>
      </c>
      <c r="B94" s="14" t="s">
        <v>404</v>
      </c>
      <c r="C94" s="14" t="s">
        <v>405</v>
      </c>
      <c r="D94" s="14" t="s">
        <v>220</v>
      </c>
      <c r="E94" s="15">
        <v>10000</v>
      </c>
      <c r="F94" s="15">
        <v>2316</v>
      </c>
      <c r="G94" s="15">
        <v>52</v>
      </c>
    </row>
    <row r="95" spans="1:7" x14ac:dyDescent="0.3">
      <c r="A95" s="15">
        <v>162</v>
      </c>
      <c r="B95" s="14" t="s">
        <v>406</v>
      </c>
      <c r="C95" s="14" t="s">
        <v>407</v>
      </c>
      <c r="D95" s="14" t="s">
        <v>220</v>
      </c>
      <c r="E95" s="15">
        <v>2760</v>
      </c>
      <c r="F95" s="15">
        <v>2028</v>
      </c>
      <c r="G95" s="15">
        <v>52</v>
      </c>
    </row>
    <row r="96" spans="1:7" x14ac:dyDescent="0.3">
      <c r="A96" s="15">
        <v>180</v>
      </c>
      <c r="B96" s="14" t="s">
        <v>408</v>
      </c>
      <c r="C96" s="14" t="s">
        <v>409</v>
      </c>
      <c r="D96" s="14" t="s">
        <v>220</v>
      </c>
      <c r="E96" s="15">
        <v>4400</v>
      </c>
      <c r="F96" s="15">
        <v>2288</v>
      </c>
      <c r="G96" s="15">
        <v>52</v>
      </c>
    </row>
    <row r="97" spans="1:7" x14ac:dyDescent="0.3">
      <c r="A97" s="15">
        <v>181</v>
      </c>
      <c r="B97" s="14" t="s">
        <v>410</v>
      </c>
      <c r="C97" s="14" t="s">
        <v>411</v>
      </c>
      <c r="D97" s="14" t="s">
        <v>220</v>
      </c>
      <c r="E97" s="15">
        <v>1910</v>
      </c>
      <c r="F97" s="15">
        <v>2158</v>
      </c>
      <c r="G97" s="15">
        <v>52</v>
      </c>
    </row>
    <row r="98" spans="1:7" x14ac:dyDescent="0.3">
      <c r="A98" s="15">
        <v>181</v>
      </c>
      <c r="B98" s="14" t="s">
        <v>412</v>
      </c>
      <c r="C98" s="14" t="s">
        <v>413</v>
      </c>
      <c r="D98" s="14" t="s">
        <v>220</v>
      </c>
      <c r="E98" s="15">
        <v>11383</v>
      </c>
      <c r="F98" s="15">
        <v>2158</v>
      </c>
      <c r="G98" s="15">
        <v>52</v>
      </c>
    </row>
    <row r="99" spans="1:7" x14ac:dyDescent="0.3">
      <c r="A99" s="15">
        <v>181</v>
      </c>
      <c r="B99" s="14" t="s">
        <v>414</v>
      </c>
      <c r="C99" s="14" t="s">
        <v>415</v>
      </c>
      <c r="D99" s="14" t="s">
        <v>220</v>
      </c>
      <c r="E99" s="15">
        <v>3206</v>
      </c>
      <c r="F99" s="15">
        <v>2158</v>
      </c>
      <c r="G99" s="15">
        <v>52</v>
      </c>
    </row>
    <row r="100" spans="1:7" x14ac:dyDescent="0.3">
      <c r="A100" s="15">
        <v>181</v>
      </c>
      <c r="B100" s="14" t="s">
        <v>416</v>
      </c>
      <c r="C100" s="14" t="s">
        <v>417</v>
      </c>
      <c r="D100" s="14" t="s">
        <v>220</v>
      </c>
      <c r="E100" s="15">
        <v>20774</v>
      </c>
      <c r="F100" s="15">
        <v>2483</v>
      </c>
      <c r="G100" s="15">
        <v>52</v>
      </c>
    </row>
    <row r="101" spans="1:7" x14ac:dyDescent="0.3">
      <c r="A101" s="15">
        <v>189</v>
      </c>
      <c r="B101" s="14" t="s">
        <v>418</v>
      </c>
      <c r="C101" s="14" t="s">
        <v>419</v>
      </c>
      <c r="D101" s="14" t="s">
        <v>220</v>
      </c>
      <c r="E101" s="15">
        <v>8720</v>
      </c>
      <c r="F101" s="15">
        <v>1976</v>
      </c>
      <c r="G101" s="15">
        <v>50</v>
      </c>
    </row>
    <row r="102" spans="1:7" x14ac:dyDescent="0.3">
      <c r="A102" s="15">
        <v>189</v>
      </c>
      <c r="B102" s="14" t="s">
        <v>420</v>
      </c>
      <c r="C102" s="14" t="s">
        <v>421</v>
      </c>
      <c r="D102" s="14" t="s">
        <v>220</v>
      </c>
      <c r="E102" s="15">
        <v>19620</v>
      </c>
      <c r="F102" s="15">
        <v>2129</v>
      </c>
      <c r="G102" s="15">
        <v>50</v>
      </c>
    </row>
    <row r="103" spans="1:7" x14ac:dyDescent="0.3">
      <c r="A103" s="15">
        <v>189</v>
      </c>
      <c r="B103" s="14" t="s">
        <v>422</v>
      </c>
      <c r="C103" s="14" t="s">
        <v>423</v>
      </c>
      <c r="D103" s="14" t="s">
        <v>220</v>
      </c>
      <c r="E103" s="15">
        <v>12000</v>
      </c>
      <c r="F103" s="15">
        <v>1763</v>
      </c>
      <c r="G103" s="15">
        <v>50</v>
      </c>
    </row>
    <row r="104" spans="1:7" x14ac:dyDescent="0.3">
      <c r="A104" s="15">
        <v>189</v>
      </c>
      <c r="B104" s="14" t="s">
        <v>424</v>
      </c>
      <c r="C104" s="14" t="s">
        <v>425</v>
      </c>
      <c r="D104" s="14" t="s">
        <v>220</v>
      </c>
      <c r="E104" s="15">
        <v>19620</v>
      </c>
      <c r="F104" s="15">
        <v>2855</v>
      </c>
      <c r="G104" s="15">
        <v>50</v>
      </c>
    </row>
    <row r="105" spans="1:7" x14ac:dyDescent="0.3">
      <c r="A105" s="15">
        <v>189</v>
      </c>
      <c r="B105" s="14" t="s">
        <v>426</v>
      </c>
      <c r="C105" s="14" t="s">
        <v>427</v>
      </c>
      <c r="D105" s="14" t="s">
        <v>220</v>
      </c>
      <c r="E105" s="15">
        <v>17440</v>
      </c>
      <c r="F105" s="15">
        <v>2021</v>
      </c>
      <c r="G105" s="15">
        <v>50</v>
      </c>
    </row>
    <row r="106" spans="1:7" x14ac:dyDescent="0.3">
      <c r="A106" s="15">
        <v>189</v>
      </c>
      <c r="B106" s="14" t="s">
        <v>428</v>
      </c>
      <c r="C106" s="14" t="s">
        <v>429</v>
      </c>
      <c r="D106" s="14" t="s">
        <v>220</v>
      </c>
      <c r="E106" s="15">
        <v>34936</v>
      </c>
      <c r="F106" s="15">
        <v>2017</v>
      </c>
      <c r="G106" s="15">
        <v>50</v>
      </c>
    </row>
    <row r="107" spans="1:7" x14ac:dyDescent="0.3">
      <c r="A107" s="15">
        <v>189</v>
      </c>
      <c r="B107" s="14" t="s">
        <v>430</v>
      </c>
      <c r="C107" s="14" t="s">
        <v>431</v>
      </c>
      <c r="D107" s="14" t="s">
        <v>220</v>
      </c>
      <c r="E107" s="15">
        <v>3270</v>
      </c>
      <c r="F107" s="15">
        <v>1767</v>
      </c>
      <c r="G107" s="15">
        <v>50</v>
      </c>
    </row>
    <row r="108" spans="1:7" x14ac:dyDescent="0.3">
      <c r="A108" s="15">
        <v>189</v>
      </c>
      <c r="B108" s="14" t="s">
        <v>432</v>
      </c>
      <c r="C108" s="14" t="s">
        <v>433</v>
      </c>
      <c r="D108" s="14" t="s">
        <v>220</v>
      </c>
      <c r="E108" s="15">
        <v>551</v>
      </c>
      <c r="F108" s="15">
        <v>945</v>
      </c>
      <c r="G108" s="15">
        <v>50</v>
      </c>
    </row>
    <row r="109" spans="1:7" x14ac:dyDescent="0.3">
      <c r="A109" s="15">
        <v>189</v>
      </c>
      <c r="B109" s="14" t="s">
        <v>434</v>
      </c>
      <c r="C109" s="14" t="s">
        <v>435</v>
      </c>
      <c r="D109" s="14" t="s">
        <v>220</v>
      </c>
      <c r="E109" s="15">
        <v>9265</v>
      </c>
      <c r="F109" s="15">
        <v>1740</v>
      </c>
      <c r="G109" s="15">
        <v>50</v>
      </c>
    </row>
    <row r="110" spans="1:7" x14ac:dyDescent="0.3">
      <c r="A110" s="15">
        <v>189</v>
      </c>
      <c r="B110" s="14" t="s">
        <v>436</v>
      </c>
      <c r="C110" s="14" t="s">
        <v>437</v>
      </c>
      <c r="D110" s="14" t="s">
        <v>220</v>
      </c>
      <c r="E110" s="15">
        <v>9040</v>
      </c>
      <c r="F110" s="15">
        <v>1516</v>
      </c>
      <c r="G110" s="15">
        <v>50</v>
      </c>
    </row>
    <row r="111" spans="1:7" x14ac:dyDescent="0.3">
      <c r="A111" s="15">
        <v>189</v>
      </c>
      <c r="B111" s="14" t="s">
        <v>438</v>
      </c>
      <c r="C111" s="14" t="s">
        <v>439</v>
      </c>
      <c r="D111" s="14" t="s">
        <v>220</v>
      </c>
      <c r="E111" s="15">
        <v>15260</v>
      </c>
      <c r="F111" s="15">
        <v>2157</v>
      </c>
      <c r="G111" s="15">
        <v>50</v>
      </c>
    </row>
    <row r="112" spans="1:7" x14ac:dyDescent="0.3">
      <c r="A112" s="15">
        <v>189</v>
      </c>
      <c r="B112" s="14" t="s">
        <v>440</v>
      </c>
      <c r="C112" s="14" t="s">
        <v>441</v>
      </c>
      <c r="D112" s="14" t="s">
        <v>220</v>
      </c>
      <c r="E112" s="15">
        <v>10900</v>
      </c>
      <c r="F112" s="15">
        <v>1375</v>
      </c>
      <c r="G112" s="15">
        <v>50</v>
      </c>
    </row>
    <row r="113" spans="1:7" x14ac:dyDescent="0.3">
      <c r="A113" s="15">
        <v>189</v>
      </c>
      <c r="B113" s="14" t="s">
        <v>442</v>
      </c>
      <c r="C113" s="14" t="s">
        <v>443</v>
      </c>
      <c r="D113" s="14" t="s">
        <v>220</v>
      </c>
      <c r="E113" s="15">
        <v>12190</v>
      </c>
      <c r="F113" s="15">
        <v>1752</v>
      </c>
      <c r="G113" s="15">
        <v>50</v>
      </c>
    </row>
    <row r="114" spans="1:7" x14ac:dyDescent="0.3">
      <c r="A114" s="15">
        <v>189</v>
      </c>
      <c r="B114" s="14" t="s">
        <v>444</v>
      </c>
      <c r="C114" s="14" t="s">
        <v>445</v>
      </c>
      <c r="D114" s="14" t="s">
        <v>220</v>
      </c>
      <c r="E114" s="15">
        <v>18530</v>
      </c>
      <c r="F114" s="15">
        <v>1635</v>
      </c>
      <c r="G114" s="15">
        <v>50</v>
      </c>
    </row>
    <row r="115" spans="1:7" x14ac:dyDescent="0.3">
      <c r="A115" s="15">
        <v>189</v>
      </c>
      <c r="B115" s="14" t="s">
        <v>446</v>
      </c>
      <c r="C115" s="14" t="s">
        <v>447</v>
      </c>
      <c r="D115" s="14" t="s">
        <v>220</v>
      </c>
      <c r="E115" s="15">
        <v>11178</v>
      </c>
      <c r="F115" s="15">
        <v>1718</v>
      </c>
      <c r="G115" s="15">
        <v>50</v>
      </c>
    </row>
    <row r="116" spans="1:7" x14ac:dyDescent="0.3">
      <c r="A116" s="15">
        <v>189</v>
      </c>
      <c r="B116" s="14" t="s">
        <v>448</v>
      </c>
      <c r="C116" s="14" t="s">
        <v>449</v>
      </c>
      <c r="D116" s="14" t="s">
        <v>220</v>
      </c>
      <c r="E116" s="15">
        <v>19000</v>
      </c>
      <c r="F116" s="15">
        <v>2160</v>
      </c>
      <c r="G116" s="15">
        <v>50</v>
      </c>
    </row>
    <row r="117" spans="1:7" x14ac:dyDescent="0.3">
      <c r="A117" s="15">
        <v>189</v>
      </c>
      <c r="B117" s="14" t="s">
        <v>254</v>
      </c>
      <c r="C117" s="14" t="s">
        <v>450</v>
      </c>
      <c r="D117" s="14" t="s">
        <v>220</v>
      </c>
      <c r="E117" s="15">
        <v>4524</v>
      </c>
      <c r="F117" s="15">
        <v>1861</v>
      </c>
      <c r="G117" s="15">
        <v>50</v>
      </c>
    </row>
    <row r="118" spans="1:7" x14ac:dyDescent="0.3">
      <c r="A118" s="15">
        <v>189</v>
      </c>
      <c r="B118" s="14" t="s">
        <v>451</v>
      </c>
      <c r="C118" s="14" t="s">
        <v>452</v>
      </c>
      <c r="D118" s="14" t="s">
        <v>220</v>
      </c>
      <c r="E118" s="15">
        <v>20000</v>
      </c>
      <c r="F118" s="15">
        <v>2031</v>
      </c>
      <c r="G118" s="15">
        <v>28</v>
      </c>
    </row>
    <row r="119" spans="1:7" x14ac:dyDescent="0.3">
      <c r="A119" s="15">
        <v>189</v>
      </c>
      <c r="B119" s="14" t="s">
        <v>453</v>
      </c>
      <c r="C119" s="14" t="s">
        <v>454</v>
      </c>
      <c r="D119" s="14" t="s">
        <v>220</v>
      </c>
      <c r="E119" s="15">
        <v>8930</v>
      </c>
      <c r="F119" s="15">
        <v>2056</v>
      </c>
      <c r="G119" s="15">
        <v>50</v>
      </c>
    </row>
    <row r="120" spans="1:7" x14ac:dyDescent="0.3">
      <c r="A120" s="15">
        <v>189</v>
      </c>
      <c r="B120" s="14" t="s">
        <v>455</v>
      </c>
      <c r="C120" s="14" t="s">
        <v>456</v>
      </c>
      <c r="D120" s="14" t="s">
        <v>220</v>
      </c>
      <c r="E120" s="15">
        <v>4578</v>
      </c>
      <c r="F120" s="15">
        <v>1762</v>
      </c>
      <c r="G120" s="15">
        <v>50</v>
      </c>
    </row>
    <row r="121" spans="1:7" x14ac:dyDescent="0.3">
      <c r="A121" s="15">
        <v>189</v>
      </c>
      <c r="B121" s="14" t="s">
        <v>457</v>
      </c>
      <c r="C121" s="14" t="s">
        <v>458</v>
      </c>
      <c r="D121" s="14" t="s">
        <v>220</v>
      </c>
      <c r="E121" s="15">
        <v>8339</v>
      </c>
      <c r="F121" s="15">
        <v>1744</v>
      </c>
      <c r="G121" s="15">
        <v>50</v>
      </c>
    </row>
    <row r="122" spans="1:7" x14ac:dyDescent="0.3">
      <c r="A122" s="15">
        <v>189</v>
      </c>
      <c r="B122" s="14" t="s">
        <v>459</v>
      </c>
      <c r="C122" s="14" t="s">
        <v>460</v>
      </c>
      <c r="D122" s="14" t="s">
        <v>220</v>
      </c>
      <c r="E122" s="15">
        <v>6213</v>
      </c>
      <c r="F122" s="15">
        <v>2033</v>
      </c>
      <c r="G122" s="15">
        <v>50</v>
      </c>
    </row>
    <row r="123" spans="1:7" x14ac:dyDescent="0.3">
      <c r="A123" s="15">
        <v>189</v>
      </c>
      <c r="B123" s="14" t="s">
        <v>461</v>
      </c>
      <c r="C123" s="14" t="s">
        <v>462</v>
      </c>
      <c r="D123" s="14" t="s">
        <v>220</v>
      </c>
      <c r="E123" s="15">
        <v>12116</v>
      </c>
      <c r="F123" s="15">
        <v>1794</v>
      </c>
      <c r="G123" s="15">
        <v>50</v>
      </c>
    </row>
    <row r="124" spans="1:7" x14ac:dyDescent="0.3">
      <c r="A124" s="15">
        <v>189</v>
      </c>
      <c r="B124" s="14" t="s">
        <v>463</v>
      </c>
      <c r="C124" s="14" t="s">
        <v>464</v>
      </c>
      <c r="D124" s="14" t="s">
        <v>220</v>
      </c>
      <c r="E124" s="15">
        <v>16000</v>
      </c>
      <c r="F124" s="15">
        <v>2146</v>
      </c>
      <c r="G124" s="15">
        <v>50</v>
      </c>
    </row>
    <row r="125" spans="1:7" x14ac:dyDescent="0.3">
      <c r="A125" s="15">
        <v>189</v>
      </c>
      <c r="B125" s="14" t="s">
        <v>465</v>
      </c>
      <c r="C125" s="14" t="s">
        <v>466</v>
      </c>
      <c r="D125" s="14" t="s">
        <v>220</v>
      </c>
      <c r="E125" s="15">
        <v>4360</v>
      </c>
      <c r="F125" s="15">
        <v>2046</v>
      </c>
      <c r="G125" s="15">
        <v>50</v>
      </c>
    </row>
    <row r="126" spans="1:7" x14ac:dyDescent="0.3">
      <c r="A126" s="15">
        <v>189</v>
      </c>
      <c r="B126" s="14" t="s">
        <v>467</v>
      </c>
      <c r="C126" s="14" t="s">
        <v>468</v>
      </c>
      <c r="D126" s="14" t="s">
        <v>220</v>
      </c>
      <c r="E126" s="15">
        <v>8391</v>
      </c>
      <c r="F126" s="15">
        <v>1883</v>
      </c>
      <c r="G126" s="15">
        <v>50</v>
      </c>
    </row>
    <row r="127" spans="1:7" x14ac:dyDescent="0.3">
      <c r="A127" s="15">
        <v>189</v>
      </c>
      <c r="B127" s="14" t="s">
        <v>469</v>
      </c>
      <c r="C127" s="14" t="s">
        <v>470</v>
      </c>
      <c r="D127" s="14" t="s">
        <v>220</v>
      </c>
      <c r="E127" s="15">
        <v>12252</v>
      </c>
      <c r="F127" s="15">
        <v>2071</v>
      </c>
      <c r="G127" s="15">
        <v>50</v>
      </c>
    </row>
    <row r="128" spans="1:7" x14ac:dyDescent="0.3">
      <c r="A128" s="15">
        <v>189</v>
      </c>
      <c r="B128" s="14" t="s">
        <v>471</v>
      </c>
      <c r="C128" s="14" t="s">
        <v>472</v>
      </c>
      <c r="D128" s="14" t="s">
        <v>220</v>
      </c>
      <c r="E128" s="15">
        <v>11445</v>
      </c>
      <c r="F128" s="15">
        <v>2045</v>
      </c>
      <c r="G128" s="15">
        <v>50</v>
      </c>
    </row>
    <row r="129" spans="1:7" x14ac:dyDescent="0.3">
      <c r="A129" s="15">
        <v>189</v>
      </c>
      <c r="B129" s="14" t="s">
        <v>473</v>
      </c>
      <c r="C129" s="14" t="s">
        <v>474</v>
      </c>
      <c r="D129" s="14" t="s">
        <v>220</v>
      </c>
      <c r="E129" s="15">
        <v>9045</v>
      </c>
      <c r="F129" s="15">
        <v>2012</v>
      </c>
      <c r="G129" s="15">
        <v>31</v>
      </c>
    </row>
    <row r="130" spans="1:7" x14ac:dyDescent="0.3">
      <c r="A130" s="15">
        <v>189</v>
      </c>
      <c r="B130" s="14" t="s">
        <v>475</v>
      </c>
      <c r="C130" s="14" t="s">
        <v>476</v>
      </c>
      <c r="D130" s="14" t="s">
        <v>220</v>
      </c>
      <c r="E130" s="15">
        <v>7722</v>
      </c>
      <c r="F130" s="15">
        <v>1768</v>
      </c>
      <c r="G130" s="15">
        <v>50</v>
      </c>
    </row>
    <row r="131" spans="1:7" x14ac:dyDescent="0.3">
      <c r="A131" s="15">
        <v>189</v>
      </c>
      <c r="B131" s="14" t="s">
        <v>477</v>
      </c>
      <c r="C131" s="14" t="s">
        <v>478</v>
      </c>
      <c r="D131" s="14" t="s">
        <v>220</v>
      </c>
      <c r="E131" s="15">
        <v>19864</v>
      </c>
      <c r="F131" s="15">
        <v>1767</v>
      </c>
      <c r="G131" s="15">
        <v>50</v>
      </c>
    </row>
    <row r="132" spans="1:7" x14ac:dyDescent="0.3">
      <c r="A132" s="15">
        <v>189</v>
      </c>
      <c r="B132" s="14" t="s">
        <v>479</v>
      </c>
      <c r="C132" s="14" t="s">
        <v>480</v>
      </c>
      <c r="D132" s="14" t="s">
        <v>220</v>
      </c>
      <c r="E132" s="15">
        <v>10400</v>
      </c>
      <c r="F132" s="15">
        <v>1760</v>
      </c>
      <c r="G132" s="15">
        <v>50</v>
      </c>
    </row>
    <row r="133" spans="1:7" x14ac:dyDescent="0.3">
      <c r="A133" s="15">
        <v>189</v>
      </c>
      <c r="B133" s="14" t="s">
        <v>481</v>
      </c>
      <c r="C133" s="14" t="s">
        <v>482</v>
      </c>
      <c r="D133" s="14" t="s">
        <v>220</v>
      </c>
      <c r="E133" s="15">
        <v>7922</v>
      </c>
      <c r="F133" s="15">
        <v>1768</v>
      </c>
      <c r="G133" s="15">
        <v>50</v>
      </c>
    </row>
    <row r="134" spans="1:7" x14ac:dyDescent="0.3">
      <c r="A134" s="15">
        <v>189</v>
      </c>
      <c r="B134" s="14" t="s">
        <v>483</v>
      </c>
      <c r="C134" s="14" t="s">
        <v>484</v>
      </c>
      <c r="D134" s="14" t="s">
        <v>220</v>
      </c>
      <c r="E134" s="15">
        <v>16459</v>
      </c>
      <c r="F134" s="15">
        <v>1758</v>
      </c>
      <c r="G134" s="15">
        <v>50</v>
      </c>
    </row>
    <row r="135" spans="1:7" x14ac:dyDescent="0.3">
      <c r="A135" s="15">
        <v>189</v>
      </c>
      <c r="B135" s="14" t="s">
        <v>485</v>
      </c>
      <c r="C135" s="14" t="s">
        <v>486</v>
      </c>
      <c r="D135" s="14" t="s">
        <v>220</v>
      </c>
      <c r="E135" s="15">
        <v>18094</v>
      </c>
      <c r="F135" s="15">
        <v>2018</v>
      </c>
      <c r="G135" s="15">
        <v>50</v>
      </c>
    </row>
    <row r="136" spans="1:7" x14ac:dyDescent="0.3">
      <c r="A136" s="15">
        <v>189</v>
      </c>
      <c r="B136" s="14" t="s">
        <v>487</v>
      </c>
      <c r="C136" s="14" t="s">
        <v>488</v>
      </c>
      <c r="D136" s="14" t="s">
        <v>220</v>
      </c>
      <c r="E136" s="15">
        <v>14660</v>
      </c>
      <c r="F136" s="15">
        <v>2053</v>
      </c>
      <c r="G136" s="15">
        <v>50</v>
      </c>
    </row>
    <row r="137" spans="1:7" x14ac:dyDescent="0.3">
      <c r="A137" s="15">
        <v>189</v>
      </c>
      <c r="B137" s="14" t="s">
        <v>489</v>
      </c>
      <c r="C137" s="14" t="s">
        <v>490</v>
      </c>
      <c r="D137" s="14" t="s">
        <v>220</v>
      </c>
      <c r="E137" s="15">
        <v>20393</v>
      </c>
      <c r="F137" s="15">
        <v>2154</v>
      </c>
      <c r="G137" s="15">
        <v>50</v>
      </c>
    </row>
    <row r="138" spans="1:7" x14ac:dyDescent="0.3">
      <c r="A138" s="15">
        <v>189</v>
      </c>
      <c r="B138" s="14" t="s">
        <v>491</v>
      </c>
      <c r="C138" s="14" t="s">
        <v>492</v>
      </c>
      <c r="D138" s="14" t="s">
        <v>220</v>
      </c>
      <c r="E138" s="15">
        <v>450</v>
      </c>
      <c r="F138" s="15">
        <v>695</v>
      </c>
      <c r="G138" s="15">
        <v>50</v>
      </c>
    </row>
    <row r="139" spans="1:7" x14ac:dyDescent="0.3">
      <c r="A139" s="15">
        <v>189</v>
      </c>
      <c r="B139" s="14" t="s">
        <v>493</v>
      </c>
      <c r="C139" s="14" t="s">
        <v>494</v>
      </c>
      <c r="D139" s="14" t="s">
        <v>220</v>
      </c>
      <c r="E139" s="15">
        <v>3636</v>
      </c>
      <c r="F139" s="15">
        <v>2022</v>
      </c>
      <c r="G139" s="15">
        <v>50</v>
      </c>
    </row>
    <row r="140" spans="1:7" x14ac:dyDescent="0.3">
      <c r="A140" s="15">
        <v>189</v>
      </c>
      <c r="B140" s="14" t="s">
        <v>495</v>
      </c>
      <c r="C140" s="14" t="s">
        <v>496</v>
      </c>
      <c r="D140" s="14" t="s">
        <v>220</v>
      </c>
      <c r="E140" s="15">
        <v>26000</v>
      </c>
      <c r="F140" s="15">
        <v>1956</v>
      </c>
      <c r="G140" s="15">
        <v>50</v>
      </c>
    </row>
    <row r="141" spans="1:7" x14ac:dyDescent="0.3">
      <c r="A141" s="15">
        <v>189</v>
      </c>
      <c r="B141" s="14" t="s">
        <v>497</v>
      </c>
      <c r="C141" s="14" t="s">
        <v>498</v>
      </c>
      <c r="D141" s="14" t="s">
        <v>220</v>
      </c>
      <c r="E141" s="15">
        <v>88000</v>
      </c>
      <c r="F141" s="15">
        <v>2049</v>
      </c>
      <c r="G141" s="15">
        <v>50</v>
      </c>
    </row>
    <row r="142" spans="1:7" x14ac:dyDescent="0.3">
      <c r="A142" s="15">
        <v>189</v>
      </c>
      <c r="B142" s="14" t="s">
        <v>499</v>
      </c>
      <c r="C142" s="14" t="s">
        <v>500</v>
      </c>
      <c r="D142" s="14" t="s">
        <v>227</v>
      </c>
      <c r="E142" s="15">
        <v>-3</v>
      </c>
      <c r="F142" s="15">
        <v>-3</v>
      </c>
      <c r="G142" s="15">
        <v>-3</v>
      </c>
    </row>
    <row r="143" spans="1:7" x14ac:dyDescent="0.3">
      <c r="A143" s="15">
        <v>190</v>
      </c>
      <c r="B143" s="14" t="s">
        <v>501</v>
      </c>
      <c r="C143" s="14" t="s">
        <v>502</v>
      </c>
      <c r="D143" s="14" t="s">
        <v>220</v>
      </c>
      <c r="E143" s="15">
        <v>10500</v>
      </c>
      <c r="F143" s="15">
        <v>1799</v>
      </c>
      <c r="G143" s="15">
        <v>52</v>
      </c>
    </row>
    <row r="144" spans="1:7" x14ac:dyDescent="0.3">
      <c r="A144" s="15">
        <v>190</v>
      </c>
      <c r="B144" s="14" t="s">
        <v>380</v>
      </c>
      <c r="C144" s="14" t="s">
        <v>503</v>
      </c>
      <c r="D144" s="14" t="s">
        <v>220</v>
      </c>
      <c r="E144" s="15">
        <v>12000</v>
      </c>
      <c r="F144" s="15">
        <v>1909</v>
      </c>
      <c r="G144" s="15">
        <v>52</v>
      </c>
    </row>
    <row r="145" spans="1:7" x14ac:dyDescent="0.3">
      <c r="A145" s="15">
        <v>190</v>
      </c>
      <c r="B145" s="14" t="s">
        <v>504</v>
      </c>
      <c r="C145" s="14" t="s">
        <v>505</v>
      </c>
      <c r="D145" s="14" t="s">
        <v>220</v>
      </c>
      <c r="E145" s="15">
        <v>6922</v>
      </c>
      <c r="F145" s="15">
        <v>1140</v>
      </c>
      <c r="G145" s="15">
        <v>33</v>
      </c>
    </row>
    <row r="146" spans="1:7" x14ac:dyDescent="0.3">
      <c r="A146" s="15">
        <v>190</v>
      </c>
      <c r="B146" s="14" t="s">
        <v>506</v>
      </c>
      <c r="C146" s="14" t="s">
        <v>507</v>
      </c>
      <c r="D146" s="14" t="s">
        <v>220</v>
      </c>
      <c r="E146" s="15">
        <v>2700</v>
      </c>
      <c r="F146" s="15">
        <v>2054</v>
      </c>
      <c r="G146" s="15">
        <v>52</v>
      </c>
    </row>
    <row r="147" spans="1:7" x14ac:dyDescent="0.3">
      <c r="A147" s="15">
        <v>190</v>
      </c>
      <c r="B147" s="14" t="s">
        <v>508</v>
      </c>
      <c r="C147" s="14" t="s">
        <v>509</v>
      </c>
      <c r="D147" s="14" t="s">
        <v>220</v>
      </c>
      <c r="E147" s="15">
        <v>13268</v>
      </c>
      <c r="F147" s="15">
        <v>2209</v>
      </c>
      <c r="G147" s="15">
        <v>52</v>
      </c>
    </row>
    <row r="148" spans="1:7" x14ac:dyDescent="0.3">
      <c r="A148" s="15">
        <v>190</v>
      </c>
      <c r="B148" s="14" t="s">
        <v>510</v>
      </c>
      <c r="C148" s="14" t="s">
        <v>511</v>
      </c>
      <c r="D148" s="14" t="s">
        <v>220</v>
      </c>
      <c r="E148" s="15">
        <v>12000</v>
      </c>
      <c r="F148" s="15">
        <v>2261</v>
      </c>
      <c r="G148" s="15">
        <v>52</v>
      </c>
    </row>
    <row r="149" spans="1:7" x14ac:dyDescent="0.3">
      <c r="A149" s="15">
        <v>190</v>
      </c>
      <c r="B149" s="14" t="s">
        <v>512</v>
      </c>
      <c r="C149" s="14" t="s">
        <v>513</v>
      </c>
      <c r="D149" s="14" t="s">
        <v>220</v>
      </c>
      <c r="E149" s="15">
        <v>7247</v>
      </c>
      <c r="F149" s="15">
        <v>2207</v>
      </c>
      <c r="G149" s="15">
        <v>52</v>
      </c>
    </row>
    <row r="150" spans="1:7" x14ac:dyDescent="0.3">
      <c r="A150" s="15">
        <v>190</v>
      </c>
      <c r="B150" s="14" t="s">
        <v>514</v>
      </c>
      <c r="C150" s="14" t="s">
        <v>515</v>
      </c>
      <c r="D150" s="14" t="s">
        <v>220</v>
      </c>
      <c r="E150" s="15">
        <v>42000</v>
      </c>
      <c r="F150" s="15">
        <v>2654</v>
      </c>
      <c r="G150" s="15">
        <v>52</v>
      </c>
    </row>
    <row r="151" spans="1:7" x14ac:dyDescent="0.3">
      <c r="A151" s="15">
        <v>190</v>
      </c>
      <c r="B151" s="14" t="s">
        <v>516</v>
      </c>
      <c r="C151" s="14" t="s">
        <v>517</v>
      </c>
      <c r="D151" s="14" t="s">
        <v>220</v>
      </c>
      <c r="E151" s="15">
        <v>9500</v>
      </c>
      <c r="F151" s="15">
        <v>2362</v>
      </c>
      <c r="G151" s="15">
        <v>52</v>
      </c>
    </row>
    <row r="152" spans="1:7" x14ac:dyDescent="0.3">
      <c r="A152" s="15">
        <v>190</v>
      </c>
      <c r="B152" s="14" t="s">
        <v>518</v>
      </c>
      <c r="C152" s="14" t="s">
        <v>519</v>
      </c>
      <c r="D152" s="14" t="s">
        <v>220</v>
      </c>
      <c r="E152" s="15">
        <v>5883</v>
      </c>
      <c r="F152" s="15">
        <v>2012</v>
      </c>
      <c r="G152" s="15">
        <v>52</v>
      </c>
    </row>
    <row r="153" spans="1:7" x14ac:dyDescent="0.3">
      <c r="A153" s="15">
        <v>190</v>
      </c>
      <c r="B153" s="14" t="s">
        <v>520</v>
      </c>
      <c r="C153" s="14" t="s">
        <v>521</v>
      </c>
      <c r="D153" s="14" t="s">
        <v>220</v>
      </c>
      <c r="E153" s="15">
        <v>10500</v>
      </c>
      <c r="F153" s="15">
        <v>2357</v>
      </c>
      <c r="G153" s="15">
        <v>52</v>
      </c>
    </row>
    <row r="154" spans="1:7" x14ac:dyDescent="0.3">
      <c r="A154" s="15">
        <v>190</v>
      </c>
      <c r="B154" s="14" t="s">
        <v>522</v>
      </c>
      <c r="C154" s="14" t="s">
        <v>523</v>
      </c>
      <c r="D154" s="14" t="s">
        <v>220</v>
      </c>
      <c r="E154" s="15">
        <v>6100</v>
      </c>
      <c r="F154" s="15">
        <v>2150</v>
      </c>
      <c r="G154" s="15">
        <v>52</v>
      </c>
    </row>
    <row r="155" spans="1:7" x14ac:dyDescent="0.3">
      <c r="A155" s="15">
        <v>190</v>
      </c>
      <c r="B155" s="14" t="s">
        <v>524</v>
      </c>
      <c r="C155" s="14" t="s">
        <v>525</v>
      </c>
      <c r="D155" s="14" t="s">
        <v>220</v>
      </c>
      <c r="E155" s="15">
        <v>14000</v>
      </c>
      <c r="F155" s="15">
        <v>2463</v>
      </c>
      <c r="G155" s="15">
        <v>52</v>
      </c>
    </row>
    <row r="156" spans="1:7" x14ac:dyDescent="0.3">
      <c r="A156" s="15">
        <v>190</v>
      </c>
      <c r="B156" s="14" t="s">
        <v>526</v>
      </c>
      <c r="C156" s="14" t="s">
        <v>527</v>
      </c>
      <c r="D156" s="14" t="s">
        <v>220</v>
      </c>
      <c r="E156" s="15">
        <v>20000</v>
      </c>
      <c r="F156" s="15">
        <v>1960</v>
      </c>
      <c r="G156" s="15">
        <v>52</v>
      </c>
    </row>
    <row r="157" spans="1:7" x14ac:dyDescent="0.3">
      <c r="A157" s="15">
        <v>190</v>
      </c>
      <c r="B157" s="14" t="s">
        <v>528</v>
      </c>
      <c r="C157" s="14" t="s">
        <v>529</v>
      </c>
      <c r="D157" s="14" t="s">
        <v>220</v>
      </c>
      <c r="E157" s="15">
        <v>10137</v>
      </c>
      <c r="F157" s="15">
        <v>2159</v>
      </c>
      <c r="G157" s="15">
        <v>52</v>
      </c>
    </row>
    <row r="158" spans="1:7" x14ac:dyDescent="0.3">
      <c r="A158" s="15">
        <v>190</v>
      </c>
      <c r="B158" s="14" t="s">
        <v>530</v>
      </c>
      <c r="C158" s="14" t="s">
        <v>531</v>
      </c>
      <c r="D158" s="14" t="s">
        <v>220</v>
      </c>
      <c r="E158" s="15">
        <v>15000</v>
      </c>
      <c r="F158" s="15">
        <v>2215</v>
      </c>
      <c r="G158" s="15">
        <v>52</v>
      </c>
    </row>
    <row r="159" spans="1:7" x14ac:dyDescent="0.3">
      <c r="A159" s="15">
        <v>190</v>
      </c>
      <c r="B159" s="14" t="s">
        <v>532</v>
      </c>
      <c r="C159" s="14" t="s">
        <v>533</v>
      </c>
      <c r="D159" s="14" t="s">
        <v>220</v>
      </c>
      <c r="E159" s="15">
        <v>15000</v>
      </c>
      <c r="F159" s="15">
        <v>2254</v>
      </c>
      <c r="G159" s="15">
        <v>52</v>
      </c>
    </row>
    <row r="160" spans="1:7" x14ac:dyDescent="0.3">
      <c r="A160" s="15">
        <v>190</v>
      </c>
      <c r="B160" s="14" t="s">
        <v>534</v>
      </c>
      <c r="C160" s="14" t="s">
        <v>535</v>
      </c>
      <c r="D160" s="14" t="s">
        <v>220</v>
      </c>
      <c r="E160" s="15">
        <v>12300</v>
      </c>
      <c r="F160" s="15">
        <v>2357</v>
      </c>
      <c r="G160" s="15">
        <v>52</v>
      </c>
    </row>
    <row r="161" spans="1:7" x14ac:dyDescent="0.3">
      <c r="A161" s="15">
        <v>190</v>
      </c>
      <c r="B161" s="14" t="s">
        <v>536</v>
      </c>
      <c r="C161" s="14" t="s">
        <v>537</v>
      </c>
      <c r="D161" s="14" t="s">
        <v>220</v>
      </c>
      <c r="E161" s="15">
        <v>30000</v>
      </c>
      <c r="F161" s="15">
        <v>2667</v>
      </c>
      <c r="G161" s="15">
        <v>52</v>
      </c>
    </row>
    <row r="162" spans="1:7" x14ac:dyDescent="0.3">
      <c r="A162" s="15">
        <v>190</v>
      </c>
      <c r="B162" s="14" t="s">
        <v>538</v>
      </c>
      <c r="C162" s="14" t="s">
        <v>539</v>
      </c>
      <c r="D162" s="14" t="s">
        <v>220</v>
      </c>
      <c r="E162" s="15">
        <v>23357</v>
      </c>
      <c r="F162" s="15">
        <v>2359</v>
      </c>
      <c r="G162" s="15">
        <v>52</v>
      </c>
    </row>
    <row r="163" spans="1:7" x14ac:dyDescent="0.3">
      <c r="A163" s="15">
        <v>190</v>
      </c>
      <c r="B163" s="14" t="s">
        <v>540</v>
      </c>
      <c r="C163" s="14" t="s">
        <v>541</v>
      </c>
      <c r="D163" s="14" t="s">
        <v>220</v>
      </c>
      <c r="E163" s="15">
        <v>21100</v>
      </c>
      <c r="F163" s="15">
        <v>2354</v>
      </c>
      <c r="G163" s="15">
        <v>52</v>
      </c>
    </row>
    <row r="164" spans="1:7" x14ac:dyDescent="0.3">
      <c r="A164" s="15">
        <v>190</v>
      </c>
      <c r="B164" s="14" t="s">
        <v>542</v>
      </c>
      <c r="C164" s="14" t="s">
        <v>543</v>
      </c>
      <c r="D164" s="14" t="s">
        <v>220</v>
      </c>
      <c r="E164" s="15">
        <v>6910</v>
      </c>
      <c r="F164" s="15">
        <v>1909</v>
      </c>
      <c r="G164" s="15">
        <v>52</v>
      </c>
    </row>
    <row r="165" spans="1:7" x14ac:dyDescent="0.3">
      <c r="A165" s="15">
        <v>190</v>
      </c>
      <c r="B165" s="14" t="s">
        <v>544</v>
      </c>
      <c r="C165" s="14" t="s">
        <v>545</v>
      </c>
      <c r="D165" s="14" t="s">
        <v>220</v>
      </c>
      <c r="E165" s="15">
        <v>32000</v>
      </c>
      <c r="F165" s="15">
        <v>2660</v>
      </c>
      <c r="G165" s="15">
        <v>52</v>
      </c>
    </row>
    <row r="166" spans="1:7" x14ac:dyDescent="0.3">
      <c r="A166" s="15">
        <v>190</v>
      </c>
      <c r="B166" s="14" t="s">
        <v>546</v>
      </c>
      <c r="C166" s="14" t="s">
        <v>547</v>
      </c>
      <c r="D166" s="14" t="s">
        <v>220</v>
      </c>
      <c r="E166" s="15">
        <v>72000</v>
      </c>
      <c r="F166" s="15">
        <v>3557</v>
      </c>
      <c r="G166" s="15">
        <v>52</v>
      </c>
    </row>
    <row r="167" spans="1:7" x14ac:dyDescent="0.3">
      <c r="A167" s="15">
        <v>190</v>
      </c>
      <c r="B167" s="14" t="s">
        <v>548</v>
      </c>
      <c r="C167" s="14" t="s">
        <v>549</v>
      </c>
      <c r="D167" s="14" t="s">
        <v>220</v>
      </c>
      <c r="E167" s="15">
        <v>12000</v>
      </c>
      <c r="F167" s="15">
        <v>2357</v>
      </c>
      <c r="G167" s="15">
        <v>52</v>
      </c>
    </row>
    <row r="168" spans="1:7" x14ac:dyDescent="0.3">
      <c r="A168" s="15">
        <v>190</v>
      </c>
      <c r="B168" s="14" t="s">
        <v>550</v>
      </c>
      <c r="C168" s="14" t="s">
        <v>551</v>
      </c>
      <c r="D168" s="14" t="s">
        <v>220</v>
      </c>
      <c r="E168" s="15">
        <v>78500</v>
      </c>
      <c r="F168" s="15">
        <v>4270</v>
      </c>
      <c r="G168" s="15">
        <v>52</v>
      </c>
    </row>
    <row r="169" spans="1:7" x14ac:dyDescent="0.3">
      <c r="A169" s="15">
        <v>190</v>
      </c>
      <c r="B169" s="14" t="s">
        <v>552</v>
      </c>
      <c r="C169" s="14" t="s">
        <v>553</v>
      </c>
      <c r="D169" s="14" t="s">
        <v>220</v>
      </c>
      <c r="E169" s="15">
        <v>552</v>
      </c>
      <c r="F169" s="15">
        <v>2000</v>
      </c>
      <c r="G169" s="15">
        <v>52</v>
      </c>
    </row>
    <row r="170" spans="1:7" x14ac:dyDescent="0.3">
      <c r="A170" s="15">
        <v>190</v>
      </c>
      <c r="B170" s="14" t="s">
        <v>554</v>
      </c>
      <c r="C170" s="14" t="s">
        <v>555</v>
      </c>
      <c r="D170" s="14" t="s">
        <v>220</v>
      </c>
      <c r="E170" s="15">
        <v>275</v>
      </c>
      <c r="F170" s="15">
        <v>2000</v>
      </c>
      <c r="G170" s="15">
        <v>52</v>
      </c>
    </row>
    <row r="171" spans="1:7" x14ac:dyDescent="0.3">
      <c r="A171" s="15">
        <v>198</v>
      </c>
      <c r="B171" s="14" t="s">
        <v>556</v>
      </c>
      <c r="C171" s="14" t="s">
        <v>557</v>
      </c>
      <c r="D171" s="14" t="s">
        <v>220</v>
      </c>
      <c r="E171" s="15">
        <v>25000</v>
      </c>
      <c r="F171" s="15">
        <v>2744</v>
      </c>
      <c r="G171" s="15">
        <v>52</v>
      </c>
    </row>
    <row r="172" spans="1:7" x14ac:dyDescent="0.3">
      <c r="A172" s="15">
        <v>198</v>
      </c>
      <c r="B172" s="14" t="s">
        <v>558</v>
      </c>
      <c r="C172" s="14" t="s">
        <v>559</v>
      </c>
      <c r="D172" s="14" t="s">
        <v>220</v>
      </c>
      <c r="E172" s="15">
        <v>5700</v>
      </c>
      <c r="F172" s="15">
        <v>1600</v>
      </c>
      <c r="G172" s="15">
        <v>52</v>
      </c>
    </row>
    <row r="173" spans="1:7" x14ac:dyDescent="0.3">
      <c r="A173" s="15">
        <v>198</v>
      </c>
      <c r="B173" s="14" t="s">
        <v>560</v>
      </c>
      <c r="C173" s="14" t="s">
        <v>561</v>
      </c>
      <c r="D173" s="14" t="s">
        <v>220</v>
      </c>
      <c r="E173" s="15">
        <v>26000</v>
      </c>
      <c r="F173" s="15">
        <v>2312</v>
      </c>
      <c r="G173" s="15">
        <v>44</v>
      </c>
    </row>
    <row r="174" spans="1:7" x14ac:dyDescent="0.3">
      <c r="A174" s="15">
        <v>2</v>
      </c>
      <c r="B174" s="14" t="s">
        <v>562</v>
      </c>
      <c r="C174" s="14" t="s">
        <v>563</v>
      </c>
      <c r="D174" s="14" t="s">
        <v>220</v>
      </c>
      <c r="E174" s="15">
        <v>5600</v>
      </c>
      <c r="F174" s="15">
        <v>3077</v>
      </c>
      <c r="G174" s="15">
        <v>52</v>
      </c>
    </row>
    <row r="175" spans="1:7" x14ac:dyDescent="0.3">
      <c r="A175" s="15">
        <v>2</v>
      </c>
      <c r="B175" s="14" t="s">
        <v>564</v>
      </c>
      <c r="C175" s="14" t="s">
        <v>565</v>
      </c>
      <c r="D175" s="14" t="s">
        <v>220</v>
      </c>
      <c r="E175" s="15">
        <v>11880</v>
      </c>
      <c r="F175" s="15">
        <v>3158</v>
      </c>
      <c r="G175" s="15">
        <v>52</v>
      </c>
    </row>
    <row r="176" spans="1:7" x14ac:dyDescent="0.3">
      <c r="A176" s="15">
        <v>20</v>
      </c>
      <c r="B176" s="14" t="s">
        <v>566</v>
      </c>
      <c r="C176" s="14" t="s">
        <v>567</v>
      </c>
      <c r="D176" s="14" t="s">
        <v>220</v>
      </c>
      <c r="E176" s="15">
        <v>36176</v>
      </c>
      <c r="F176" s="15">
        <v>2346</v>
      </c>
      <c r="G176" s="15">
        <v>52</v>
      </c>
    </row>
    <row r="177" spans="1:7" x14ac:dyDescent="0.3">
      <c r="A177" s="15">
        <v>20</v>
      </c>
      <c r="B177" s="14" t="s">
        <v>568</v>
      </c>
      <c r="C177" s="14" t="s">
        <v>569</v>
      </c>
      <c r="D177" s="14" t="s">
        <v>220</v>
      </c>
      <c r="E177" s="15">
        <v>14967</v>
      </c>
      <c r="F177" s="15">
        <v>2526</v>
      </c>
      <c r="G177" s="15">
        <v>52</v>
      </c>
    </row>
    <row r="178" spans="1:7" x14ac:dyDescent="0.3">
      <c r="A178" s="15">
        <v>20</v>
      </c>
      <c r="B178" s="14" t="s">
        <v>570</v>
      </c>
      <c r="C178" s="14" t="s">
        <v>571</v>
      </c>
      <c r="D178" s="14" t="s">
        <v>220</v>
      </c>
      <c r="E178" s="15">
        <v>8266</v>
      </c>
      <c r="F178" s="15">
        <v>2542</v>
      </c>
      <c r="G178" s="15">
        <v>52</v>
      </c>
    </row>
    <row r="179" spans="1:7" x14ac:dyDescent="0.3">
      <c r="A179" s="15">
        <v>20</v>
      </c>
      <c r="B179" s="14" t="s">
        <v>572</v>
      </c>
      <c r="C179" s="14" t="s">
        <v>573</v>
      </c>
      <c r="D179" s="14" t="s">
        <v>220</v>
      </c>
      <c r="E179" s="15">
        <v>8580</v>
      </c>
      <c r="F179" s="15">
        <v>2392</v>
      </c>
      <c r="G179" s="15">
        <v>52</v>
      </c>
    </row>
    <row r="180" spans="1:7" x14ac:dyDescent="0.3">
      <c r="A180" s="15">
        <v>20</v>
      </c>
      <c r="B180" s="14" t="s">
        <v>574</v>
      </c>
      <c r="C180" s="14" t="s">
        <v>575</v>
      </c>
      <c r="D180" s="14" t="s">
        <v>220</v>
      </c>
      <c r="E180" s="15">
        <v>8110</v>
      </c>
      <c r="F180" s="15">
        <v>2542</v>
      </c>
      <c r="G180" s="15">
        <v>52</v>
      </c>
    </row>
    <row r="181" spans="1:7" x14ac:dyDescent="0.3">
      <c r="A181" s="15">
        <v>20</v>
      </c>
      <c r="B181" s="14" t="s">
        <v>576</v>
      </c>
      <c r="C181" s="14" t="s">
        <v>577</v>
      </c>
      <c r="D181" s="14" t="s">
        <v>220</v>
      </c>
      <c r="E181" s="15">
        <v>6700</v>
      </c>
      <c r="F181" s="15">
        <v>2392</v>
      </c>
      <c r="G181" s="15">
        <v>52</v>
      </c>
    </row>
    <row r="182" spans="1:7" x14ac:dyDescent="0.3">
      <c r="A182" s="15">
        <v>20</v>
      </c>
      <c r="B182" s="14" t="s">
        <v>578</v>
      </c>
      <c r="C182" s="14" t="s">
        <v>579</v>
      </c>
      <c r="D182" s="14" t="s">
        <v>220</v>
      </c>
      <c r="E182" s="15">
        <v>11000</v>
      </c>
      <c r="F182" s="15">
        <v>2746</v>
      </c>
      <c r="G182" s="15">
        <v>52</v>
      </c>
    </row>
    <row r="183" spans="1:7" x14ac:dyDescent="0.3">
      <c r="A183" s="15">
        <v>20</v>
      </c>
      <c r="B183" s="14" t="s">
        <v>580</v>
      </c>
      <c r="C183" s="14" t="s">
        <v>581</v>
      </c>
      <c r="D183" s="14" t="s">
        <v>220</v>
      </c>
      <c r="E183" s="15">
        <v>14500</v>
      </c>
      <c r="F183" s="15">
        <v>2746</v>
      </c>
      <c r="G183" s="15">
        <v>52</v>
      </c>
    </row>
    <row r="184" spans="1:7" x14ac:dyDescent="0.3">
      <c r="A184" s="15">
        <v>20</v>
      </c>
      <c r="B184" s="14" t="s">
        <v>582</v>
      </c>
      <c r="C184" s="14" t="s">
        <v>583</v>
      </c>
      <c r="D184" s="14" t="s">
        <v>220</v>
      </c>
      <c r="E184" s="15">
        <v>15120</v>
      </c>
      <c r="F184" s="15">
        <v>2542</v>
      </c>
      <c r="G184" s="15">
        <v>52</v>
      </c>
    </row>
    <row r="185" spans="1:7" x14ac:dyDescent="0.3">
      <c r="A185" s="15">
        <v>20</v>
      </c>
      <c r="B185" s="14" t="s">
        <v>584</v>
      </c>
      <c r="C185" s="14" t="s">
        <v>585</v>
      </c>
      <c r="D185" s="14" t="s">
        <v>220</v>
      </c>
      <c r="E185" s="15">
        <v>7536</v>
      </c>
      <c r="F185" s="15">
        <v>2340</v>
      </c>
      <c r="G185" s="15">
        <v>52</v>
      </c>
    </row>
    <row r="186" spans="1:7" x14ac:dyDescent="0.3">
      <c r="A186" s="15">
        <v>20</v>
      </c>
      <c r="B186" s="14" t="s">
        <v>586</v>
      </c>
      <c r="C186" s="14" t="s">
        <v>587</v>
      </c>
      <c r="D186" s="14" t="s">
        <v>220</v>
      </c>
      <c r="E186" s="15">
        <v>10738</v>
      </c>
      <c r="F186" s="15">
        <v>2392</v>
      </c>
      <c r="G186" s="15">
        <v>52</v>
      </c>
    </row>
    <row r="187" spans="1:7" x14ac:dyDescent="0.3">
      <c r="A187" s="15">
        <v>20</v>
      </c>
      <c r="B187" s="14" t="s">
        <v>588</v>
      </c>
      <c r="C187" s="14" t="s">
        <v>589</v>
      </c>
      <c r="D187" s="14" t="s">
        <v>220</v>
      </c>
      <c r="E187" s="15">
        <v>10000</v>
      </c>
      <c r="F187" s="15">
        <v>2392</v>
      </c>
      <c r="G187" s="15">
        <v>52</v>
      </c>
    </row>
    <row r="188" spans="1:7" x14ac:dyDescent="0.3">
      <c r="A188" s="15">
        <v>20</v>
      </c>
      <c r="B188" s="14" t="s">
        <v>590</v>
      </c>
      <c r="C188" s="14" t="s">
        <v>591</v>
      </c>
      <c r="D188" s="14" t="s">
        <v>220</v>
      </c>
      <c r="E188" s="15">
        <v>9017</v>
      </c>
      <c r="F188" s="15">
        <v>2542</v>
      </c>
      <c r="G188" s="15">
        <v>52</v>
      </c>
    </row>
    <row r="189" spans="1:7" x14ac:dyDescent="0.3">
      <c r="A189" s="15">
        <v>20</v>
      </c>
      <c r="B189" s="14" t="s">
        <v>592</v>
      </c>
      <c r="C189" s="14" t="s">
        <v>593</v>
      </c>
      <c r="D189" s="14" t="s">
        <v>220</v>
      </c>
      <c r="E189" s="15">
        <v>9017</v>
      </c>
      <c r="F189" s="15">
        <v>2542</v>
      </c>
      <c r="G189" s="15">
        <v>52</v>
      </c>
    </row>
    <row r="190" spans="1:7" x14ac:dyDescent="0.3">
      <c r="A190" s="15">
        <v>20</v>
      </c>
      <c r="B190" s="14" t="s">
        <v>594</v>
      </c>
      <c r="C190" s="14" t="s">
        <v>595</v>
      </c>
      <c r="D190" s="14" t="s">
        <v>220</v>
      </c>
      <c r="E190" s="15">
        <v>16000</v>
      </c>
      <c r="F190" s="15">
        <v>2746</v>
      </c>
      <c r="G190" s="15">
        <v>52</v>
      </c>
    </row>
    <row r="191" spans="1:7" x14ac:dyDescent="0.3">
      <c r="A191" s="15">
        <v>20</v>
      </c>
      <c r="B191" s="14" t="s">
        <v>596</v>
      </c>
      <c r="C191" s="14" t="s">
        <v>597</v>
      </c>
      <c r="D191" s="14" t="s">
        <v>220</v>
      </c>
      <c r="E191" s="15">
        <v>13257</v>
      </c>
      <c r="F191" s="15">
        <v>2392</v>
      </c>
      <c r="G191" s="15">
        <v>52</v>
      </c>
    </row>
    <row r="192" spans="1:7" x14ac:dyDescent="0.3">
      <c r="A192" s="15">
        <v>20</v>
      </c>
      <c r="B192" s="14" t="s">
        <v>598</v>
      </c>
      <c r="C192" s="14" t="s">
        <v>599</v>
      </c>
      <c r="D192" s="14" t="s">
        <v>220</v>
      </c>
      <c r="E192" s="15">
        <v>10827</v>
      </c>
      <c r="F192" s="15">
        <v>2392</v>
      </c>
      <c r="G192" s="15">
        <v>52</v>
      </c>
    </row>
    <row r="193" spans="1:7" x14ac:dyDescent="0.3">
      <c r="A193" s="15">
        <v>20</v>
      </c>
      <c r="B193" s="14" t="s">
        <v>600</v>
      </c>
      <c r="C193" s="14" t="s">
        <v>601</v>
      </c>
      <c r="D193" s="14" t="s">
        <v>220</v>
      </c>
      <c r="E193" s="15">
        <v>10120</v>
      </c>
      <c r="F193" s="15">
        <v>2392</v>
      </c>
      <c r="G193" s="15">
        <v>52</v>
      </c>
    </row>
    <row r="194" spans="1:7" x14ac:dyDescent="0.3">
      <c r="A194" s="15">
        <v>20</v>
      </c>
      <c r="B194" s="14" t="s">
        <v>602</v>
      </c>
      <c r="C194" s="14" t="s">
        <v>603</v>
      </c>
      <c r="D194" s="14" t="s">
        <v>220</v>
      </c>
      <c r="E194" s="15">
        <v>8000</v>
      </c>
      <c r="F194" s="15">
        <v>2542</v>
      </c>
      <c r="G194" s="15">
        <v>52</v>
      </c>
    </row>
    <row r="195" spans="1:7" x14ac:dyDescent="0.3">
      <c r="A195" s="15">
        <v>20</v>
      </c>
      <c r="B195" s="14" t="s">
        <v>604</v>
      </c>
      <c r="C195" s="14" t="s">
        <v>605</v>
      </c>
      <c r="D195" s="14" t="s">
        <v>220</v>
      </c>
      <c r="E195" s="15">
        <v>8630</v>
      </c>
      <c r="F195" s="15">
        <v>2392</v>
      </c>
      <c r="G195" s="15">
        <v>52</v>
      </c>
    </row>
    <row r="196" spans="1:7" x14ac:dyDescent="0.3">
      <c r="A196" s="15">
        <v>20</v>
      </c>
      <c r="B196" s="14" t="s">
        <v>606</v>
      </c>
      <c r="C196" s="14" t="s">
        <v>607</v>
      </c>
      <c r="D196" s="14" t="s">
        <v>220</v>
      </c>
      <c r="E196" s="15">
        <v>8320</v>
      </c>
      <c r="F196" s="15">
        <v>2392</v>
      </c>
      <c r="G196" s="15">
        <v>52</v>
      </c>
    </row>
    <row r="197" spans="1:7" x14ac:dyDescent="0.3">
      <c r="A197" s="15">
        <v>212</v>
      </c>
      <c r="B197" s="14" t="s">
        <v>608</v>
      </c>
      <c r="C197" s="14" t="s">
        <v>609</v>
      </c>
      <c r="D197" s="14" t="s">
        <v>220</v>
      </c>
      <c r="E197" s="15">
        <v>9606</v>
      </c>
      <c r="F197" s="15">
        <v>1560</v>
      </c>
      <c r="G197" s="15">
        <v>52</v>
      </c>
    </row>
    <row r="198" spans="1:7" x14ac:dyDescent="0.3">
      <c r="A198" s="15">
        <v>213</v>
      </c>
      <c r="B198" s="14" t="s">
        <v>610</v>
      </c>
      <c r="C198" s="14" t="s">
        <v>611</v>
      </c>
      <c r="D198" s="14" t="s">
        <v>220</v>
      </c>
      <c r="E198" s="15">
        <v>1795</v>
      </c>
      <c r="F198" s="15">
        <v>1296</v>
      </c>
      <c r="G198" s="15">
        <v>49</v>
      </c>
    </row>
    <row r="199" spans="1:7" x14ac:dyDescent="0.3">
      <c r="A199" s="15">
        <v>215</v>
      </c>
      <c r="B199" s="14" t="s">
        <v>612</v>
      </c>
      <c r="C199" s="14" t="s">
        <v>613</v>
      </c>
      <c r="D199" s="14" t="s">
        <v>220</v>
      </c>
      <c r="E199" s="15">
        <v>9800</v>
      </c>
      <c r="F199" s="15">
        <v>2598</v>
      </c>
      <c r="G199" s="15">
        <v>52</v>
      </c>
    </row>
    <row r="200" spans="1:7" x14ac:dyDescent="0.3">
      <c r="A200" s="15">
        <v>228</v>
      </c>
      <c r="B200" s="14" t="s">
        <v>614</v>
      </c>
      <c r="C200" s="14" t="s">
        <v>615</v>
      </c>
      <c r="D200" s="14" t="s">
        <v>220</v>
      </c>
      <c r="E200" s="15">
        <v>5051</v>
      </c>
      <c r="F200" s="15">
        <v>2216</v>
      </c>
      <c r="G200" s="15">
        <v>50</v>
      </c>
    </row>
    <row r="201" spans="1:7" x14ac:dyDescent="0.3">
      <c r="A201" s="15">
        <v>228</v>
      </c>
      <c r="B201" s="14" t="s">
        <v>616</v>
      </c>
      <c r="C201" s="14" t="s">
        <v>617</v>
      </c>
      <c r="D201" s="14" t="s">
        <v>227</v>
      </c>
      <c r="E201" s="15">
        <v>240</v>
      </c>
      <c r="F201" s="15">
        <v>100</v>
      </c>
      <c r="G201" s="15">
        <v>3</v>
      </c>
    </row>
    <row r="202" spans="1:7" x14ac:dyDescent="0.3">
      <c r="A202" s="15">
        <v>228</v>
      </c>
      <c r="B202" s="14" t="s">
        <v>618</v>
      </c>
      <c r="C202" s="14" t="s">
        <v>619</v>
      </c>
      <c r="D202" s="14" t="s">
        <v>220</v>
      </c>
      <c r="E202" s="15">
        <v>15151</v>
      </c>
      <c r="F202" s="15">
        <v>2307</v>
      </c>
      <c r="G202" s="15">
        <v>51</v>
      </c>
    </row>
    <row r="203" spans="1:7" x14ac:dyDescent="0.3">
      <c r="A203" s="15">
        <v>228</v>
      </c>
      <c r="B203" s="14" t="s">
        <v>620</v>
      </c>
      <c r="C203" s="14" t="s">
        <v>621</v>
      </c>
      <c r="D203" s="14" t="s">
        <v>220</v>
      </c>
      <c r="E203" s="15">
        <v>1073</v>
      </c>
      <c r="F203" s="15">
        <v>962</v>
      </c>
      <c r="G203" s="15">
        <v>48</v>
      </c>
    </row>
    <row r="204" spans="1:7" x14ac:dyDescent="0.3">
      <c r="A204" s="15">
        <v>228</v>
      </c>
      <c r="B204" s="14" t="s">
        <v>622</v>
      </c>
      <c r="C204" s="14" t="s">
        <v>623</v>
      </c>
      <c r="D204" s="14" t="s">
        <v>220</v>
      </c>
      <c r="E204" s="15">
        <v>8034</v>
      </c>
      <c r="F204" s="15">
        <v>1231</v>
      </c>
      <c r="G204" s="15">
        <v>29</v>
      </c>
    </row>
    <row r="205" spans="1:7" x14ac:dyDescent="0.3">
      <c r="A205" s="15">
        <v>228</v>
      </c>
      <c r="B205" s="14" t="s">
        <v>624</v>
      </c>
      <c r="C205" s="14" t="s">
        <v>625</v>
      </c>
      <c r="D205" s="14" t="s">
        <v>220</v>
      </c>
      <c r="E205" s="15">
        <v>0</v>
      </c>
      <c r="F205" s="15">
        <v>0</v>
      </c>
      <c r="G205" s="15">
        <v>0</v>
      </c>
    </row>
    <row r="206" spans="1:7" x14ac:dyDescent="0.3">
      <c r="A206" s="15">
        <v>231</v>
      </c>
      <c r="B206" s="14" t="s">
        <v>626</v>
      </c>
      <c r="C206" s="14" t="s">
        <v>627</v>
      </c>
      <c r="D206" s="14" t="s">
        <v>220</v>
      </c>
      <c r="E206" s="15">
        <v>1287</v>
      </c>
      <c r="F206" s="15">
        <v>1912</v>
      </c>
      <c r="G206" s="15">
        <v>50</v>
      </c>
    </row>
    <row r="207" spans="1:7" x14ac:dyDescent="0.3">
      <c r="A207" s="15">
        <v>236</v>
      </c>
      <c r="B207" s="14" t="s">
        <v>628</v>
      </c>
      <c r="C207" s="14" t="s">
        <v>629</v>
      </c>
      <c r="D207" s="14" t="s">
        <v>220</v>
      </c>
      <c r="E207" s="15">
        <v>3433</v>
      </c>
      <c r="F207" s="15">
        <v>1970</v>
      </c>
      <c r="G207" s="15">
        <v>52</v>
      </c>
    </row>
    <row r="208" spans="1:7" x14ac:dyDescent="0.3">
      <c r="A208" s="15">
        <v>236</v>
      </c>
      <c r="B208" s="14" t="s">
        <v>630</v>
      </c>
      <c r="C208" s="14" t="s">
        <v>631</v>
      </c>
      <c r="D208" s="14" t="s">
        <v>220</v>
      </c>
      <c r="E208" s="15">
        <v>9200</v>
      </c>
      <c r="F208" s="15">
        <v>2265</v>
      </c>
      <c r="G208" s="15">
        <v>52</v>
      </c>
    </row>
    <row r="209" spans="1:7" x14ac:dyDescent="0.3">
      <c r="A209" s="15">
        <v>238</v>
      </c>
      <c r="B209" s="14" t="s">
        <v>632</v>
      </c>
      <c r="C209" s="14" t="s">
        <v>633</v>
      </c>
      <c r="D209" s="14" t="s">
        <v>220</v>
      </c>
      <c r="E209" s="15">
        <v>500</v>
      </c>
      <c r="F209" s="15">
        <v>1005</v>
      </c>
      <c r="G209" s="15">
        <v>52</v>
      </c>
    </row>
    <row r="210" spans="1:7" x14ac:dyDescent="0.3">
      <c r="A210" s="15">
        <v>240</v>
      </c>
      <c r="B210" s="14" t="s">
        <v>634</v>
      </c>
      <c r="C210" s="14" t="s">
        <v>635</v>
      </c>
      <c r="D210" s="14" t="s">
        <v>220</v>
      </c>
      <c r="E210" s="15">
        <v>12630</v>
      </c>
      <c r="F210" s="15">
        <v>2727</v>
      </c>
      <c r="G210" s="15">
        <v>52</v>
      </c>
    </row>
    <row r="211" spans="1:7" x14ac:dyDescent="0.3">
      <c r="A211" s="15">
        <v>240</v>
      </c>
      <c r="B211" s="14" t="s">
        <v>636</v>
      </c>
      <c r="C211" s="14" t="s">
        <v>637</v>
      </c>
      <c r="D211" s="14" t="s">
        <v>220</v>
      </c>
      <c r="E211" s="15">
        <v>10426</v>
      </c>
      <c r="F211" s="15">
        <v>2727</v>
      </c>
      <c r="G211" s="15">
        <v>52</v>
      </c>
    </row>
    <row r="212" spans="1:7" x14ac:dyDescent="0.3">
      <c r="A212" s="15">
        <v>240</v>
      </c>
      <c r="B212" s="14" t="s">
        <v>638</v>
      </c>
      <c r="C212" s="14" t="s">
        <v>639</v>
      </c>
      <c r="D212" s="14" t="s">
        <v>220</v>
      </c>
      <c r="E212" s="15">
        <v>10426</v>
      </c>
      <c r="F212" s="15">
        <v>2727</v>
      </c>
      <c r="G212" s="15">
        <v>52</v>
      </c>
    </row>
    <row r="213" spans="1:7" x14ac:dyDescent="0.3">
      <c r="A213" s="15">
        <v>254</v>
      </c>
      <c r="B213" s="14" t="s">
        <v>640</v>
      </c>
      <c r="C213" s="14" t="s">
        <v>641</v>
      </c>
      <c r="D213" s="14" t="s">
        <v>220</v>
      </c>
      <c r="E213" s="15">
        <v>11000</v>
      </c>
      <c r="F213" s="15">
        <v>3322</v>
      </c>
      <c r="G213" s="15">
        <v>52</v>
      </c>
    </row>
    <row r="214" spans="1:7" x14ac:dyDescent="0.3">
      <c r="A214" s="15">
        <v>254</v>
      </c>
      <c r="B214" s="14" t="s">
        <v>642</v>
      </c>
      <c r="C214" s="14" t="s">
        <v>643</v>
      </c>
      <c r="D214" s="14" t="s">
        <v>220</v>
      </c>
      <c r="E214" s="15">
        <v>11000</v>
      </c>
      <c r="F214" s="15">
        <v>3322</v>
      </c>
      <c r="G214" s="15">
        <v>52</v>
      </c>
    </row>
    <row r="215" spans="1:7" x14ac:dyDescent="0.3">
      <c r="A215" s="15">
        <v>256</v>
      </c>
      <c r="B215" s="14" t="s">
        <v>644</v>
      </c>
      <c r="C215" s="14" t="s">
        <v>645</v>
      </c>
      <c r="D215" s="14" t="s">
        <v>220</v>
      </c>
      <c r="E215" s="15">
        <v>20000</v>
      </c>
      <c r="F215" s="15">
        <v>3136</v>
      </c>
      <c r="G215" s="15">
        <v>52</v>
      </c>
    </row>
    <row r="216" spans="1:7" x14ac:dyDescent="0.3">
      <c r="A216" s="15">
        <v>262</v>
      </c>
      <c r="B216" s="14" t="s">
        <v>646</v>
      </c>
      <c r="C216" s="14" t="s">
        <v>647</v>
      </c>
      <c r="D216" s="14" t="s">
        <v>220</v>
      </c>
      <c r="E216" s="15">
        <v>10000</v>
      </c>
      <c r="F216" s="15">
        <v>2730</v>
      </c>
      <c r="G216" s="15">
        <v>52</v>
      </c>
    </row>
    <row r="217" spans="1:7" x14ac:dyDescent="0.3">
      <c r="A217" s="15">
        <v>264</v>
      </c>
      <c r="B217" s="14" t="s">
        <v>648</v>
      </c>
      <c r="C217" s="14" t="s">
        <v>649</v>
      </c>
      <c r="D217" s="14" t="s">
        <v>220</v>
      </c>
      <c r="E217" s="15">
        <v>32956</v>
      </c>
      <c r="F217" s="15">
        <v>3000</v>
      </c>
      <c r="G217" s="15">
        <v>49</v>
      </c>
    </row>
    <row r="218" spans="1:7" x14ac:dyDescent="0.3">
      <c r="A218" s="15">
        <v>266</v>
      </c>
      <c r="B218" s="14" t="s">
        <v>650</v>
      </c>
      <c r="C218" s="14" t="s">
        <v>651</v>
      </c>
      <c r="D218" s="14" t="s">
        <v>227</v>
      </c>
      <c r="E218" s="15">
        <v>0</v>
      </c>
      <c r="F218" s="15">
        <v>212</v>
      </c>
      <c r="G218" s="15">
        <v>48</v>
      </c>
    </row>
    <row r="219" spans="1:7" x14ac:dyDescent="0.3">
      <c r="A219" s="15">
        <v>269</v>
      </c>
      <c r="B219" s="14" t="s">
        <v>652</v>
      </c>
      <c r="C219" s="14" t="s">
        <v>653</v>
      </c>
      <c r="D219" s="14" t="s">
        <v>220</v>
      </c>
      <c r="E219" s="15">
        <v>480</v>
      </c>
      <c r="F219" s="15">
        <v>900</v>
      </c>
      <c r="G219" s="15">
        <v>52</v>
      </c>
    </row>
    <row r="220" spans="1:7" x14ac:dyDescent="0.3">
      <c r="A220" s="15">
        <v>269</v>
      </c>
      <c r="B220" s="14" t="s">
        <v>654</v>
      </c>
      <c r="C220" s="14" t="s">
        <v>655</v>
      </c>
      <c r="D220" s="14" t="s">
        <v>220</v>
      </c>
      <c r="E220" s="15">
        <v>2030</v>
      </c>
      <c r="F220" s="15">
        <v>2223</v>
      </c>
      <c r="G220" s="15">
        <v>52</v>
      </c>
    </row>
    <row r="221" spans="1:7" x14ac:dyDescent="0.3">
      <c r="A221" s="15">
        <v>28</v>
      </c>
      <c r="B221" s="14" t="s">
        <v>656</v>
      </c>
      <c r="C221" s="14" t="s">
        <v>657</v>
      </c>
      <c r="D221" s="14" t="s">
        <v>220</v>
      </c>
      <c r="E221" s="15">
        <v>500</v>
      </c>
      <c r="F221" s="15">
        <v>896</v>
      </c>
      <c r="G221" s="15">
        <v>46</v>
      </c>
    </row>
    <row r="222" spans="1:7" x14ac:dyDescent="0.3">
      <c r="A222" s="15">
        <v>283</v>
      </c>
      <c r="B222" s="14" t="s">
        <v>658</v>
      </c>
      <c r="C222" s="14" t="s">
        <v>659</v>
      </c>
      <c r="D222" s="14" t="s">
        <v>220</v>
      </c>
      <c r="E222" s="15">
        <v>805</v>
      </c>
      <c r="F222" s="15">
        <v>1000</v>
      </c>
      <c r="G222" s="15">
        <v>50</v>
      </c>
    </row>
    <row r="223" spans="1:7" x14ac:dyDescent="0.3">
      <c r="A223" s="15">
        <v>284</v>
      </c>
      <c r="B223" s="14" t="s">
        <v>660</v>
      </c>
      <c r="C223" s="14" t="s">
        <v>661</v>
      </c>
      <c r="D223" s="14" t="s">
        <v>220</v>
      </c>
      <c r="E223" s="15">
        <v>736</v>
      </c>
      <c r="F223" s="15">
        <v>1378</v>
      </c>
      <c r="G223" s="15">
        <v>50</v>
      </c>
    </row>
    <row r="224" spans="1:7" x14ac:dyDescent="0.3">
      <c r="A224" s="15">
        <v>295</v>
      </c>
      <c r="B224" s="14" t="s">
        <v>662</v>
      </c>
      <c r="C224" s="14" t="s">
        <v>663</v>
      </c>
      <c r="D224" s="14" t="s">
        <v>220</v>
      </c>
      <c r="E224" s="15">
        <v>1099</v>
      </c>
      <c r="F224" s="15">
        <v>1030</v>
      </c>
      <c r="G224" s="15">
        <v>52</v>
      </c>
    </row>
    <row r="225" spans="1:7" x14ac:dyDescent="0.3">
      <c r="A225" s="15">
        <v>298</v>
      </c>
      <c r="B225" s="14" t="s">
        <v>664</v>
      </c>
      <c r="C225" s="14" t="s">
        <v>665</v>
      </c>
      <c r="D225" s="14" t="s">
        <v>220</v>
      </c>
      <c r="E225" s="15">
        <v>1000</v>
      </c>
      <c r="F225" s="15">
        <v>880</v>
      </c>
      <c r="G225" s="15">
        <v>47</v>
      </c>
    </row>
    <row r="226" spans="1:7" x14ac:dyDescent="0.3">
      <c r="A226" s="15">
        <v>298</v>
      </c>
      <c r="B226" s="14" t="s">
        <v>666</v>
      </c>
      <c r="C226" s="14" t="s">
        <v>667</v>
      </c>
      <c r="D226" s="14" t="s">
        <v>220</v>
      </c>
      <c r="E226" s="15">
        <v>3444</v>
      </c>
      <c r="F226" s="15">
        <v>988</v>
      </c>
      <c r="G226" s="15">
        <v>52</v>
      </c>
    </row>
    <row r="227" spans="1:7" x14ac:dyDescent="0.3">
      <c r="A227" s="15">
        <v>298</v>
      </c>
      <c r="B227" s="14" t="s">
        <v>668</v>
      </c>
      <c r="C227" s="14" t="s">
        <v>669</v>
      </c>
      <c r="D227" s="14" t="s">
        <v>220</v>
      </c>
      <c r="E227" s="15">
        <v>1200</v>
      </c>
      <c r="F227" s="15">
        <v>988</v>
      </c>
      <c r="G227" s="15">
        <v>52</v>
      </c>
    </row>
    <row r="228" spans="1:7" x14ac:dyDescent="0.3">
      <c r="A228" s="15">
        <v>30</v>
      </c>
      <c r="B228" s="14" t="s">
        <v>670</v>
      </c>
      <c r="C228" s="14" t="s">
        <v>671</v>
      </c>
      <c r="D228" s="14" t="s">
        <v>220</v>
      </c>
      <c r="E228" s="15">
        <v>11500</v>
      </c>
      <c r="F228" s="15">
        <v>3132</v>
      </c>
      <c r="G228" s="15">
        <v>52</v>
      </c>
    </row>
    <row r="229" spans="1:7" x14ac:dyDescent="0.3">
      <c r="A229" s="15">
        <v>30</v>
      </c>
      <c r="B229" s="14" t="s">
        <v>672</v>
      </c>
      <c r="C229" s="14" t="s">
        <v>673</v>
      </c>
      <c r="D229" s="14" t="s">
        <v>220</v>
      </c>
      <c r="E229" s="15">
        <v>1400</v>
      </c>
      <c r="F229" s="15">
        <v>2617</v>
      </c>
      <c r="G229" s="15">
        <v>52</v>
      </c>
    </row>
    <row r="230" spans="1:7" x14ac:dyDescent="0.3">
      <c r="A230" s="15">
        <v>30</v>
      </c>
      <c r="B230" s="14" t="s">
        <v>674</v>
      </c>
      <c r="C230" s="14" t="s">
        <v>675</v>
      </c>
      <c r="D230" s="14" t="s">
        <v>220</v>
      </c>
      <c r="E230" s="15">
        <v>16030</v>
      </c>
      <c r="F230" s="15">
        <v>3132</v>
      </c>
      <c r="G230" s="15">
        <v>52</v>
      </c>
    </row>
    <row r="231" spans="1:7" x14ac:dyDescent="0.3">
      <c r="A231" s="15">
        <v>30</v>
      </c>
      <c r="B231" s="14" t="s">
        <v>676</v>
      </c>
      <c r="C231" s="14" t="s">
        <v>677</v>
      </c>
      <c r="D231" s="14" t="s">
        <v>220</v>
      </c>
      <c r="E231" s="15">
        <v>24008</v>
      </c>
      <c r="F231" s="15">
        <v>3124</v>
      </c>
      <c r="G231" s="15">
        <v>52</v>
      </c>
    </row>
    <row r="232" spans="1:7" x14ac:dyDescent="0.3">
      <c r="A232" s="15">
        <v>30</v>
      </c>
      <c r="B232" s="14" t="s">
        <v>678</v>
      </c>
      <c r="C232" s="14" t="s">
        <v>679</v>
      </c>
      <c r="D232" s="14" t="s">
        <v>220</v>
      </c>
      <c r="E232" s="15">
        <v>11970</v>
      </c>
      <c r="F232" s="15">
        <v>3132</v>
      </c>
      <c r="G232" s="15">
        <v>52</v>
      </c>
    </row>
    <row r="233" spans="1:7" x14ac:dyDescent="0.3">
      <c r="A233" s="15">
        <v>300</v>
      </c>
      <c r="B233" s="14" t="s">
        <v>680</v>
      </c>
      <c r="C233" s="14" t="s">
        <v>681</v>
      </c>
      <c r="D233" s="14" t="s">
        <v>220</v>
      </c>
      <c r="E233" s="15">
        <v>10300</v>
      </c>
      <c r="F233" s="15">
        <v>2416</v>
      </c>
      <c r="G233" s="15">
        <v>52</v>
      </c>
    </row>
    <row r="234" spans="1:7" x14ac:dyDescent="0.3">
      <c r="A234" s="15">
        <v>311</v>
      </c>
      <c r="B234" s="14" t="s">
        <v>682</v>
      </c>
      <c r="C234" s="14" t="s">
        <v>683</v>
      </c>
      <c r="D234" s="14" t="s">
        <v>220</v>
      </c>
      <c r="E234" s="15">
        <v>30000</v>
      </c>
      <c r="F234" s="15">
        <v>3421</v>
      </c>
      <c r="G234" s="15">
        <v>52</v>
      </c>
    </row>
    <row r="235" spans="1:7" x14ac:dyDescent="0.3">
      <c r="A235" s="15">
        <v>311</v>
      </c>
      <c r="B235" s="14" t="s">
        <v>684</v>
      </c>
      <c r="C235" s="14" t="s">
        <v>685</v>
      </c>
      <c r="D235" s="14" t="s">
        <v>220</v>
      </c>
      <c r="E235" s="15">
        <v>30000</v>
      </c>
      <c r="F235" s="15">
        <v>3433</v>
      </c>
      <c r="G235" s="15">
        <v>52</v>
      </c>
    </row>
    <row r="236" spans="1:7" x14ac:dyDescent="0.3">
      <c r="A236" s="15">
        <v>311</v>
      </c>
      <c r="B236" s="14" t="s">
        <v>686</v>
      </c>
      <c r="C236" s="14" t="s">
        <v>687</v>
      </c>
      <c r="D236" s="14" t="s">
        <v>220</v>
      </c>
      <c r="E236" s="15">
        <v>30000</v>
      </c>
      <c r="F236" s="15">
        <v>3352</v>
      </c>
      <c r="G236" s="15">
        <v>52</v>
      </c>
    </row>
    <row r="237" spans="1:7" x14ac:dyDescent="0.3">
      <c r="A237" s="15">
        <v>311</v>
      </c>
      <c r="B237" s="14" t="s">
        <v>688</v>
      </c>
      <c r="C237" s="14" t="s">
        <v>689</v>
      </c>
      <c r="D237" s="14" t="s">
        <v>220</v>
      </c>
      <c r="E237" s="15">
        <v>30000</v>
      </c>
      <c r="F237" s="15">
        <v>3356</v>
      </c>
      <c r="G237" s="15">
        <v>52</v>
      </c>
    </row>
    <row r="238" spans="1:7" x14ac:dyDescent="0.3">
      <c r="A238" s="15">
        <v>315</v>
      </c>
      <c r="B238" s="14" t="s">
        <v>690</v>
      </c>
      <c r="C238" s="14" t="s">
        <v>691</v>
      </c>
      <c r="D238" s="14" t="s">
        <v>220</v>
      </c>
      <c r="E238" s="15">
        <v>500</v>
      </c>
      <c r="F238" s="15">
        <v>877</v>
      </c>
      <c r="G238" s="15">
        <v>52</v>
      </c>
    </row>
    <row r="239" spans="1:7" x14ac:dyDescent="0.3">
      <c r="A239" s="15">
        <v>316</v>
      </c>
      <c r="B239" s="14" t="s">
        <v>692</v>
      </c>
      <c r="C239" s="14" t="s">
        <v>693</v>
      </c>
      <c r="D239" s="14" t="s">
        <v>220</v>
      </c>
      <c r="E239" s="15">
        <v>3867</v>
      </c>
      <c r="F239" s="15">
        <v>1593</v>
      </c>
      <c r="G239" s="15">
        <v>50</v>
      </c>
    </row>
    <row r="240" spans="1:7" x14ac:dyDescent="0.3">
      <c r="A240" s="15">
        <v>316</v>
      </c>
      <c r="B240" s="14" t="s">
        <v>694</v>
      </c>
      <c r="C240" s="14" t="s">
        <v>695</v>
      </c>
      <c r="D240" s="14" t="s">
        <v>220</v>
      </c>
      <c r="E240" s="15">
        <v>1786</v>
      </c>
      <c r="F240" s="15">
        <v>1503</v>
      </c>
      <c r="G240" s="15">
        <v>51</v>
      </c>
    </row>
    <row r="241" spans="1:7" x14ac:dyDescent="0.3">
      <c r="A241" s="15">
        <v>316</v>
      </c>
      <c r="B241" s="14" t="s">
        <v>696</v>
      </c>
      <c r="C241" s="14" t="s">
        <v>697</v>
      </c>
      <c r="D241" s="14" t="s">
        <v>220</v>
      </c>
      <c r="E241" s="15">
        <v>7560</v>
      </c>
      <c r="F241" s="15">
        <v>1505</v>
      </c>
      <c r="G241" s="15">
        <v>51</v>
      </c>
    </row>
    <row r="242" spans="1:7" x14ac:dyDescent="0.3">
      <c r="A242" s="15">
        <v>324</v>
      </c>
      <c r="B242" s="14" t="s">
        <v>698</v>
      </c>
      <c r="C242" s="14" t="s">
        <v>699</v>
      </c>
      <c r="D242" s="14" t="s">
        <v>220</v>
      </c>
      <c r="E242" s="15">
        <v>888</v>
      </c>
      <c r="F242" s="15">
        <v>714</v>
      </c>
      <c r="G242" s="15">
        <v>52</v>
      </c>
    </row>
    <row r="243" spans="1:7" x14ac:dyDescent="0.3">
      <c r="A243" s="15">
        <v>329</v>
      </c>
      <c r="B243" s="14" t="s">
        <v>700</v>
      </c>
      <c r="C243" s="14" t="s">
        <v>701</v>
      </c>
      <c r="D243" s="14" t="s">
        <v>220</v>
      </c>
      <c r="E243" s="15">
        <v>18600</v>
      </c>
      <c r="F243" s="15">
        <v>2537</v>
      </c>
      <c r="G243" s="15">
        <v>52</v>
      </c>
    </row>
    <row r="244" spans="1:7" x14ac:dyDescent="0.3">
      <c r="A244" s="15">
        <v>329</v>
      </c>
      <c r="B244" s="14" t="s">
        <v>702</v>
      </c>
      <c r="C244" s="14" t="s">
        <v>703</v>
      </c>
      <c r="D244" s="14" t="s">
        <v>220</v>
      </c>
      <c r="E244" s="15">
        <v>6280</v>
      </c>
      <c r="F244" s="15">
        <v>2136</v>
      </c>
      <c r="G244" s="15">
        <v>52</v>
      </c>
    </row>
    <row r="245" spans="1:7" x14ac:dyDescent="0.3">
      <c r="A245" s="15">
        <v>329</v>
      </c>
      <c r="B245" s="14" t="s">
        <v>704</v>
      </c>
      <c r="C245" s="14" t="s">
        <v>705</v>
      </c>
      <c r="D245" s="14" t="s">
        <v>220</v>
      </c>
      <c r="E245" s="15">
        <v>77000</v>
      </c>
      <c r="F245" s="15">
        <v>2840</v>
      </c>
      <c r="G245" s="15">
        <v>52</v>
      </c>
    </row>
    <row r="246" spans="1:7" x14ac:dyDescent="0.3">
      <c r="A246" s="15">
        <v>329</v>
      </c>
      <c r="B246" s="14" t="s">
        <v>706</v>
      </c>
      <c r="C246" s="14" t="s">
        <v>707</v>
      </c>
      <c r="D246" s="14" t="s">
        <v>220</v>
      </c>
      <c r="E246" s="15">
        <v>1535</v>
      </c>
      <c r="F246" s="15">
        <v>2241</v>
      </c>
      <c r="G246" s="15">
        <v>52</v>
      </c>
    </row>
    <row r="247" spans="1:7" x14ac:dyDescent="0.3">
      <c r="A247" s="15">
        <v>329</v>
      </c>
      <c r="B247" s="14" t="s">
        <v>708</v>
      </c>
      <c r="C247" s="14" t="s">
        <v>709</v>
      </c>
      <c r="D247" s="14" t="s">
        <v>220</v>
      </c>
      <c r="E247" s="15">
        <v>10500</v>
      </c>
      <c r="F247" s="15">
        <v>2169</v>
      </c>
      <c r="G247" s="15">
        <v>52</v>
      </c>
    </row>
    <row r="248" spans="1:7" x14ac:dyDescent="0.3">
      <c r="A248" s="15">
        <v>329</v>
      </c>
      <c r="B248" s="14" t="s">
        <v>710</v>
      </c>
      <c r="C248" s="14" t="s">
        <v>711</v>
      </c>
      <c r="D248" s="14" t="s">
        <v>220</v>
      </c>
      <c r="E248" s="15">
        <v>4800</v>
      </c>
      <c r="F248" s="15">
        <v>1991</v>
      </c>
      <c r="G248" s="15">
        <v>52</v>
      </c>
    </row>
    <row r="249" spans="1:7" x14ac:dyDescent="0.3">
      <c r="A249" s="15">
        <v>329</v>
      </c>
      <c r="B249" s="14" t="s">
        <v>712</v>
      </c>
      <c r="C249" s="14" t="s">
        <v>713</v>
      </c>
      <c r="D249" s="14" t="s">
        <v>220</v>
      </c>
      <c r="E249" s="15">
        <v>19400</v>
      </c>
      <c r="F249" s="15">
        <v>2537</v>
      </c>
      <c r="G249" s="15">
        <v>52</v>
      </c>
    </row>
    <row r="250" spans="1:7" x14ac:dyDescent="0.3">
      <c r="A250" s="15">
        <v>329</v>
      </c>
      <c r="B250" s="14" t="s">
        <v>714</v>
      </c>
      <c r="C250" s="14" t="s">
        <v>715</v>
      </c>
      <c r="D250" s="14" t="s">
        <v>220</v>
      </c>
      <c r="E250" s="15">
        <v>33500</v>
      </c>
      <c r="F250" s="15">
        <v>2536</v>
      </c>
      <c r="G250" s="15">
        <v>52</v>
      </c>
    </row>
    <row r="251" spans="1:7" x14ac:dyDescent="0.3">
      <c r="A251" s="15">
        <v>329</v>
      </c>
      <c r="B251" s="14" t="s">
        <v>716</v>
      </c>
      <c r="C251" s="14" t="s">
        <v>717</v>
      </c>
      <c r="D251" s="14" t="s">
        <v>220</v>
      </c>
      <c r="E251" s="15">
        <v>21300</v>
      </c>
      <c r="F251" s="15">
        <v>2523</v>
      </c>
      <c r="G251" s="15">
        <v>52</v>
      </c>
    </row>
    <row r="252" spans="1:7" x14ac:dyDescent="0.3">
      <c r="A252" s="15">
        <v>329</v>
      </c>
      <c r="B252" s="14" t="s">
        <v>718</v>
      </c>
      <c r="C252" s="14" t="s">
        <v>719</v>
      </c>
      <c r="D252" s="14" t="s">
        <v>220</v>
      </c>
      <c r="E252" s="15">
        <v>44989</v>
      </c>
      <c r="F252" s="15">
        <v>3493</v>
      </c>
      <c r="G252" s="15">
        <v>52</v>
      </c>
    </row>
    <row r="253" spans="1:7" x14ac:dyDescent="0.3">
      <c r="A253" s="15">
        <v>329</v>
      </c>
      <c r="B253" s="14" t="s">
        <v>720</v>
      </c>
      <c r="C253" s="14" t="s">
        <v>721</v>
      </c>
      <c r="D253" s="14" t="s">
        <v>220</v>
      </c>
      <c r="E253" s="15">
        <v>40193</v>
      </c>
      <c r="F253" s="15">
        <v>2541</v>
      </c>
      <c r="G253" s="15">
        <v>52</v>
      </c>
    </row>
    <row r="254" spans="1:7" x14ac:dyDescent="0.3">
      <c r="A254" s="15">
        <v>334</v>
      </c>
      <c r="B254" s="14" t="s">
        <v>722</v>
      </c>
      <c r="C254" s="14" t="s">
        <v>723</v>
      </c>
      <c r="D254" s="14" t="s">
        <v>220</v>
      </c>
      <c r="E254" s="15">
        <v>1424</v>
      </c>
      <c r="F254" s="15">
        <v>917</v>
      </c>
      <c r="G254" s="15">
        <v>46</v>
      </c>
    </row>
    <row r="255" spans="1:7" x14ac:dyDescent="0.3">
      <c r="A255" s="15">
        <v>343</v>
      </c>
      <c r="B255" s="14" t="s">
        <v>724</v>
      </c>
      <c r="C255" s="14" t="s">
        <v>725</v>
      </c>
      <c r="D255" s="14" t="s">
        <v>220</v>
      </c>
      <c r="E255" s="15">
        <v>5096</v>
      </c>
      <c r="F255" s="15">
        <v>1932</v>
      </c>
      <c r="G255" s="15">
        <v>52</v>
      </c>
    </row>
    <row r="256" spans="1:7" x14ac:dyDescent="0.3">
      <c r="A256" s="15">
        <v>343</v>
      </c>
      <c r="B256" s="14" t="s">
        <v>726</v>
      </c>
      <c r="C256" s="14" t="s">
        <v>727</v>
      </c>
      <c r="D256" s="14" t="s">
        <v>220</v>
      </c>
      <c r="E256" s="15">
        <v>2680</v>
      </c>
      <c r="F256" s="15">
        <v>1684</v>
      </c>
      <c r="G256" s="15">
        <v>52</v>
      </c>
    </row>
    <row r="257" spans="1:7" x14ac:dyDescent="0.3">
      <c r="A257" s="15">
        <v>344</v>
      </c>
      <c r="B257" s="14" t="s">
        <v>728</v>
      </c>
      <c r="C257" s="14" t="s">
        <v>729</v>
      </c>
      <c r="D257" s="14" t="s">
        <v>220</v>
      </c>
      <c r="E257" s="15">
        <v>10336</v>
      </c>
      <c r="F257" s="15">
        <v>2912</v>
      </c>
      <c r="G257" s="15">
        <v>52</v>
      </c>
    </row>
    <row r="258" spans="1:7" x14ac:dyDescent="0.3">
      <c r="A258" s="15">
        <v>344</v>
      </c>
      <c r="B258" s="14" t="s">
        <v>730</v>
      </c>
      <c r="C258" s="14" t="s">
        <v>731</v>
      </c>
      <c r="D258" s="14" t="s">
        <v>220</v>
      </c>
      <c r="E258" s="15">
        <v>14470</v>
      </c>
      <c r="F258" s="15">
        <v>2912</v>
      </c>
      <c r="G258" s="15">
        <v>52</v>
      </c>
    </row>
    <row r="259" spans="1:7" x14ac:dyDescent="0.3">
      <c r="A259" s="15">
        <v>344</v>
      </c>
      <c r="B259" s="14" t="s">
        <v>568</v>
      </c>
      <c r="C259" s="14" t="s">
        <v>732</v>
      </c>
      <c r="D259" s="14" t="s">
        <v>220</v>
      </c>
      <c r="E259" s="15">
        <v>10770</v>
      </c>
      <c r="F259" s="15">
        <v>2912</v>
      </c>
      <c r="G259" s="15">
        <v>52</v>
      </c>
    </row>
    <row r="260" spans="1:7" x14ac:dyDescent="0.3">
      <c r="A260" s="15">
        <v>344</v>
      </c>
      <c r="B260" s="14" t="s">
        <v>733</v>
      </c>
      <c r="C260" s="14" t="s">
        <v>734</v>
      </c>
      <c r="D260" s="14" t="s">
        <v>220</v>
      </c>
      <c r="E260" s="15">
        <v>13617</v>
      </c>
      <c r="F260" s="15">
        <v>2912</v>
      </c>
      <c r="G260" s="15">
        <v>52</v>
      </c>
    </row>
    <row r="261" spans="1:7" x14ac:dyDescent="0.3">
      <c r="A261" s="15">
        <v>344</v>
      </c>
      <c r="B261" s="14" t="s">
        <v>735</v>
      </c>
      <c r="C261" s="14" t="s">
        <v>736</v>
      </c>
      <c r="D261" s="14" t="s">
        <v>220</v>
      </c>
      <c r="E261" s="15">
        <v>9234</v>
      </c>
      <c r="F261" s="15">
        <v>2912</v>
      </c>
      <c r="G261" s="15">
        <v>52</v>
      </c>
    </row>
    <row r="262" spans="1:7" x14ac:dyDescent="0.3">
      <c r="A262" s="15">
        <v>344</v>
      </c>
      <c r="B262" s="14" t="s">
        <v>737</v>
      </c>
      <c r="C262" s="14" t="s">
        <v>738</v>
      </c>
      <c r="D262" s="14" t="s">
        <v>220</v>
      </c>
      <c r="E262" s="15">
        <v>13065</v>
      </c>
      <c r="F262" s="15">
        <v>2912</v>
      </c>
      <c r="G262" s="15">
        <v>52</v>
      </c>
    </row>
    <row r="263" spans="1:7" x14ac:dyDescent="0.3">
      <c r="A263" s="15">
        <v>344</v>
      </c>
      <c r="B263" s="14" t="s">
        <v>739</v>
      </c>
      <c r="C263" s="14" t="s">
        <v>740</v>
      </c>
      <c r="D263" s="14" t="s">
        <v>220</v>
      </c>
      <c r="E263" s="15">
        <v>11428</v>
      </c>
      <c r="F263" s="15">
        <v>2912</v>
      </c>
      <c r="G263" s="15">
        <v>52</v>
      </c>
    </row>
    <row r="264" spans="1:7" x14ac:dyDescent="0.3">
      <c r="A264" s="15">
        <v>344</v>
      </c>
      <c r="B264" s="14" t="s">
        <v>741</v>
      </c>
      <c r="C264" s="14" t="s">
        <v>742</v>
      </c>
      <c r="D264" s="14" t="s">
        <v>220</v>
      </c>
      <c r="E264" s="15">
        <v>5252</v>
      </c>
      <c r="F264" s="15">
        <v>2912</v>
      </c>
      <c r="G264" s="15">
        <v>52</v>
      </c>
    </row>
    <row r="265" spans="1:7" x14ac:dyDescent="0.3">
      <c r="A265" s="15">
        <v>344</v>
      </c>
      <c r="B265" s="14" t="s">
        <v>743</v>
      </c>
      <c r="C265" s="14" t="s">
        <v>744</v>
      </c>
      <c r="D265" s="14" t="s">
        <v>220</v>
      </c>
      <c r="E265" s="15">
        <v>13792</v>
      </c>
      <c r="F265" s="15">
        <v>2912</v>
      </c>
      <c r="G265" s="15">
        <v>52</v>
      </c>
    </row>
    <row r="266" spans="1:7" x14ac:dyDescent="0.3">
      <c r="A266" s="15">
        <v>344</v>
      </c>
      <c r="B266" s="14" t="s">
        <v>745</v>
      </c>
      <c r="C266" s="14" t="s">
        <v>746</v>
      </c>
      <c r="D266" s="14" t="s">
        <v>220</v>
      </c>
      <c r="E266" s="15">
        <v>12677</v>
      </c>
      <c r="F266" s="15">
        <v>2912</v>
      </c>
      <c r="G266" s="15">
        <v>52</v>
      </c>
    </row>
    <row r="267" spans="1:7" x14ac:dyDescent="0.3">
      <c r="A267" s="15">
        <v>344</v>
      </c>
      <c r="B267" s="14" t="s">
        <v>747</v>
      </c>
      <c r="C267" s="14" t="s">
        <v>748</v>
      </c>
      <c r="D267" s="14" t="s">
        <v>220</v>
      </c>
      <c r="E267" s="15">
        <v>9999</v>
      </c>
      <c r="F267" s="15">
        <v>2912</v>
      </c>
      <c r="G267" s="15">
        <v>52</v>
      </c>
    </row>
    <row r="268" spans="1:7" x14ac:dyDescent="0.3">
      <c r="A268" s="15">
        <v>344</v>
      </c>
      <c r="B268" s="14" t="s">
        <v>749</v>
      </c>
      <c r="C268" s="14" t="s">
        <v>750</v>
      </c>
      <c r="D268" s="14" t="s">
        <v>220</v>
      </c>
      <c r="E268" s="15">
        <v>13060</v>
      </c>
      <c r="F268" s="15">
        <v>2912</v>
      </c>
      <c r="G268" s="15">
        <v>52</v>
      </c>
    </row>
    <row r="269" spans="1:7" x14ac:dyDescent="0.3">
      <c r="A269" s="15">
        <v>344</v>
      </c>
      <c r="B269" s="14" t="s">
        <v>751</v>
      </c>
      <c r="C269" s="14" t="s">
        <v>752</v>
      </c>
      <c r="D269" s="14" t="s">
        <v>220</v>
      </c>
      <c r="E269" s="15">
        <v>11322</v>
      </c>
      <c r="F269" s="15">
        <v>2912</v>
      </c>
      <c r="G269" s="15">
        <v>52</v>
      </c>
    </row>
    <row r="270" spans="1:7" x14ac:dyDescent="0.3">
      <c r="A270" s="15">
        <v>344</v>
      </c>
      <c r="B270" s="14" t="s">
        <v>753</v>
      </c>
      <c r="C270" s="14" t="s">
        <v>754</v>
      </c>
      <c r="D270" s="14" t="s">
        <v>220</v>
      </c>
      <c r="E270" s="15">
        <v>4450</v>
      </c>
      <c r="F270" s="15">
        <v>2912</v>
      </c>
      <c r="G270" s="15">
        <v>52</v>
      </c>
    </row>
    <row r="271" spans="1:7" x14ac:dyDescent="0.3">
      <c r="A271" s="15">
        <v>344</v>
      </c>
      <c r="B271" s="14" t="s">
        <v>755</v>
      </c>
      <c r="C271" s="14" t="s">
        <v>756</v>
      </c>
      <c r="D271" s="14" t="s">
        <v>220</v>
      </c>
      <c r="E271" s="15">
        <v>12304</v>
      </c>
      <c r="F271" s="15">
        <v>2912</v>
      </c>
      <c r="G271" s="15">
        <v>52</v>
      </c>
    </row>
    <row r="272" spans="1:7" x14ac:dyDescent="0.3">
      <c r="A272" s="15">
        <v>344</v>
      </c>
      <c r="B272" s="14" t="s">
        <v>757</v>
      </c>
      <c r="C272" s="14" t="s">
        <v>758</v>
      </c>
      <c r="D272" s="14" t="s">
        <v>220</v>
      </c>
      <c r="E272" s="15">
        <v>12035</v>
      </c>
      <c r="F272" s="15">
        <v>2912</v>
      </c>
      <c r="G272" s="15">
        <v>52</v>
      </c>
    </row>
    <row r="273" spans="1:7" x14ac:dyDescent="0.3">
      <c r="A273" s="15">
        <v>344</v>
      </c>
      <c r="B273" s="14" t="s">
        <v>759</v>
      </c>
      <c r="C273" s="14" t="s">
        <v>760</v>
      </c>
      <c r="D273" s="14" t="s">
        <v>220</v>
      </c>
      <c r="E273" s="15">
        <v>11350</v>
      </c>
      <c r="F273" s="15">
        <v>2912</v>
      </c>
      <c r="G273" s="15">
        <v>52</v>
      </c>
    </row>
    <row r="274" spans="1:7" x14ac:dyDescent="0.3">
      <c r="A274" s="15">
        <v>344</v>
      </c>
      <c r="B274" s="14" t="s">
        <v>761</v>
      </c>
      <c r="C274" s="14" t="s">
        <v>762</v>
      </c>
      <c r="D274" s="14" t="s">
        <v>220</v>
      </c>
      <c r="E274" s="15">
        <v>17032</v>
      </c>
      <c r="F274" s="15">
        <v>2912</v>
      </c>
      <c r="G274" s="15">
        <v>52</v>
      </c>
    </row>
    <row r="275" spans="1:7" x14ac:dyDescent="0.3">
      <c r="A275" s="15">
        <v>344</v>
      </c>
      <c r="B275" s="14" t="s">
        <v>763</v>
      </c>
      <c r="C275" s="14" t="s">
        <v>764</v>
      </c>
      <c r="D275" s="14" t="s">
        <v>220</v>
      </c>
      <c r="E275" s="15">
        <v>14452</v>
      </c>
      <c r="F275" s="15">
        <v>2912</v>
      </c>
      <c r="G275" s="15">
        <v>52</v>
      </c>
    </row>
    <row r="276" spans="1:7" x14ac:dyDescent="0.3">
      <c r="A276" s="15">
        <v>344</v>
      </c>
      <c r="B276" s="14" t="s">
        <v>765</v>
      </c>
      <c r="C276" s="14" t="s">
        <v>766</v>
      </c>
      <c r="D276" s="14" t="s">
        <v>220</v>
      </c>
      <c r="E276" s="15">
        <v>15975</v>
      </c>
      <c r="F276" s="15">
        <v>2912</v>
      </c>
      <c r="G276" s="15">
        <v>52</v>
      </c>
    </row>
    <row r="277" spans="1:7" x14ac:dyDescent="0.3">
      <c r="A277" s="15">
        <v>344</v>
      </c>
      <c r="B277" s="14" t="s">
        <v>767</v>
      </c>
      <c r="C277" s="14" t="s">
        <v>768</v>
      </c>
      <c r="D277" s="14" t="s">
        <v>220</v>
      </c>
      <c r="E277" s="15">
        <v>15525</v>
      </c>
      <c r="F277" s="15">
        <v>2912</v>
      </c>
      <c r="G277" s="15">
        <v>52</v>
      </c>
    </row>
    <row r="278" spans="1:7" x14ac:dyDescent="0.3">
      <c r="A278" s="15">
        <v>344</v>
      </c>
      <c r="B278" s="14" t="s">
        <v>769</v>
      </c>
      <c r="C278" s="14" t="s">
        <v>770</v>
      </c>
      <c r="D278" s="14" t="s">
        <v>220</v>
      </c>
      <c r="E278" s="15">
        <v>16554</v>
      </c>
      <c r="F278" s="15">
        <v>2912</v>
      </c>
      <c r="G278" s="15">
        <v>52</v>
      </c>
    </row>
    <row r="279" spans="1:7" x14ac:dyDescent="0.3">
      <c r="A279" s="15">
        <v>344</v>
      </c>
      <c r="B279" s="14" t="s">
        <v>771</v>
      </c>
      <c r="C279" s="14" t="s">
        <v>772</v>
      </c>
      <c r="D279" s="14" t="s">
        <v>227</v>
      </c>
      <c r="E279" s="15">
        <v>0</v>
      </c>
      <c r="F279" s="15">
        <v>478</v>
      </c>
      <c r="G279" s="15">
        <v>52</v>
      </c>
    </row>
    <row r="280" spans="1:7" x14ac:dyDescent="0.3">
      <c r="A280" s="15">
        <v>344</v>
      </c>
      <c r="B280" s="14" t="s">
        <v>773</v>
      </c>
      <c r="C280" s="14" t="s">
        <v>774</v>
      </c>
      <c r="D280" s="14" t="s">
        <v>220</v>
      </c>
      <c r="E280" s="15">
        <v>14288</v>
      </c>
      <c r="F280" s="15">
        <v>2912</v>
      </c>
      <c r="G280" s="15">
        <v>52</v>
      </c>
    </row>
    <row r="281" spans="1:7" x14ac:dyDescent="0.3">
      <c r="A281" s="15">
        <v>344</v>
      </c>
      <c r="B281" s="14" t="s">
        <v>775</v>
      </c>
      <c r="C281" s="14" t="s">
        <v>776</v>
      </c>
      <c r="D281" s="14" t="s">
        <v>220</v>
      </c>
      <c r="E281" s="15">
        <v>16450</v>
      </c>
      <c r="F281" s="15">
        <v>2912</v>
      </c>
      <c r="G281" s="15">
        <v>52</v>
      </c>
    </row>
    <row r="282" spans="1:7" x14ac:dyDescent="0.3">
      <c r="A282" s="15">
        <v>344</v>
      </c>
      <c r="B282" s="14" t="s">
        <v>777</v>
      </c>
      <c r="C282" s="14" t="s">
        <v>778</v>
      </c>
      <c r="D282" s="14" t="s">
        <v>220</v>
      </c>
      <c r="E282" s="15">
        <v>16684</v>
      </c>
      <c r="F282" s="15">
        <v>2912</v>
      </c>
      <c r="G282" s="15">
        <v>52</v>
      </c>
    </row>
    <row r="283" spans="1:7" x14ac:dyDescent="0.3">
      <c r="A283" s="15">
        <v>344</v>
      </c>
      <c r="B283" s="14" t="s">
        <v>779</v>
      </c>
      <c r="C283" s="14" t="s">
        <v>780</v>
      </c>
      <c r="D283" s="14" t="s">
        <v>220</v>
      </c>
      <c r="E283" s="15">
        <v>830</v>
      </c>
      <c r="F283" s="15">
        <v>2080</v>
      </c>
      <c r="G283" s="15">
        <v>52</v>
      </c>
    </row>
    <row r="284" spans="1:7" x14ac:dyDescent="0.3">
      <c r="A284" s="15">
        <v>344</v>
      </c>
      <c r="B284" s="14" t="s">
        <v>781</v>
      </c>
      <c r="C284" s="14" t="s">
        <v>782</v>
      </c>
      <c r="D284" s="14" t="s">
        <v>220</v>
      </c>
      <c r="E284" s="15">
        <v>8000</v>
      </c>
      <c r="F284" s="15">
        <v>0</v>
      </c>
      <c r="G284" s="15">
        <v>0</v>
      </c>
    </row>
    <row r="285" spans="1:7" x14ac:dyDescent="0.3">
      <c r="A285" s="15">
        <v>357</v>
      </c>
      <c r="B285" s="14" t="s">
        <v>783</v>
      </c>
      <c r="C285" s="14" t="s">
        <v>784</v>
      </c>
      <c r="D285" s="14" t="s">
        <v>220</v>
      </c>
      <c r="E285" s="15">
        <v>890</v>
      </c>
      <c r="F285" s="15">
        <v>1946</v>
      </c>
      <c r="G285" s="15">
        <v>52</v>
      </c>
    </row>
    <row r="286" spans="1:7" x14ac:dyDescent="0.3">
      <c r="A286" s="15">
        <v>384</v>
      </c>
      <c r="B286" s="14" t="s">
        <v>785</v>
      </c>
      <c r="C286" s="14" t="s">
        <v>786</v>
      </c>
      <c r="D286" s="14" t="s">
        <v>227</v>
      </c>
      <c r="E286" s="15">
        <v>0</v>
      </c>
      <c r="F286" s="15">
        <v>420</v>
      </c>
      <c r="G286" s="15">
        <v>52</v>
      </c>
    </row>
    <row r="287" spans="1:7" x14ac:dyDescent="0.3">
      <c r="A287" s="15">
        <v>398</v>
      </c>
      <c r="B287" s="14" t="s">
        <v>787</v>
      </c>
      <c r="C287" s="14" t="s">
        <v>788</v>
      </c>
      <c r="D287" s="14" t="s">
        <v>220</v>
      </c>
      <c r="E287" s="15">
        <v>7000</v>
      </c>
      <c r="F287" s="15">
        <v>2630</v>
      </c>
      <c r="G287" s="15">
        <v>52</v>
      </c>
    </row>
    <row r="288" spans="1:7" x14ac:dyDescent="0.3">
      <c r="A288" s="15">
        <v>398</v>
      </c>
      <c r="B288" s="14" t="s">
        <v>789</v>
      </c>
      <c r="C288" s="14" t="s">
        <v>790</v>
      </c>
      <c r="D288" s="14" t="s">
        <v>220</v>
      </c>
      <c r="E288" s="15">
        <v>11200</v>
      </c>
      <c r="F288" s="15">
        <v>2642</v>
      </c>
      <c r="G288" s="15">
        <v>52</v>
      </c>
    </row>
    <row r="289" spans="1:7" x14ac:dyDescent="0.3">
      <c r="A289" s="15">
        <v>398</v>
      </c>
      <c r="B289" s="14" t="s">
        <v>791</v>
      </c>
      <c r="C289" s="14" t="s">
        <v>792</v>
      </c>
      <c r="D289" s="14" t="s">
        <v>220</v>
      </c>
      <c r="E289" s="15">
        <v>32293</v>
      </c>
      <c r="F289" s="15">
        <v>2774</v>
      </c>
      <c r="G289" s="15">
        <v>52</v>
      </c>
    </row>
    <row r="290" spans="1:7" x14ac:dyDescent="0.3">
      <c r="A290" s="15">
        <v>400</v>
      </c>
      <c r="B290" s="14" t="s">
        <v>793</v>
      </c>
      <c r="C290" s="14" t="s">
        <v>794</v>
      </c>
      <c r="D290" s="14" t="s">
        <v>220</v>
      </c>
      <c r="E290" s="15">
        <v>1300</v>
      </c>
      <c r="F290" s="15">
        <v>1487</v>
      </c>
      <c r="G290" s="15">
        <v>52</v>
      </c>
    </row>
    <row r="291" spans="1:7" x14ac:dyDescent="0.3">
      <c r="A291" s="15">
        <v>400</v>
      </c>
      <c r="B291" s="14" t="s">
        <v>795</v>
      </c>
      <c r="C291" s="14" t="s">
        <v>796</v>
      </c>
      <c r="D291" s="14" t="s">
        <v>220</v>
      </c>
      <c r="E291" s="15">
        <v>2025</v>
      </c>
      <c r="F291" s="15">
        <v>1487</v>
      </c>
      <c r="G291" s="15">
        <v>52</v>
      </c>
    </row>
    <row r="292" spans="1:7" x14ac:dyDescent="0.3">
      <c r="A292" s="15">
        <v>408</v>
      </c>
      <c r="B292" s="14" t="s">
        <v>797</v>
      </c>
      <c r="C292" s="14" t="s">
        <v>798</v>
      </c>
      <c r="D292" s="14" t="s">
        <v>220</v>
      </c>
      <c r="E292" s="15">
        <v>5000</v>
      </c>
      <c r="F292" s="15">
        <v>1331</v>
      </c>
      <c r="G292" s="15">
        <v>52</v>
      </c>
    </row>
    <row r="293" spans="1:7" x14ac:dyDescent="0.3">
      <c r="A293" s="15">
        <v>408</v>
      </c>
      <c r="B293" s="14" t="s">
        <v>799</v>
      </c>
      <c r="C293" s="14" t="s">
        <v>800</v>
      </c>
      <c r="D293" s="14" t="s">
        <v>220</v>
      </c>
      <c r="E293" s="15">
        <v>14300</v>
      </c>
      <c r="F293" s="15">
        <v>2203</v>
      </c>
      <c r="G293" s="15">
        <v>52</v>
      </c>
    </row>
    <row r="294" spans="1:7" x14ac:dyDescent="0.3">
      <c r="A294" s="15">
        <v>408</v>
      </c>
      <c r="B294" s="14" t="s">
        <v>801</v>
      </c>
      <c r="C294" s="14" t="s">
        <v>802</v>
      </c>
      <c r="D294" s="14" t="s">
        <v>220</v>
      </c>
      <c r="E294" s="15">
        <v>1676</v>
      </c>
      <c r="F294" s="15">
        <v>618</v>
      </c>
      <c r="G294" s="15">
        <v>52</v>
      </c>
    </row>
    <row r="295" spans="1:7" x14ac:dyDescent="0.3">
      <c r="A295" s="15">
        <v>41</v>
      </c>
      <c r="B295" s="14" t="s">
        <v>803</v>
      </c>
      <c r="C295" s="14" t="s">
        <v>804</v>
      </c>
      <c r="D295" s="14" t="s">
        <v>220</v>
      </c>
      <c r="E295" s="15">
        <v>1388</v>
      </c>
      <c r="F295" s="15">
        <v>1728</v>
      </c>
      <c r="G295" s="15">
        <v>52</v>
      </c>
    </row>
    <row r="296" spans="1:7" x14ac:dyDescent="0.3">
      <c r="A296" s="15">
        <v>41</v>
      </c>
      <c r="B296" s="14" t="s">
        <v>805</v>
      </c>
      <c r="C296" s="14" t="s">
        <v>806</v>
      </c>
      <c r="D296" s="14" t="s">
        <v>220</v>
      </c>
      <c r="E296" s="15">
        <v>1684</v>
      </c>
      <c r="F296" s="15">
        <v>1525</v>
      </c>
      <c r="G296" s="15">
        <v>52</v>
      </c>
    </row>
    <row r="297" spans="1:7" x14ac:dyDescent="0.3">
      <c r="A297" s="15">
        <v>432</v>
      </c>
      <c r="B297" s="14" t="s">
        <v>807</v>
      </c>
      <c r="C297" s="14" t="s">
        <v>808</v>
      </c>
      <c r="D297" s="14" t="s">
        <v>220</v>
      </c>
      <c r="E297" s="15">
        <v>1680</v>
      </c>
      <c r="F297" s="15">
        <v>332</v>
      </c>
      <c r="G297" s="15">
        <v>52</v>
      </c>
    </row>
    <row r="298" spans="1:7" x14ac:dyDescent="0.3">
      <c r="A298" s="15">
        <v>452</v>
      </c>
      <c r="B298" s="14" t="s">
        <v>809</v>
      </c>
      <c r="C298" s="14" t="s">
        <v>810</v>
      </c>
      <c r="D298" s="14" t="s">
        <v>220</v>
      </c>
      <c r="E298" s="15">
        <v>14229</v>
      </c>
      <c r="F298" s="15">
        <v>2834</v>
      </c>
      <c r="G298" s="15">
        <v>52</v>
      </c>
    </row>
    <row r="299" spans="1:7" x14ac:dyDescent="0.3">
      <c r="A299" s="15">
        <v>49</v>
      </c>
      <c r="B299" s="14" t="s">
        <v>811</v>
      </c>
      <c r="C299" s="14" t="s">
        <v>812</v>
      </c>
      <c r="D299" s="14" t="s">
        <v>220</v>
      </c>
      <c r="E299" s="15">
        <v>20000</v>
      </c>
      <c r="F299" s="15">
        <v>2602</v>
      </c>
      <c r="G299" s="15">
        <v>52</v>
      </c>
    </row>
    <row r="300" spans="1:7" x14ac:dyDescent="0.3">
      <c r="A300" s="15">
        <v>5</v>
      </c>
      <c r="B300" s="14" t="s">
        <v>813</v>
      </c>
      <c r="C300" s="14" t="s">
        <v>814</v>
      </c>
      <c r="D300" s="14" t="s">
        <v>220</v>
      </c>
      <c r="E300" s="15">
        <v>5234</v>
      </c>
      <c r="F300" s="15">
        <v>1600</v>
      </c>
      <c r="G300" s="15">
        <v>48</v>
      </c>
    </row>
    <row r="301" spans="1:7" x14ac:dyDescent="0.3">
      <c r="A301" s="15">
        <v>5</v>
      </c>
      <c r="B301" s="14" t="s">
        <v>815</v>
      </c>
      <c r="C301" s="14" t="s">
        <v>816</v>
      </c>
      <c r="D301" s="14" t="s">
        <v>220</v>
      </c>
      <c r="E301" s="15">
        <v>1500</v>
      </c>
      <c r="F301" s="15">
        <v>1091</v>
      </c>
      <c r="G301" s="15">
        <v>50</v>
      </c>
    </row>
    <row r="302" spans="1:7" x14ac:dyDescent="0.3">
      <c r="A302" s="15">
        <v>50</v>
      </c>
      <c r="B302" s="14" t="s">
        <v>817</v>
      </c>
      <c r="C302" s="14" t="s">
        <v>818</v>
      </c>
      <c r="D302" s="14" t="s">
        <v>220</v>
      </c>
      <c r="E302" s="15">
        <v>1550</v>
      </c>
      <c r="F302" s="15">
        <v>1611</v>
      </c>
      <c r="G302" s="15">
        <v>45</v>
      </c>
    </row>
    <row r="303" spans="1:7" x14ac:dyDescent="0.3">
      <c r="A303" s="15">
        <v>502</v>
      </c>
      <c r="B303" s="14" t="s">
        <v>819</v>
      </c>
      <c r="C303" s="14" t="s">
        <v>820</v>
      </c>
      <c r="D303" s="14" t="s">
        <v>220</v>
      </c>
      <c r="E303" s="15">
        <v>1081</v>
      </c>
      <c r="F303" s="15">
        <v>976</v>
      </c>
      <c r="G303" s="15">
        <v>48</v>
      </c>
    </row>
    <row r="304" spans="1:7" x14ac:dyDescent="0.3">
      <c r="A304" s="15">
        <v>502</v>
      </c>
      <c r="B304" s="14" t="s">
        <v>821</v>
      </c>
      <c r="C304" s="14" t="s">
        <v>822</v>
      </c>
      <c r="D304" s="14" t="s">
        <v>220</v>
      </c>
      <c r="E304" s="15">
        <v>2500</v>
      </c>
      <c r="F304" s="15">
        <v>956</v>
      </c>
      <c r="G304" s="15">
        <v>48</v>
      </c>
    </row>
    <row r="305" spans="1:7" x14ac:dyDescent="0.3">
      <c r="A305" s="15">
        <v>51</v>
      </c>
      <c r="B305" s="14" t="s">
        <v>823</v>
      </c>
      <c r="C305" s="14" t="s">
        <v>824</v>
      </c>
      <c r="D305" s="14" t="s">
        <v>220</v>
      </c>
      <c r="E305" s="15">
        <v>6000</v>
      </c>
      <c r="F305" s="15">
        <v>1672</v>
      </c>
      <c r="G305" s="15">
        <v>52</v>
      </c>
    </row>
    <row r="306" spans="1:7" x14ac:dyDescent="0.3">
      <c r="A306" s="15">
        <v>51</v>
      </c>
      <c r="B306" s="14" t="s">
        <v>825</v>
      </c>
      <c r="C306" s="14" t="s">
        <v>826</v>
      </c>
      <c r="D306" s="14" t="s">
        <v>220</v>
      </c>
      <c r="E306" s="15">
        <v>25500</v>
      </c>
      <c r="F306" s="15">
        <v>2920</v>
      </c>
      <c r="G306" s="15">
        <v>52</v>
      </c>
    </row>
    <row r="307" spans="1:7" x14ac:dyDescent="0.3">
      <c r="A307" s="15">
        <v>51</v>
      </c>
      <c r="B307" s="14" t="s">
        <v>827</v>
      </c>
      <c r="C307" s="14" t="s">
        <v>828</v>
      </c>
      <c r="D307" s="14" t="s">
        <v>220</v>
      </c>
      <c r="E307" s="15">
        <v>16000</v>
      </c>
      <c r="F307" s="15">
        <v>3336</v>
      </c>
      <c r="G307" s="15">
        <v>52</v>
      </c>
    </row>
    <row r="308" spans="1:7" x14ac:dyDescent="0.3">
      <c r="A308" s="15">
        <v>517</v>
      </c>
      <c r="B308" s="14" t="s">
        <v>9</v>
      </c>
      <c r="C308" s="14" t="s">
        <v>829</v>
      </c>
      <c r="D308" s="14" t="s">
        <v>220</v>
      </c>
      <c r="E308" s="15">
        <v>3000</v>
      </c>
      <c r="F308" s="15">
        <v>2930</v>
      </c>
      <c r="G308" s="15">
        <v>48</v>
      </c>
    </row>
    <row r="309" spans="1:7" x14ac:dyDescent="0.3">
      <c r="A309" s="15">
        <v>552</v>
      </c>
      <c r="B309" s="14" t="s">
        <v>830</v>
      </c>
      <c r="C309" s="14" t="s">
        <v>831</v>
      </c>
      <c r="D309" s="14" t="s">
        <v>220</v>
      </c>
      <c r="E309" s="15">
        <v>1468</v>
      </c>
      <c r="F309" s="15">
        <v>2193</v>
      </c>
      <c r="G309" s="15">
        <v>51</v>
      </c>
    </row>
    <row r="310" spans="1:7" x14ac:dyDescent="0.3">
      <c r="A310" s="15">
        <v>56</v>
      </c>
      <c r="B310" s="14" t="s">
        <v>832</v>
      </c>
      <c r="C310" s="14" t="s">
        <v>833</v>
      </c>
      <c r="D310" s="14" t="s">
        <v>220</v>
      </c>
      <c r="E310" s="15">
        <v>8550</v>
      </c>
      <c r="F310" s="15">
        <v>1968</v>
      </c>
      <c r="G310" s="15">
        <v>52</v>
      </c>
    </row>
    <row r="311" spans="1:7" x14ac:dyDescent="0.3">
      <c r="A311" s="15">
        <v>56</v>
      </c>
      <c r="B311" s="14" t="s">
        <v>834</v>
      </c>
      <c r="C311" s="14" t="s">
        <v>835</v>
      </c>
      <c r="D311" s="14" t="s">
        <v>220</v>
      </c>
      <c r="E311" s="15">
        <v>800</v>
      </c>
      <c r="F311" s="15">
        <v>676</v>
      </c>
      <c r="G311" s="15">
        <v>52</v>
      </c>
    </row>
    <row r="312" spans="1:7" x14ac:dyDescent="0.3">
      <c r="A312" s="15">
        <v>56</v>
      </c>
      <c r="B312" s="14" t="s">
        <v>836</v>
      </c>
      <c r="C312" s="14" t="s">
        <v>837</v>
      </c>
      <c r="D312" s="14" t="s">
        <v>220</v>
      </c>
      <c r="E312" s="15">
        <v>10231</v>
      </c>
      <c r="F312" s="15">
        <v>1984</v>
      </c>
      <c r="G312" s="15">
        <v>52</v>
      </c>
    </row>
    <row r="313" spans="1:7" x14ac:dyDescent="0.3">
      <c r="A313" s="15">
        <v>56</v>
      </c>
      <c r="B313" s="14" t="s">
        <v>838</v>
      </c>
      <c r="C313" s="14" t="s">
        <v>839</v>
      </c>
      <c r="D313" s="14" t="s">
        <v>220</v>
      </c>
      <c r="E313" s="15">
        <v>15200</v>
      </c>
      <c r="F313" s="15">
        <v>1976</v>
      </c>
      <c r="G313" s="15">
        <v>52</v>
      </c>
    </row>
    <row r="314" spans="1:7" x14ac:dyDescent="0.3">
      <c r="A314" s="15">
        <v>64</v>
      </c>
      <c r="B314" s="14" t="s">
        <v>840</v>
      </c>
      <c r="C314" s="14" t="s">
        <v>841</v>
      </c>
      <c r="D314" s="14" t="s">
        <v>220</v>
      </c>
      <c r="E314" s="15">
        <v>37000</v>
      </c>
      <c r="F314" s="15">
        <v>2475</v>
      </c>
      <c r="G314" s="15">
        <v>52</v>
      </c>
    </row>
    <row r="315" spans="1:7" x14ac:dyDescent="0.3">
      <c r="A315" s="15">
        <v>649</v>
      </c>
      <c r="B315" s="14" t="s">
        <v>842</v>
      </c>
      <c r="C315" s="14" t="s">
        <v>843</v>
      </c>
      <c r="D315" s="14" t="s">
        <v>220</v>
      </c>
      <c r="E315" s="15">
        <v>170</v>
      </c>
      <c r="F315" s="15">
        <v>800</v>
      </c>
      <c r="G315" s="15">
        <v>50</v>
      </c>
    </row>
    <row r="316" spans="1:7" x14ac:dyDescent="0.3">
      <c r="A316" s="15">
        <v>86</v>
      </c>
      <c r="B316" s="14" t="s">
        <v>844</v>
      </c>
      <c r="C316" s="14" t="s">
        <v>845</v>
      </c>
      <c r="D316" s="14" t="s">
        <v>220</v>
      </c>
      <c r="E316" s="15">
        <v>30116</v>
      </c>
      <c r="F316" s="15">
        <v>3130</v>
      </c>
      <c r="G316" s="15">
        <v>52</v>
      </c>
    </row>
    <row r="317" spans="1:7" x14ac:dyDescent="0.3">
      <c r="A317" s="15">
        <v>86</v>
      </c>
      <c r="B317" s="14" t="s">
        <v>846</v>
      </c>
      <c r="C317" s="14" t="s">
        <v>847</v>
      </c>
      <c r="D317" s="14" t="s">
        <v>220</v>
      </c>
      <c r="E317" s="15">
        <v>7200</v>
      </c>
      <c r="F317" s="15">
        <v>2451</v>
      </c>
      <c r="G317" s="15">
        <v>52</v>
      </c>
    </row>
    <row r="318" spans="1:7" x14ac:dyDescent="0.3">
      <c r="A318" s="15">
        <v>86</v>
      </c>
      <c r="B318" s="14" t="s">
        <v>848</v>
      </c>
      <c r="C318" s="14" t="s">
        <v>849</v>
      </c>
      <c r="D318" s="14" t="s">
        <v>220</v>
      </c>
      <c r="E318" s="15">
        <v>14560</v>
      </c>
      <c r="F318" s="15">
        <v>2847</v>
      </c>
      <c r="G318" s="15">
        <v>52</v>
      </c>
    </row>
    <row r="319" spans="1:7" x14ac:dyDescent="0.3">
      <c r="A319" s="15">
        <v>86</v>
      </c>
      <c r="B319" s="14" t="s">
        <v>850</v>
      </c>
      <c r="C319" s="14" t="s">
        <v>851</v>
      </c>
      <c r="D319" s="14" t="s">
        <v>220</v>
      </c>
      <c r="E319" s="15">
        <v>29600</v>
      </c>
      <c r="F319" s="15">
        <v>3014</v>
      </c>
      <c r="G319" s="15">
        <v>52</v>
      </c>
    </row>
    <row r="320" spans="1:7" x14ac:dyDescent="0.3">
      <c r="A320" s="15">
        <v>86</v>
      </c>
      <c r="B320" s="14" t="s">
        <v>852</v>
      </c>
      <c r="C320" s="14" t="s">
        <v>853</v>
      </c>
      <c r="D320" s="14" t="s">
        <v>220</v>
      </c>
      <c r="E320" s="15">
        <v>30000</v>
      </c>
      <c r="F320" s="15">
        <v>3128</v>
      </c>
      <c r="G320" s="15">
        <v>52</v>
      </c>
    </row>
    <row r="321" spans="1:7" x14ac:dyDescent="0.3">
      <c r="A321" s="15">
        <v>86</v>
      </c>
      <c r="B321" s="14" t="s">
        <v>854</v>
      </c>
      <c r="C321" s="14" t="s">
        <v>855</v>
      </c>
      <c r="D321" s="14" t="s">
        <v>220</v>
      </c>
      <c r="E321" s="15">
        <v>6000</v>
      </c>
      <c r="F321" s="15">
        <v>2698</v>
      </c>
      <c r="G321" s="15">
        <v>52</v>
      </c>
    </row>
    <row r="322" spans="1:7" x14ac:dyDescent="0.3">
      <c r="A322" s="15">
        <v>88</v>
      </c>
      <c r="B322" s="14" t="s">
        <v>856</v>
      </c>
      <c r="C322" s="14" t="s">
        <v>857</v>
      </c>
      <c r="D322" s="14" t="s">
        <v>220</v>
      </c>
      <c r="E322" s="15">
        <v>12000</v>
      </c>
      <c r="F322" s="15">
        <v>3092</v>
      </c>
      <c r="G322" s="15">
        <v>52</v>
      </c>
    </row>
    <row r="323" spans="1:7" x14ac:dyDescent="0.3">
      <c r="A323" s="15">
        <v>88</v>
      </c>
      <c r="B323" s="14" t="s">
        <v>858</v>
      </c>
      <c r="C323" s="14" t="s">
        <v>859</v>
      </c>
      <c r="D323" s="14" t="s">
        <v>220</v>
      </c>
      <c r="E323" s="15">
        <v>17000</v>
      </c>
      <c r="F323" s="15">
        <v>2742</v>
      </c>
      <c r="G323" s="15">
        <v>52</v>
      </c>
    </row>
    <row r="324" spans="1:7" x14ac:dyDescent="0.3">
      <c r="A324" s="15">
        <v>88</v>
      </c>
      <c r="B324" s="14" t="s">
        <v>860</v>
      </c>
      <c r="C324" s="14" t="s">
        <v>861</v>
      </c>
      <c r="D324" s="14" t="s">
        <v>220</v>
      </c>
      <c r="E324" s="15">
        <v>13000</v>
      </c>
      <c r="F324" s="15">
        <v>2742</v>
      </c>
      <c r="G324" s="15">
        <v>52</v>
      </c>
    </row>
    <row r="325" spans="1:7" x14ac:dyDescent="0.3">
      <c r="A325" s="15">
        <v>88</v>
      </c>
      <c r="B325" s="14" t="s">
        <v>862</v>
      </c>
      <c r="C325" s="14" t="s">
        <v>863</v>
      </c>
      <c r="D325" s="14" t="s">
        <v>220</v>
      </c>
      <c r="E325" s="15">
        <v>12771</v>
      </c>
      <c r="F325" s="15">
        <v>2742</v>
      </c>
      <c r="G325" s="15">
        <v>52</v>
      </c>
    </row>
    <row r="326" spans="1:7" x14ac:dyDescent="0.3">
      <c r="A326" s="15">
        <v>88</v>
      </c>
      <c r="B326" s="14" t="s">
        <v>864</v>
      </c>
      <c r="C326" s="14" t="s">
        <v>865</v>
      </c>
      <c r="D326" s="14" t="s">
        <v>220</v>
      </c>
      <c r="E326" s="15">
        <v>13500</v>
      </c>
      <c r="F326" s="15">
        <v>3116</v>
      </c>
      <c r="G326" s="15">
        <v>52</v>
      </c>
    </row>
    <row r="327" spans="1:7" x14ac:dyDescent="0.3">
      <c r="A327" s="15">
        <v>9</v>
      </c>
      <c r="B327" s="14" t="s">
        <v>380</v>
      </c>
      <c r="C327" s="14" t="s">
        <v>866</v>
      </c>
      <c r="D327" s="14" t="s">
        <v>220</v>
      </c>
      <c r="E327" s="15">
        <v>15536</v>
      </c>
      <c r="F327" s="15">
        <v>3226</v>
      </c>
      <c r="G327" s="15">
        <v>52</v>
      </c>
    </row>
    <row r="328" spans="1:7" x14ac:dyDescent="0.3">
      <c r="A328" s="15">
        <v>9</v>
      </c>
      <c r="B328" s="14" t="s">
        <v>402</v>
      </c>
      <c r="C328" s="14" t="s">
        <v>867</v>
      </c>
      <c r="D328" s="14" t="s">
        <v>220</v>
      </c>
      <c r="E328" s="15">
        <v>20000</v>
      </c>
      <c r="F328" s="15">
        <v>3533</v>
      </c>
      <c r="G328" s="15">
        <v>52</v>
      </c>
    </row>
    <row r="329" spans="1:7" x14ac:dyDescent="0.3">
      <c r="A329" s="15">
        <v>9</v>
      </c>
      <c r="B329" s="14" t="s">
        <v>868</v>
      </c>
      <c r="C329" s="14" t="s">
        <v>869</v>
      </c>
      <c r="D329" s="14" t="s">
        <v>220</v>
      </c>
      <c r="E329" s="15">
        <v>10000</v>
      </c>
      <c r="F329" s="15">
        <v>3226</v>
      </c>
      <c r="G329" s="15">
        <v>52</v>
      </c>
    </row>
    <row r="330" spans="1:7" x14ac:dyDescent="0.3">
      <c r="A330" s="15">
        <v>9</v>
      </c>
      <c r="B330" s="14" t="s">
        <v>558</v>
      </c>
      <c r="C330" s="14" t="s">
        <v>870</v>
      </c>
      <c r="D330" s="14" t="s">
        <v>220</v>
      </c>
      <c r="E330" s="15">
        <v>10000</v>
      </c>
      <c r="F330" s="15">
        <v>3226</v>
      </c>
      <c r="G330" s="15">
        <v>52</v>
      </c>
    </row>
    <row r="331" spans="1:7" x14ac:dyDescent="0.3">
      <c r="A331" s="15">
        <v>91</v>
      </c>
      <c r="B331" s="14" t="s">
        <v>871</v>
      </c>
      <c r="C331" s="14" t="s">
        <v>872</v>
      </c>
      <c r="D331" s="14" t="s">
        <v>220</v>
      </c>
      <c r="E331" s="15">
        <v>1000</v>
      </c>
      <c r="F331" s="15">
        <v>880</v>
      </c>
      <c r="G331" s="15">
        <v>38</v>
      </c>
    </row>
    <row r="332" spans="1:7" x14ac:dyDescent="0.3">
      <c r="A332" s="15">
        <v>94</v>
      </c>
      <c r="B332" s="14" t="s">
        <v>873</v>
      </c>
      <c r="C332" s="14" t="s">
        <v>874</v>
      </c>
      <c r="D332" s="14" t="s">
        <v>220</v>
      </c>
      <c r="E332" s="15">
        <v>1305</v>
      </c>
      <c r="F332" s="15">
        <v>803</v>
      </c>
      <c r="G332" s="15">
        <v>51</v>
      </c>
    </row>
    <row r="333" spans="1:7" x14ac:dyDescent="0.3">
      <c r="A333" s="15">
        <v>94</v>
      </c>
      <c r="B333" s="14" t="s">
        <v>875</v>
      </c>
      <c r="C333" s="14" t="s">
        <v>876</v>
      </c>
      <c r="D333" s="14" t="s">
        <v>220</v>
      </c>
      <c r="E333" s="15">
        <v>4000</v>
      </c>
      <c r="F333" s="15">
        <v>1604</v>
      </c>
      <c r="G333" s="15">
        <v>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G342"/>
  <sheetViews>
    <sheetView topLeftCell="A207" workbookViewId="0"/>
  </sheetViews>
  <sheetFormatPr defaultColWidth="8.875" defaultRowHeight="16.5" x14ac:dyDescent="0.3"/>
  <cols>
    <col min="5" max="5" width="6.125" style="45" customWidth="1"/>
    <col min="6" max="6" width="11.125" style="43" customWidth="1"/>
    <col min="7" max="7" width="7.5" style="43" customWidth="1"/>
  </cols>
  <sheetData>
    <row r="1" spans="1:7" x14ac:dyDescent="0.3">
      <c r="A1" s="33" t="s">
        <v>214</v>
      </c>
      <c r="B1" s="42" t="s">
        <v>923</v>
      </c>
      <c r="C1" s="33" t="s">
        <v>921</v>
      </c>
      <c r="F1" s="45" t="s">
        <v>926</v>
      </c>
    </row>
    <row r="2" spans="1:7" x14ac:dyDescent="0.3">
      <c r="A2" s="34">
        <v>10</v>
      </c>
      <c r="B2" s="43">
        <v>5529</v>
      </c>
      <c r="C2" s="35">
        <v>2368</v>
      </c>
      <c r="E2" s="48"/>
      <c r="F2" s="47" t="s">
        <v>882</v>
      </c>
      <c r="G2" s="46"/>
    </row>
    <row r="3" spans="1:7" ht="30.75" x14ac:dyDescent="0.3">
      <c r="A3" s="34">
        <v>10</v>
      </c>
      <c r="B3" s="43">
        <v>12900</v>
      </c>
      <c r="C3" s="35">
        <v>2356</v>
      </c>
      <c r="E3" s="49" t="s">
        <v>214</v>
      </c>
      <c r="F3" s="46" t="s">
        <v>925</v>
      </c>
      <c r="G3" s="46" t="s">
        <v>924</v>
      </c>
    </row>
    <row r="4" spans="1:7" x14ac:dyDescent="0.3">
      <c r="A4" s="34">
        <v>10</v>
      </c>
      <c r="B4" s="43">
        <v>3900</v>
      </c>
      <c r="C4" s="35">
        <v>2517</v>
      </c>
      <c r="E4" s="48">
        <v>2</v>
      </c>
      <c r="F4" s="46">
        <v>17480</v>
      </c>
      <c r="G4" s="46">
        <v>6103</v>
      </c>
    </row>
    <row r="5" spans="1:7" x14ac:dyDescent="0.3">
      <c r="A5" s="34">
        <v>100</v>
      </c>
      <c r="B5" s="43">
        <v>0</v>
      </c>
      <c r="C5" s="35">
        <v>610</v>
      </c>
      <c r="E5" s="48">
        <v>5</v>
      </c>
      <c r="F5" s="46">
        <v>6734</v>
      </c>
      <c r="G5" s="46">
        <v>2691</v>
      </c>
    </row>
    <row r="6" spans="1:7" x14ac:dyDescent="0.3">
      <c r="A6" s="34">
        <v>100</v>
      </c>
      <c r="B6" s="43">
        <v>19000</v>
      </c>
      <c r="C6" s="35">
        <v>2829</v>
      </c>
      <c r="E6" s="48">
        <v>9</v>
      </c>
      <c r="F6" s="46">
        <v>55536</v>
      </c>
      <c r="G6" s="46">
        <v>13211</v>
      </c>
    </row>
    <row r="7" spans="1:7" x14ac:dyDescent="0.3">
      <c r="A7" s="34">
        <v>100</v>
      </c>
      <c r="B7" s="43">
        <v>12500</v>
      </c>
      <c r="C7" s="35">
        <v>2040</v>
      </c>
      <c r="E7" s="48">
        <v>10</v>
      </c>
      <c r="F7" s="46">
        <v>22329</v>
      </c>
      <c r="G7" s="46">
        <v>7241</v>
      </c>
    </row>
    <row r="8" spans="1:7" x14ac:dyDescent="0.3">
      <c r="A8" s="34">
        <v>100</v>
      </c>
      <c r="B8" s="43">
        <v>18500</v>
      </c>
      <c r="C8" s="35">
        <v>2040</v>
      </c>
      <c r="E8" s="48">
        <v>12</v>
      </c>
      <c r="F8" s="46">
        <v>135815</v>
      </c>
      <c r="G8" s="46">
        <v>28026</v>
      </c>
    </row>
    <row r="9" spans="1:7" x14ac:dyDescent="0.3">
      <c r="A9" s="34">
        <v>100</v>
      </c>
      <c r="B9" s="43">
        <v>1990</v>
      </c>
      <c r="C9" s="35">
        <v>2040</v>
      </c>
      <c r="E9" s="48">
        <v>16</v>
      </c>
      <c r="F9" s="46">
        <v>64300</v>
      </c>
      <c r="G9" s="46">
        <v>16880</v>
      </c>
    </row>
    <row r="10" spans="1:7" x14ac:dyDescent="0.3">
      <c r="A10" s="34">
        <v>100</v>
      </c>
      <c r="B10" s="43">
        <v>0</v>
      </c>
      <c r="C10" s="35">
        <v>610</v>
      </c>
      <c r="E10" s="48">
        <v>20</v>
      </c>
      <c r="F10" s="46">
        <v>250881</v>
      </c>
      <c r="G10" s="46">
        <v>61412</v>
      </c>
    </row>
    <row r="11" spans="1:7" x14ac:dyDescent="0.3">
      <c r="A11" s="34">
        <v>100</v>
      </c>
      <c r="B11" s="43">
        <v>18000</v>
      </c>
      <c r="C11" s="35">
        <v>2040</v>
      </c>
      <c r="E11" s="48">
        <v>28</v>
      </c>
      <c r="F11" s="46">
        <v>500</v>
      </c>
      <c r="G11" s="46">
        <v>1000</v>
      </c>
    </row>
    <row r="12" spans="1:7" x14ac:dyDescent="0.3">
      <c r="A12" s="34">
        <v>100</v>
      </c>
      <c r="B12" s="43">
        <v>18000</v>
      </c>
      <c r="C12" s="35">
        <v>2548</v>
      </c>
      <c r="E12" s="48">
        <v>30</v>
      </c>
      <c r="F12" s="46">
        <v>64908</v>
      </c>
      <c r="G12" s="46">
        <v>15137</v>
      </c>
    </row>
    <row r="13" spans="1:7" x14ac:dyDescent="0.3">
      <c r="A13" s="34">
        <v>100</v>
      </c>
      <c r="B13" s="43">
        <v>17350</v>
      </c>
      <c r="C13" s="35">
        <v>2392</v>
      </c>
      <c r="E13" s="48">
        <v>41</v>
      </c>
      <c r="F13" s="46">
        <v>3072</v>
      </c>
      <c r="G13" s="46">
        <v>3540</v>
      </c>
    </row>
    <row r="14" spans="1:7" x14ac:dyDescent="0.3">
      <c r="A14" s="34">
        <v>100</v>
      </c>
      <c r="B14" s="43">
        <v>19500</v>
      </c>
      <c r="C14" s="35">
        <v>2040</v>
      </c>
      <c r="E14" s="48">
        <v>49</v>
      </c>
      <c r="F14" s="46">
        <v>20000</v>
      </c>
      <c r="G14" s="46">
        <v>2602</v>
      </c>
    </row>
    <row r="15" spans="1:7" x14ac:dyDescent="0.3">
      <c r="A15" s="34">
        <v>100</v>
      </c>
      <c r="B15" s="43">
        <v>9030</v>
      </c>
      <c r="C15" s="35">
        <v>2040</v>
      </c>
      <c r="E15" s="48">
        <v>50</v>
      </c>
      <c r="F15" s="46">
        <v>1550</v>
      </c>
      <c r="G15" s="46">
        <v>1872</v>
      </c>
    </row>
    <row r="16" spans="1:7" x14ac:dyDescent="0.3">
      <c r="A16" s="34">
        <v>100</v>
      </c>
      <c r="B16" s="43">
        <v>19707</v>
      </c>
      <c r="C16" s="35">
        <v>2116</v>
      </c>
      <c r="E16" s="48">
        <v>51</v>
      </c>
      <c r="F16" s="46">
        <v>47500</v>
      </c>
      <c r="G16" s="46">
        <v>7590</v>
      </c>
    </row>
    <row r="17" spans="1:7" x14ac:dyDescent="0.3">
      <c r="A17" s="34">
        <v>100</v>
      </c>
      <c r="B17" s="43">
        <v>23460</v>
      </c>
      <c r="C17" s="35">
        <v>3315</v>
      </c>
      <c r="E17" s="48">
        <v>56</v>
      </c>
      <c r="F17" s="46">
        <v>34781</v>
      </c>
      <c r="G17" s="46">
        <v>6456</v>
      </c>
    </row>
    <row r="18" spans="1:7" x14ac:dyDescent="0.3">
      <c r="A18" s="34">
        <v>100</v>
      </c>
      <c r="B18" s="43">
        <v>19570</v>
      </c>
      <c r="C18" s="35">
        <v>2392</v>
      </c>
      <c r="E18" s="48">
        <v>64</v>
      </c>
      <c r="F18" s="46">
        <v>37000</v>
      </c>
      <c r="G18" s="46">
        <v>2499</v>
      </c>
    </row>
    <row r="19" spans="1:7" x14ac:dyDescent="0.3">
      <c r="A19" s="34">
        <v>100</v>
      </c>
      <c r="B19" s="43">
        <v>10600</v>
      </c>
      <c r="C19" s="35">
        <v>2040</v>
      </c>
      <c r="E19" s="48">
        <v>86</v>
      </c>
      <c r="F19" s="46">
        <v>119876</v>
      </c>
      <c r="G19" s="46">
        <v>17243</v>
      </c>
    </row>
    <row r="20" spans="1:7" x14ac:dyDescent="0.3">
      <c r="A20" s="34">
        <v>100</v>
      </c>
      <c r="B20" s="43">
        <v>18500</v>
      </c>
      <c r="C20" s="35">
        <v>2392</v>
      </c>
      <c r="E20" s="48">
        <v>88</v>
      </c>
      <c r="F20" s="46">
        <v>68271</v>
      </c>
      <c r="G20" s="46">
        <v>14440</v>
      </c>
    </row>
    <row r="21" spans="1:7" x14ac:dyDescent="0.3">
      <c r="A21" s="34">
        <v>100</v>
      </c>
      <c r="B21" s="43">
        <v>13532</v>
      </c>
      <c r="C21" s="35">
        <v>2040</v>
      </c>
      <c r="E21" s="48">
        <v>91</v>
      </c>
      <c r="F21" s="46">
        <v>1000</v>
      </c>
      <c r="G21" s="46">
        <v>1066</v>
      </c>
    </row>
    <row r="22" spans="1:7" x14ac:dyDescent="0.3">
      <c r="A22" s="34">
        <v>100</v>
      </c>
      <c r="B22" s="43">
        <v>15562</v>
      </c>
      <c r="C22" s="35">
        <v>2392</v>
      </c>
      <c r="E22" s="48">
        <v>94</v>
      </c>
      <c r="F22" s="46">
        <v>5305</v>
      </c>
      <c r="G22" s="46">
        <v>2321</v>
      </c>
    </row>
    <row r="23" spans="1:7" x14ac:dyDescent="0.3">
      <c r="A23" s="34">
        <v>100</v>
      </c>
      <c r="B23" s="43">
        <v>12900</v>
      </c>
      <c r="C23" s="35">
        <v>2392</v>
      </c>
      <c r="E23" s="48">
        <v>100</v>
      </c>
      <c r="F23" s="46">
        <v>422693</v>
      </c>
      <c r="G23" s="46">
        <v>65484</v>
      </c>
    </row>
    <row r="24" spans="1:7" x14ac:dyDescent="0.3">
      <c r="A24" s="34">
        <v>100</v>
      </c>
      <c r="B24" s="43">
        <v>10984</v>
      </c>
      <c r="C24" s="35">
        <v>2040</v>
      </c>
      <c r="E24" s="48">
        <v>109</v>
      </c>
      <c r="F24" s="46">
        <v>54954</v>
      </c>
      <c r="G24" s="46">
        <v>6384</v>
      </c>
    </row>
    <row r="25" spans="1:7" x14ac:dyDescent="0.3">
      <c r="A25" s="34">
        <v>100</v>
      </c>
      <c r="B25" s="43">
        <v>19500</v>
      </c>
      <c r="C25" s="35">
        <v>2548</v>
      </c>
      <c r="E25" s="48">
        <v>117</v>
      </c>
      <c r="F25" s="46">
        <v>4700</v>
      </c>
      <c r="G25" s="46">
        <v>3803</v>
      </c>
    </row>
    <row r="26" spans="1:7" x14ac:dyDescent="0.3">
      <c r="A26" s="34">
        <v>100</v>
      </c>
      <c r="B26" s="43">
        <v>16800</v>
      </c>
      <c r="C26" s="35">
        <v>2548</v>
      </c>
      <c r="E26" s="48">
        <v>120</v>
      </c>
      <c r="F26" s="46">
        <v>4034</v>
      </c>
      <c r="G26" s="46">
        <v>1900</v>
      </c>
    </row>
    <row r="27" spans="1:7" x14ac:dyDescent="0.3">
      <c r="A27" s="34">
        <v>100</v>
      </c>
      <c r="B27" s="43">
        <v>12400</v>
      </c>
      <c r="C27" s="35">
        <v>2392</v>
      </c>
      <c r="E27" s="48">
        <v>125</v>
      </c>
      <c r="F27" s="46">
        <v>177578</v>
      </c>
      <c r="G27" s="46">
        <v>31749</v>
      </c>
    </row>
    <row r="28" spans="1:7" x14ac:dyDescent="0.3">
      <c r="A28" s="34">
        <v>100</v>
      </c>
      <c r="B28" s="43">
        <v>11193</v>
      </c>
      <c r="C28" s="35">
        <v>2548</v>
      </c>
      <c r="E28" s="48">
        <v>139</v>
      </c>
      <c r="F28" s="46">
        <v>2783</v>
      </c>
      <c r="G28" s="46">
        <v>4732</v>
      </c>
    </row>
    <row r="29" spans="1:7" x14ac:dyDescent="0.3">
      <c r="A29" s="34">
        <v>100</v>
      </c>
      <c r="B29" s="43">
        <v>12037</v>
      </c>
      <c r="C29" s="35">
        <v>2040</v>
      </c>
      <c r="E29" s="48">
        <v>140</v>
      </c>
      <c r="F29" s="46">
        <v>2950</v>
      </c>
      <c r="G29" s="46">
        <v>988</v>
      </c>
    </row>
    <row r="30" spans="1:7" x14ac:dyDescent="0.3">
      <c r="A30" s="34">
        <v>100</v>
      </c>
      <c r="B30" s="43">
        <v>20019</v>
      </c>
      <c r="C30" s="35">
        <v>2548</v>
      </c>
      <c r="E30" s="48">
        <v>143</v>
      </c>
      <c r="F30" s="46">
        <v>144976</v>
      </c>
      <c r="G30" s="46">
        <v>30518</v>
      </c>
    </row>
    <row r="31" spans="1:7" x14ac:dyDescent="0.3">
      <c r="A31" s="34">
        <v>100</v>
      </c>
      <c r="B31" s="43">
        <v>16605</v>
      </c>
      <c r="C31" s="35">
        <v>2392</v>
      </c>
      <c r="E31" s="48">
        <v>150</v>
      </c>
      <c r="F31" s="46">
        <v>61420</v>
      </c>
      <c r="G31" s="46">
        <v>6192</v>
      </c>
    </row>
    <row r="32" spans="1:7" x14ac:dyDescent="0.3">
      <c r="A32" s="34">
        <v>100</v>
      </c>
      <c r="B32" s="43">
        <v>12729</v>
      </c>
      <c r="C32" s="35">
        <v>2040</v>
      </c>
      <c r="E32" s="48">
        <v>153</v>
      </c>
      <c r="F32" s="46">
        <v>2064</v>
      </c>
      <c r="G32" s="46">
        <v>1651</v>
      </c>
    </row>
    <row r="33" spans="1:7" x14ac:dyDescent="0.3">
      <c r="A33" s="34">
        <v>100</v>
      </c>
      <c r="B33" s="43">
        <v>10700</v>
      </c>
      <c r="C33" s="35">
        <v>2040</v>
      </c>
      <c r="E33" s="48">
        <v>154</v>
      </c>
      <c r="F33" s="46">
        <v>135</v>
      </c>
      <c r="G33" s="46">
        <v>1960</v>
      </c>
    </row>
    <row r="34" spans="1:7" x14ac:dyDescent="0.3">
      <c r="A34" s="34">
        <v>100</v>
      </c>
      <c r="B34" s="43">
        <v>12025</v>
      </c>
      <c r="C34" s="35">
        <v>2040</v>
      </c>
      <c r="E34" s="48">
        <v>162</v>
      </c>
      <c r="F34" s="46">
        <v>12760</v>
      </c>
      <c r="G34" s="46">
        <v>5698</v>
      </c>
    </row>
    <row r="35" spans="1:7" x14ac:dyDescent="0.3">
      <c r="A35" s="34">
        <v>109</v>
      </c>
      <c r="B35" s="43">
        <v>21450</v>
      </c>
      <c r="C35" s="35">
        <v>3046</v>
      </c>
      <c r="E35" s="48">
        <v>180</v>
      </c>
      <c r="F35" s="46">
        <v>4400</v>
      </c>
      <c r="G35" s="46">
        <v>2288</v>
      </c>
    </row>
    <row r="36" spans="1:7" x14ac:dyDescent="0.3">
      <c r="A36" s="34">
        <v>109</v>
      </c>
      <c r="B36" s="43">
        <v>33504</v>
      </c>
      <c r="C36" s="35">
        <v>3338</v>
      </c>
      <c r="E36" s="48">
        <v>181</v>
      </c>
      <c r="F36" s="46">
        <v>43363</v>
      </c>
      <c r="G36" s="46">
        <v>8957</v>
      </c>
    </row>
    <row r="37" spans="1:7" x14ac:dyDescent="0.3">
      <c r="A37" s="34">
        <v>117</v>
      </c>
      <c r="B37" s="43">
        <v>2400</v>
      </c>
      <c r="C37" s="35">
        <v>1928</v>
      </c>
      <c r="E37" s="48">
        <v>189</v>
      </c>
      <c r="F37" s="46">
        <v>596042</v>
      </c>
      <c r="G37" s="46">
        <v>74283</v>
      </c>
    </row>
    <row r="38" spans="1:7" x14ac:dyDescent="0.3">
      <c r="A38" s="34">
        <v>117</v>
      </c>
      <c r="B38" s="43">
        <v>2300</v>
      </c>
      <c r="C38" s="35">
        <v>1875</v>
      </c>
      <c r="E38" s="48">
        <v>190</v>
      </c>
      <c r="F38" s="46">
        <v>501751</v>
      </c>
      <c r="G38" s="46">
        <v>64655</v>
      </c>
    </row>
    <row r="39" spans="1:7" x14ac:dyDescent="0.3">
      <c r="A39" s="34">
        <v>12</v>
      </c>
      <c r="B39" s="43">
        <v>18500</v>
      </c>
      <c r="C39" s="35">
        <v>2439</v>
      </c>
      <c r="E39" s="48">
        <v>198</v>
      </c>
      <c r="F39" s="46">
        <v>109270</v>
      </c>
      <c r="G39" s="46">
        <v>10128</v>
      </c>
    </row>
    <row r="40" spans="1:7" x14ac:dyDescent="0.3">
      <c r="A40" s="34">
        <v>12</v>
      </c>
      <c r="B40" s="43">
        <v>22000</v>
      </c>
      <c r="C40" s="35">
        <v>2774</v>
      </c>
      <c r="E40" s="48">
        <v>212</v>
      </c>
      <c r="F40" s="46">
        <v>9606</v>
      </c>
      <c r="G40" s="46">
        <v>1560</v>
      </c>
    </row>
    <row r="41" spans="1:7" x14ac:dyDescent="0.3">
      <c r="A41" s="34">
        <v>12</v>
      </c>
      <c r="B41" s="43">
        <v>12035</v>
      </c>
      <c r="C41" s="35">
        <v>2433</v>
      </c>
      <c r="E41" s="48">
        <v>213</v>
      </c>
      <c r="F41" s="46">
        <v>1795</v>
      </c>
      <c r="G41" s="46">
        <v>684</v>
      </c>
    </row>
    <row r="42" spans="1:7" x14ac:dyDescent="0.3">
      <c r="A42" s="34">
        <v>12</v>
      </c>
      <c r="B42" s="43">
        <v>8930</v>
      </c>
      <c r="C42" s="35">
        <v>2059</v>
      </c>
      <c r="E42" s="48">
        <v>215</v>
      </c>
      <c r="F42" s="46">
        <v>9800</v>
      </c>
      <c r="G42" s="46">
        <v>2808</v>
      </c>
    </row>
    <row r="43" spans="1:7" x14ac:dyDescent="0.3">
      <c r="A43" s="34">
        <v>12</v>
      </c>
      <c r="B43" s="43">
        <v>9750</v>
      </c>
      <c r="C43" s="35">
        <v>2064</v>
      </c>
      <c r="E43" s="48">
        <v>228</v>
      </c>
      <c r="F43" s="46">
        <v>49549</v>
      </c>
      <c r="G43" s="46">
        <v>9870</v>
      </c>
    </row>
    <row r="44" spans="1:7" x14ac:dyDescent="0.3">
      <c r="A44" s="34">
        <v>12</v>
      </c>
      <c r="B44" s="43">
        <v>21000</v>
      </c>
      <c r="C44" s="35">
        <v>2519</v>
      </c>
      <c r="E44" s="48">
        <v>231</v>
      </c>
      <c r="F44" s="46">
        <v>1287</v>
      </c>
      <c r="G44" s="46">
        <v>665</v>
      </c>
    </row>
    <row r="45" spans="1:7" x14ac:dyDescent="0.3">
      <c r="A45" s="34">
        <v>12</v>
      </c>
      <c r="B45" s="43">
        <v>3000</v>
      </c>
      <c r="C45" s="35">
        <v>2448</v>
      </c>
      <c r="E45" s="48">
        <v>236</v>
      </c>
      <c r="F45" s="46">
        <v>12633</v>
      </c>
      <c r="G45" s="46">
        <v>4310</v>
      </c>
    </row>
    <row r="46" spans="1:7" x14ac:dyDescent="0.3">
      <c r="A46" s="34">
        <v>12</v>
      </c>
      <c r="B46" s="43">
        <v>20000</v>
      </c>
      <c r="C46" s="35">
        <v>2796</v>
      </c>
      <c r="E46" s="48">
        <v>238</v>
      </c>
      <c r="F46" s="46">
        <v>500</v>
      </c>
      <c r="G46" s="46">
        <v>1005</v>
      </c>
    </row>
    <row r="47" spans="1:7" x14ac:dyDescent="0.3">
      <c r="A47" s="34">
        <v>12</v>
      </c>
      <c r="B47" s="43">
        <v>4000</v>
      </c>
      <c r="C47" s="35">
        <v>2572</v>
      </c>
      <c r="E47" s="48">
        <v>240</v>
      </c>
      <c r="F47" s="46">
        <v>33482</v>
      </c>
      <c r="G47" s="46">
        <v>8181</v>
      </c>
    </row>
    <row r="48" spans="1:7" x14ac:dyDescent="0.3">
      <c r="A48" s="34">
        <v>12</v>
      </c>
      <c r="B48" s="43">
        <v>5000</v>
      </c>
      <c r="C48" s="35">
        <v>2054</v>
      </c>
      <c r="E48" s="48">
        <v>254</v>
      </c>
      <c r="F48" s="46">
        <v>22000</v>
      </c>
      <c r="G48" s="46">
        <v>6644</v>
      </c>
    </row>
    <row r="49" spans="1:7" x14ac:dyDescent="0.3">
      <c r="A49" s="34">
        <v>12</v>
      </c>
      <c r="B49" s="43">
        <v>1600</v>
      </c>
      <c r="C49" s="35">
        <v>1797</v>
      </c>
      <c r="E49" s="48">
        <v>256</v>
      </c>
      <c r="F49" s="46">
        <v>20000</v>
      </c>
      <c r="G49" s="46">
        <v>3296</v>
      </c>
    </row>
    <row r="50" spans="1:7" x14ac:dyDescent="0.3">
      <c r="A50" s="34">
        <v>12</v>
      </c>
      <c r="B50" s="43">
        <v>10000</v>
      </c>
      <c r="C50" s="35">
        <v>2071</v>
      </c>
      <c r="E50" s="48">
        <v>262</v>
      </c>
      <c r="F50" s="46">
        <v>10000</v>
      </c>
      <c r="G50" s="46">
        <v>2735</v>
      </c>
    </row>
    <row r="51" spans="1:7" x14ac:dyDescent="0.3">
      <c r="A51" s="34">
        <v>120</v>
      </c>
      <c r="B51" s="43">
        <v>4034</v>
      </c>
      <c r="C51" s="35">
        <v>1900</v>
      </c>
      <c r="E51" s="48">
        <v>264</v>
      </c>
      <c r="F51" s="46">
        <v>33030</v>
      </c>
      <c r="G51" s="46">
        <v>3206</v>
      </c>
    </row>
    <row r="52" spans="1:7" x14ac:dyDescent="0.3">
      <c r="A52" s="34">
        <v>125</v>
      </c>
      <c r="B52" s="43">
        <v>15126</v>
      </c>
      <c r="C52" s="35">
        <v>2496</v>
      </c>
      <c r="E52" s="48">
        <v>266</v>
      </c>
      <c r="F52" s="46">
        <v>0</v>
      </c>
      <c r="G52" s="46">
        <v>212</v>
      </c>
    </row>
    <row r="53" spans="1:7" x14ac:dyDescent="0.3">
      <c r="A53" s="34">
        <v>125</v>
      </c>
      <c r="B53" s="43">
        <v>15000</v>
      </c>
      <c r="C53" s="35">
        <v>2496</v>
      </c>
      <c r="E53" s="48">
        <v>269</v>
      </c>
      <c r="F53" s="46">
        <v>2510</v>
      </c>
      <c r="G53" s="46">
        <v>2600</v>
      </c>
    </row>
    <row r="54" spans="1:7" x14ac:dyDescent="0.3">
      <c r="A54" s="34">
        <v>125</v>
      </c>
      <c r="B54" s="43">
        <v>9700</v>
      </c>
      <c r="C54" s="35">
        <v>2496</v>
      </c>
      <c r="E54" s="48">
        <v>283</v>
      </c>
      <c r="F54" s="46">
        <v>955</v>
      </c>
      <c r="G54" s="46">
        <v>2380</v>
      </c>
    </row>
    <row r="55" spans="1:7" x14ac:dyDescent="0.3">
      <c r="A55" s="34">
        <v>125</v>
      </c>
      <c r="B55" s="43">
        <v>8107</v>
      </c>
      <c r="C55" s="35">
        <v>2496</v>
      </c>
      <c r="E55" s="48">
        <v>284</v>
      </c>
      <c r="F55" s="46">
        <v>736</v>
      </c>
      <c r="G55" s="46">
        <v>1370</v>
      </c>
    </row>
    <row r="56" spans="1:7" x14ac:dyDescent="0.3">
      <c r="A56" s="34">
        <v>125</v>
      </c>
      <c r="B56" s="43">
        <v>15500</v>
      </c>
      <c r="C56" s="35">
        <v>2496</v>
      </c>
      <c r="E56" s="48">
        <v>295</v>
      </c>
      <c r="F56" s="46">
        <v>1099</v>
      </c>
      <c r="G56" s="46">
        <v>1030</v>
      </c>
    </row>
    <row r="57" spans="1:7" x14ac:dyDescent="0.3">
      <c r="A57" s="34">
        <v>125</v>
      </c>
      <c r="B57" s="43">
        <v>185</v>
      </c>
      <c r="C57" s="35">
        <v>891</v>
      </c>
      <c r="E57" s="48">
        <v>298</v>
      </c>
      <c r="F57" s="46">
        <v>5644</v>
      </c>
      <c r="G57" s="46">
        <v>2967</v>
      </c>
    </row>
    <row r="58" spans="1:7" x14ac:dyDescent="0.3">
      <c r="A58" s="34">
        <v>125</v>
      </c>
      <c r="B58" s="43">
        <v>15000</v>
      </c>
      <c r="C58" s="35">
        <v>2496</v>
      </c>
      <c r="E58" s="48">
        <v>300</v>
      </c>
      <c r="F58" s="46">
        <v>10300</v>
      </c>
      <c r="G58" s="46">
        <v>2713</v>
      </c>
    </row>
    <row r="59" spans="1:7" x14ac:dyDescent="0.3">
      <c r="A59" s="34">
        <v>125</v>
      </c>
      <c r="B59" s="43">
        <v>10358</v>
      </c>
      <c r="C59" s="35">
        <v>3402</v>
      </c>
      <c r="E59" s="48">
        <v>311</v>
      </c>
      <c r="F59" s="46">
        <v>120000</v>
      </c>
      <c r="G59" s="46">
        <v>13755</v>
      </c>
    </row>
    <row r="60" spans="1:7" x14ac:dyDescent="0.3">
      <c r="A60" s="34">
        <v>125</v>
      </c>
      <c r="B60" s="43">
        <v>22000</v>
      </c>
      <c r="C60" s="35">
        <v>2496</v>
      </c>
      <c r="E60" s="48">
        <v>315</v>
      </c>
      <c r="F60" s="46"/>
      <c r="G60" s="46">
        <v>0</v>
      </c>
    </row>
    <row r="61" spans="1:7" x14ac:dyDescent="0.3">
      <c r="A61" s="34">
        <v>125</v>
      </c>
      <c r="B61" s="43">
        <v>24665</v>
      </c>
      <c r="C61" s="35">
        <v>2496</v>
      </c>
      <c r="E61" s="48">
        <v>316</v>
      </c>
      <c r="F61" s="46">
        <v>13213</v>
      </c>
      <c r="G61" s="46">
        <v>4505</v>
      </c>
    </row>
    <row r="62" spans="1:7" x14ac:dyDescent="0.3">
      <c r="A62" s="34">
        <v>125</v>
      </c>
      <c r="B62" s="43">
        <v>9200</v>
      </c>
      <c r="C62" s="35">
        <v>2496</v>
      </c>
      <c r="E62" s="48">
        <v>324</v>
      </c>
      <c r="F62" s="46">
        <v>888</v>
      </c>
      <c r="G62" s="46">
        <v>714</v>
      </c>
    </row>
    <row r="63" spans="1:7" x14ac:dyDescent="0.3">
      <c r="A63" s="34">
        <v>125</v>
      </c>
      <c r="B63" s="43">
        <v>185</v>
      </c>
      <c r="C63" s="35">
        <v>0</v>
      </c>
      <c r="E63" s="48">
        <v>329</v>
      </c>
      <c r="F63" s="46">
        <v>278097</v>
      </c>
      <c r="G63" s="46">
        <v>27780</v>
      </c>
    </row>
    <row r="64" spans="1:7" x14ac:dyDescent="0.3">
      <c r="A64" s="34">
        <v>125</v>
      </c>
      <c r="B64" s="43">
        <v>12352</v>
      </c>
      <c r="C64" s="35">
        <v>2496</v>
      </c>
      <c r="E64" s="48">
        <v>334</v>
      </c>
      <c r="F64" s="46">
        <v>1430</v>
      </c>
      <c r="G64" s="46">
        <v>917</v>
      </c>
    </row>
    <row r="65" spans="1:7" x14ac:dyDescent="0.3">
      <c r="A65" s="34">
        <v>125</v>
      </c>
      <c r="B65" s="43">
        <v>20200</v>
      </c>
      <c r="C65" s="35">
        <v>2496</v>
      </c>
      <c r="E65" s="48">
        <v>343</v>
      </c>
      <c r="F65" s="46">
        <v>7776</v>
      </c>
      <c r="G65" s="46">
        <v>3616</v>
      </c>
    </row>
    <row r="66" spans="1:7" x14ac:dyDescent="0.3">
      <c r="A66" s="34">
        <v>139</v>
      </c>
      <c r="B66" s="43">
        <v>2100</v>
      </c>
      <c r="C66" s="35">
        <v>2080</v>
      </c>
      <c r="E66" s="48">
        <v>344</v>
      </c>
      <c r="F66" s="46">
        <v>346061</v>
      </c>
      <c r="G66" s="46">
        <v>77992</v>
      </c>
    </row>
    <row r="67" spans="1:7" x14ac:dyDescent="0.3">
      <c r="A67" s="34">
        <v>139</v>
      </c>
      <c r="B67" s="43">
        <v>103</v>
      </c>
      <c r="C67" s="35">
        <v>1040</v>
      </c>
      <c r="E67" s="48">
        <v>357</v>
      </c>
      <c r="F67" s="46">
        <v>890</v>
      </c>
      <c r="G67" s="46">
        <v>1930</v>
      </c>
    </row>
    <row r="68" spans="1:7" x14ac:dyDescent="0.3">
      <c r="A68" s="34">
        <v>139</v>
      </c>
      <c r="B68" s="43">
        <v>580</v>
      </c>
      <c r="C68" s="35">
        <v>1612</v>
      </c>
      <c r="E68" s="48">
        <v>384</v>
      </c>
      <c r="F68" s="46">
        <v>0</v>
      </c>
      <c r="G68" s="46">
        <v>495</v>
      </c>
    </row>
    <row r="69" spans="1:7" x14ac:dyDescent="0.3">
      <c r="A69" s="34">
        <v>140</v>
      </c>
      <c r="B69" s="43">
        <v>2950</v>
      </c>
      <c r="C69" s="35">
        <v>988</v>
      </c>
      <c r="E69" s="48">
        <v>398</v>
      </c>
      <c r="F69" s="46">
        <v>56875</v>
      </c>
      <c r="G69" s="46">
        <v>8058</v>
      </c>
    </row>
    <row r="70" spans="1:7" x14ac:dyDescent="0.3">
      <c r="A70" s="34">
        <v>143</v>
      </c>
      <c r="B70" s="43">
        <v>7527</v>
      </c>
      <c r="C70" s="35">
        <v>2000</v>
      </c>
      <c r="E70" s="48">
        <v>400</v>
      </c>
      <c r="F70" s="46">
        <v>3325</v>
      </c>
      <c r="G70" s="46">
        <v>2974</v>
      </c>
    </row>
    <row r="71" spans="1:7" x14ac:dyDescent="0.3">
      <c r="A71" s="34">
        <v>143</v>
      </c>
      <c r="B71" s="43">
        <v>5045</v>
      </c>
      <c r="C71" s="35">
        <v>2000</v>
      </c>
      <c r="E71" s="48">
        <v>408</v>
      </c>
      <c r="F71" s="46">
        <v>20976</v>
      </c>
      <c r="G71" s="46">
        <v>4152</v>
      </c>
    </row>
    <row r="72" spans="1:7" x14ac:dyDescent="0.3">
      <c r="A72" s="34">
        <v>143</v>
      </c>
      <c r="B72" s="43">
        <v>7072</v>
      </c>
      <c r="C72" s="35">
        <v>2000</v>
      </c>
      <c r="E72" s="48">
        <v>432</v>
      </c>
      <c r="F72" s="46">
        <v>1680</v>
      </c>
      <c r="G72" s="46">
        <v>0</v>
      </c>
    </row>
    <row r="73" spans="1:7" x14ac:dyDescent="0.3">
      <c r="A73" s="34">
        <v>143</v>
      </c>
      <c r="B73" s="43">
        <v>9585</v>
      </c>
      <c r="C73" s="35">
        <v>2000</v>
      </c>
      <c r="E73" s="48">
        <v>452</v>
      </c>
      <c r="F73" s="46">
        <v>14229</v>
      </c>
      <c r="G73" s="46">
        <v>2700</v>
      </c>
    </row>
    <row r="74" spans="1:7" x14ac:dyDescent="0.3">
      <c r="A74" s="34">
        <v>143</v>
      </c>
      <c r="B74" s="43">
        <v>6313</v>
      </c>
      <c r="C74" s="35">
        <v>2000</v>
      </c>
      <c r="E74" s="48">
        <v>502</v>
      </c>
      <c r="F74" s="46">
        <v>3581</v>
      </c>
      <c r="G74" s="46">
        <v>1769</v>
      </c>
    </row>
    <row r="75" spans="1:7" x14ac:dyDescent="0.3">
      <c r="A75" s="34">
        <v>143</v>
      </c>
      <c r="B75" s="43">
        <v>6834</v>
      </c>
      <c r="C75" s="35">
        <v>2000</v>
      </c>
      <c r="E75" s="48">
        <v>517</v>
      </c>
      <c r="F75" s="46">
        <v>3000</v>
      </c>
      <c r="G75" s="46">
        <v>2930</v>
      </c>
    </row>
    <row r="76" spans="1:7" x14ac:dyDescent="0.3">
      <c r="A76" s="34">
        <v>143</v>
      </c>
      <c r="B76" s="43">
        <v>13445</v>
      </c>
      <c r="C76" s="35">
        <v>2000</v>
      </c>
      <c r="E76" s="48">
        <v>552</v>
      </c>
      <c r="F76" s="46">
        <v>1468</v>
      </c>
      <c r="G76" s="46">
        <v>2984</v>
      </c>
    </row>
    <row r="77" spans="1:7" x14ac:dyDescent="0.3">
      <c r="A77" s="34">
        <v>143</v>
      </c>
      <c r="B77" s="43">
        <v>25661</v>
      </c>
      <c r="C77" s="35">
        <v>2000</v>
      </c>
      <c r="E77" s="48">
        <v>627</v>
      </c>
      <c r="F77" s="46">
        <v>15</v>
      </c>
      <c r="G77" s="46">
        <v>120</v>
      </c>
    </row>
    <row r="78" spans="1:7" x14ac:dyDescent="0.3">
      <c r="A78" s="34">
        <v>143</v>
      </c>
      <c r="B78" s="43">
        <v>4962</v>
      </c>
      <c r="C78" s="35">
        <v>2000</v>
      </c>
      <c r="E78" s="48">
        <v>649</v>
      </c>
      <c r="F78" s="46">
        <v>7153</v>
      </c>
      <c r="G78" s="46">
        <v>6456</v>
      </c>
    </row>
    <row r="79" spans="1:7" x14ac:dyDescent="0.3">
      <c r="A79" s="34">
        <v>143</v>
      </c>
      <c r="B79" s="43">
        <v>8121</v>
      </c>
      <c r="C79" s="35">
        <v>2000</v>
      </c>
      <c r="E79" s="48"/>
      <c r="F79" s="46">
        <v>0</v>
      </c>
      <c r="G79" s="46">
        <v>0</v>
      </c>
    </row>
    <row r="80" spans="1:7" ht="30.75" x14ac:dyDescent="0.3">
      <c r="A80" s="34">
        <v>143</v>
      </c>
      <c r="B80" s="43">
        <v>915</v>
      </c>
      <c r="C80" s="35">
        <v>2259</v>
      </c>
      <c r="E80" s="48" t="s">
        <v>881</v>
      </c>
      <c r="F80" s="46">
        <v>4208294</v>
      </c>
      <c r="G80" s="46">
        <v>754783</v>
      </c>
    </row>
    <row r="81" spans="1:3" x14ac:dyDescent="0.3">
      <c r="A81" s="34">
        <v>143</v>
      </c>
      <c r="B81" s="43">
        <v>23990</v>
      </c>
      <c r="C81" s="35">
        <v>2000</v>
      </c>
    </row>
    <row r="82" spans="1:3" x14ac:dyDescent="0.3">
      <c r="A82" s="34">
        <v>143</v>
      </c>
      <c r="B82" s="43">
        <v>1400</v>
      </c>
      <c r="C82" s="35">
        <v>2259</v>
      </c>
    </row>
    <row r="83" spans="1:3" x14ac:dyDescent="0.3">
      <c r="A83" s="34">
        <v>143</v>
      </c>
      <c r="B83" s="43">
        <v>11068</v>
      </c>
      <c r="C83" s="35">
        <v>2000</v>
      </c>
    </row>
    <row r="84" spans="1:3" x14ac:dyDescent="0.3">
      <c r="A84" s="34">
        <v>143</v>
      </c>
      <c r="B84" s="43">
        <v>13038</v>
      </c>
      <c r="C84" s="35">
        <v>2000</v>
      </c>
    </row>
    <row r="85" spans="1:3" x14ac:dyDescent="0.3">
      <c r="A85" s="34">
        <v>150</v>
      </c>
      <c r="B85" s="43">
        <v>8000</v>
      </c>
      <c r="C85" s="35">
        <v>2064</v>
      </c>
    </row>
    <row r="86" spans="1:3" x14ac:dyDescent="0.3">
      <c r="A86" s="34">
        <v>150</v>
      </c>
      <c r="B86" s="43">
        <v>16500</v>
      </c>
      <c r="C86" s="35">
        <v>2064</v>
      </c>
    </row>
    <row r="87" spans="1:3" x14ac:dyDescent="0.3">
      <c r="A87" s="34">
        <v>150</v>
      </c>
      <c r="B87" s="43">
        <v>36920</v>
      </c>
      <c r="C87" s="35">
        <v>2064</v>
      </c>
    </row>
    <row r="88" spans="1:3" x14ac:dyDescent="0.3">
      <c r="A88" s="34">
        <v>153</v>
      </c>
      <c r="B88" s="43">
        <v>2064</v>
      </c>
      <c r="C88" s="35">
        <v>1651</v>
      </c>
    </row>
    <row r="89" spans="1:3" x14ac:dyDescent="0.3">
      <c r="A89" s="34">
        <v>154</v>
      </c>
      <c r="B89" s="43">
        <v>135</v>
      </c>
      <c r="C89" s="35">
        <v>1960</v>
      </c>
    </row>
    <row r="90" spans="1:3" x14ac:dyDescent="0.3">
      <c r="A90" s="34">
        <v>16</v>
      </c>
      <c r="B90" s="43">
        <v>10000</v>
      </c>
      <c r="C90" s="35">
        <v>2808</v>
      </c>
    </row>
    <row r="91" spans="1:3" x14ac:dyDescent="0.3">
      <c r="A91" s="34">
        <v>16</v>
      </c>
      <c r="B91" s="43">
        <v>10000</v>
      </c>
      <c r="C91" s="35">
        <v>2808</v>
      </c>
    </row>
    <row r="92" spans="1:3" x14ac:dyDescent="0.3">
      <c r="A92" s="34">
        <v>16</v>
      </c>
      <c r="B92" s="43">
        <v>8100</v>
      </c>
      <c r="C92" s="35">
        <v>2808</v>
      </c>
    </row>
    <row r="93" spans="1:3" x14ac:dyDescent="0.3">
      <c r="A93" s="34">
        <v>16</v>
      </c>
      <c r="B93" s="43">
        <v>10000</v>
      </c>
      <c r="C93" s="35">
        <v>2808</v>
      </c>
    </row>
    <row r="94" spans="1:3" x14ac:dyDescent="0.3">
      <c r="A94" s="34">
        <v>16</v>
      </c>
      <c r="B94" s="43">
        <v>15000</v>
      </c>
      <c r="C94" s="35">
        <v>2840</v>
      </c>
    </row>
    <row r="95" spans="1:3" x14ac:dyDescent="0.3">
      <c r="A95" s="34">
        <v>16</v>
      </c>
      <c r="B95" s="43">
        <v>11200</v>
      </c>
      <c r="C95" s="35">
        <v>2808</v>
      </c>
    </row>
    <row r="96" spans="1:3" x14ac:dyDescent="0.3">
      <c r="A96" s="34">
        <v>162</v>
      </c>
      <c r="B96" s="43">
        <v>10000</v>
      </c>
      <c r="C96" s="35">
        <v>2944</v>
      </c>
    </row>
    <row r="97" spans="1:3" x14ac:dyDescent="0.3">
      <c r="A97" s="34">
        <v>162</v>
      </c>
      <c r="B97" s="43">
        <v>2760</v>
      </c>
      <c r="C97" s="35">
        <v>2754</v>
      </c>
    </row>
    <row r="98" spans="1:3" x14ac:dyDescent="0.3">
      <c r="A98" s="34">
        <v>180</v>
      </c>
      <c r="B98" s="43">
        <v>4400</v>
      </c>
      <c r="C98" s="35">
        <v>2288</v>
      </c>
    </row>
    <row r="99" spans="1:3" x14ac:dyDescent="0.3">
      <c r="A99" s="34">
        <v>181</v>
      </c>
      <c r="B99" s="43">
        <v>8000</v>
      </c>
      <c r="C99" s="35">
        <v>2158</v>
      </c>
    </row>
    <row r="100" spans="1:3" x14ac:dyDescent="0.3">
      <c r="A100" s="34">
        <v>181</v>
      </c>
      <c r="B100" s="43">
        <v>11383</v>
      </c>
      <c r="C100" s="35">
        <v>2158</v>
      </c>
    </row>
    <row r="101" spans="1:3" x14ac:dyDescent="0.3">
      <c r="A101" s="34">
        <v>181</v>
      </c>
      <c r="B101" s="43">
        <v>3206</v>
      </c>
      <c r="C101" s="35">
        <v>2158</v>
      </c>
    </row>
    <row r="102" spans="1:3" x14ac:dyDescent="0.3">
      <c r="A102" s="34">
        <v>181</v>
      </c>
      <c r="B102" s="43">
        <v>20774</v>
      </c>
      <c r="C102" s="35">
        <v>2483</v>
      </c>
    </row>
    <row r="103" spans="1:3" x14ac:dyDescent="0.3">
      <c r="A103" s="34">
        <v>189</v>
      </c>
      <c r="B103" s="43">
        <v>8720</v>
      </c>
      <c r="C103" s="35">
        <v>2022</v>
      </c>
    </row>
    <row r="104" spans="1:3" x14ac:dyDescent="0.3">
      <c r="A104" s="34">
        <v>189</v>
      </c>
      <c r="B104" s="43">
        <v>19620</v>
      </c>
      <c r="C104" s="35">
        <v>212</v>
      </c>
    </row>
    <row r="105" spans="1:3" x14ac:dyDescent="0.3">
      <c r="A105" s="34">
        <v>189</v>
      </c>
      <c r="B105" s="43">
        <v>11979</v>
      </c>
      <c r="C105" s="35">
        <v>1812</v>
      </c>
    </row>
    <row r="106" spans="1:3" x14ac:dyDescent="0.3">
      <c r="A106" s="34">
        <v>189</v>
      </c>
      <c r="B106" s="43">
        <v>22365</v>
      </c>
      <c r="C106" s="35">
        <v>2754</v>
      </c>
    </row>
    <row r="107" spans="1:3" x14ac:dyDescent="0.3">
      <c r="A107" s="34">
        <v>189</v>
      </c>
      <c r="B107" s="43">
        <v>17440</v>
      </c>
      <c r="C107" s="35">
        <v>2148</v>
      </c>
    </row>
    <row r="108" spans="1:3" x14ac:dyDescent="0.3">
      <c r="A108" s="34">
        <v>189</v>
      </c>
      <c r="B108" s="43">
        <v>34936</v>
      </c>
      <c r="C108" s="35">
        <v>2014</v>
      </c>
    </row>
    <row r="109" spans="1:3" x14ac:dyDescent="0.3">
      <c r="A109" s="34">
        <v>189</v>
      </c>
      <c r="B109" s="43">
        <v>3270</v>
      </c>
      <c r="C109" s="35">
        <v>1771</v>
      </c>
    </row>
    <row r="110" spans="1:3" x14ac:dyDescent="0.3">
      <c r="A110" s="34">
        <v>189</v>
      </c>
      <c r="B110" s="43">
        <v>2000</v>
      </c>
      <c r="C110" s="35">
        <v>956</v>
      </c>
    </row>
    <row r="111" spans="1:3" x14ac:dyDescent="0.3">
      <c r="A111" s="34">
        <v>189</v>
      </c>
      <c r="B111" s="43">
        <v>9265</v>
      </c>
      <c r="C111" s="35">
        <v>1770</v>
      </c>
    </row>
    <row r="112" spans="1:3" x14ac:dyDescent="0.3">
      <c r="A112" s="34">
        <v>189</v>
      </c>
      <c r="B112" s="43">
        <v>10049</v>
      </c>
      <c r="C112" s="35">
        <v>2049</v>
      </c>
    </row>
    <row r="113" spans="1:3" x14ac:dyDescent="0.3">
      <c r="A113" s="34">
        <v>189</v>
      </c>
      <c r="B113" s="43">
        <v>15260</v>
      </c>
      <c r="C113" s="35">
        <v>2164</v>
      </c>
    </row>
    <row r="114" spans="1:3" x14ac:dyDescent="0.3">
      <c r="A114" s="34">
        <v>189</v>
      </c>
      <c r="B114" s="43">
        <v>10900</v>
      </c>
      <c r="C114" s="35">
        <v>1779</v>
      </c>
    </row>
    <row r="115" spans="1:3" x14ac:dyDescent="0.3">
      <c r="A115" s="34">
        <v>189</v>
      </c>
      <c r="B115" s="43">
        <v>12190</v>
      </c>
      <c r="C115" s="35">
        <v>1765</v>
      </c>
    </row>
    <row r="116" spans="1:3" x14ac:dyDescent="0.3">
      <c r="A116" s="34">
        <v>189</v>
      </c>
      <c r="B116" s="43">
        <v>18530</v>
      </c>
      <c r="C116" s="35">
        <v>0</v>
      </c>
    </row>
    <row r="117" spans="1:3" x14ac:dyDescent="0.3">
      <c r="A117" s="34">
        <v>189</v>
      </c>
      <c r="B117" s="43">
        <v>11178</v>
      </c>
      <c r="C117" s="35">
        <v>1758</v>
      </c>
    </row>
    <row r="118" spans="1:3" x14ac:dyDescent="0.3">
      <c r="A118" s="34">
        <v>189</v>
      </c>
      <c r="B118" s="43">
        <v>22365</v>
      </c>
      <c r="C118" s="35">
        <v>2151</v>
      </c>
    </row>
    <row r="119" spans="1:3" x14ac:dyDescent="0.3">
      <c r="A119" s="34">
        <v>189</v>
      </c>
      <c r="B119" s="43">
        <v>4524</v>
      </c>
      <c r="C119" s="35">
        <v>2059</v>
      </c>
    </row>
    <row r="120" spans="1:3" x14ac:dyDescent="0.3">
      <c r="A120" s="34">
        <v>189</v>
      </c>
      <c r="B120" s="43">
        <v>21175</v>
      </c>
      <c r="C120" s="35">
        <v>2036</v>
      </c>
    </row>
    <row r="121" spans="1:3" x14ac:dyDescent="0.3">
      <c r="A121" s="34">
        <v>189</v>
      </c>
      <c r="B121" s="43">
        <v>8930</v>
      </c>
      <c r="C121" s="35">
        <v>2066</v>
      </c>
    </row>
    <row r="122" spans="1:3" x14ac:dyDescent="0.3">
      <c r="A122" s="34">
        <v>189</v>
      </c>
      <c r="B122" s="43">
        <v>4578</v>
      </c>
      <c r="C122" s="35">
        <v>1608</v>
      </c>
    </row>
    <row r="123" spans="1:3" x14ac:dyDescent="0.3">
      <c r="A123" s="34">
        <v>189</v>
      </c>
      <c r="B123" s="43">
        <v>8339</v>
      </c>
      <c r="C123" s="35">
        <v>1795</v>
      </c>
    </row>
    <row r="124" spans="1:3" x14ac:dyDescent="0.3">
      <c r="A124" s="34">
        <v>189</v>
      </c>
      <c r="B124" s="43">
        <v>6213</v>
      </c>
      <c r="C124" s="35">
        <v>2063</v>
      </c>
    </row>
    <row r="125" spans="1:3" x14ac:dyDescent="0.3">
      <c r="A125" s="34">
        <v>189</v>
      </c>
      <c r="B125" s="43">
        <v>12116</v>
      </c>
      <c r="C125" s="35">
        <v>1772</v>
      </c>
    </row>
    <row r="126" spans="1:3" x14ac:dyDescent="0.3">
      <c r="A126" s="34">
        <v>189</v>
      </c>
      <c r="B126" s="43">
        <v>16000</v>
      </c>
      <c r="C126" s="35">
        <v>2162</v>
      </c>
    </row>
    <row r="127" spans="1:3" x14ac:dyDescent="0.3">
      <c r="A127" s="34">
        <v>189</v>
      </c>
      <c r="B127" s="43">
        <v>4360</v>
      </c>
      <c r="C127" s="35">
        <v>2017</v>
      </c>
    </row>
    <row r="128" spans="1:3" x14ac:dyDescent="0.3">
      <c r="A128" s="34">
        <v>189</v>
      </c>
      <c r="B128" s="43">
        <v>8391</v>
      </c>
      <c r="C128" s="35">
        <v>2049</v>
      </c>
    </row>
    <row r="129" spans="1:3" x14ac:dyDescent="0.3">
      <c r="A129" s="34">
        <v>189</v>
      </c>
      <c r="B129" s="43">
        <v>12252</v>
      </c>
      <c r="C129" s="35">
        <v>2094</v>
      </c>
    </row>
    <row r="130" spans="1:3" x14ac:dyDescent="0.3">
      <c r="A130" s="34">
        <v>189</v>
      </c>
      <c r="B130" s="43">
        <v>11445</v>
      </c>
      <c r="C130" s="35">
        <v>2052</v>
      </c>
    </row>
    <row r="131" spans="1:3" x14ac:dyDescent="0.3">
      <c r="A131" s="34">
        <v>189</v>
      </c>
      <c r="B131" s="43">
        <v>9045</v>
      </c>
      <c r="C131" s="35">
        <v>2062</v>
      </c>
    </row>
    <row r="132" spans="1:3" x14ac:dyDescent="0.3">
      <c r="A132" s="34">
        <v>189</v>
      </c>
      <c r="B132" s="43">
        <v>7722</v>
      </c>
      <c r="C132" s="35">
        <v>1765</v>
      </c>
    </row>
    <row r="133" spans="1:3" x14ac:dyDescent="0.3">
      <c r="A133" s="34">
        <v>189</v>
      </c>
      <c r="B133" s="43">
        <v>19864</v>
      </c>
      <c r="C133" s="35">
        <v>1781</v>
      </c>
    </row>
    <row r="134" spans="1:3" x14ac:dyDescent="0.3">
      <c r="A134" s="34">
        <v>189</v>
      </c>
      <c r="B134" s="43">
        <v>10400</v>
      </c>
      <c r="C134" s="35">
        <v>1759</v>
      </c>
    </row>
    <row r="135" spans="1:3" x14ac:dyDescent="0.3">
      <c r="A135" s="34">
        <v>189</v>
      </c>
      <c r="B135" s="43">
        <v>7922</v>
      </c>
      <c r="C135" s="35">
        <v>1776</v>
      </c>
    </row>
    <row r="136" spans="1:3" x14ac:dyDescent="0.3">
      <c r="A136" s="34">
        <v>189</v>
      </c>
      <c r="B136" s="43">
        <v>16459</v>
      </c>
      <c r="C136" s="35">
        <v>1771</v>
      </c>
    </row>
    <row r="137" spans="1:3" x14ac:dyDescent="0.3">
      <c r="A137" s="34">
        <v>189</v>
      </c>
      <c r="B137" s="43">
        <v>18094</v>
      </c>
      <c r="C137" s="35">
        <v>2055</v>
      </c>
    </row>
    <row r="138" spans="1:3" x14ac:dyDescent="0.3">
      <c r="A138" s="34">
        <v>189</v>
      </c>
      <c r="B138" s="43">
        <v>14660</v>
      </c>
      <c r="C138" s="35">
        <v>1592</v>
      </c>
    </row>
    <row r="139" spans="1:3" x14ac:dyDescent="0.3">
      <c r="A139" s="34">
        <v>189</v>
      </c>
      <c r="B139" s="43">
        <v>20393</v>
      </c>
      <c r="C139" s="35">
        <v>2160</v>
      </c>
    </row>
    <row r="140" spans="1:3" x14ac:dyDescent="0.3">
      <c r="A140" s="34">
        <v>189</v>
      </c>
      <c r="B140" s="43">
        <v>450</v>
      </c>
      <c r="C140" s="35">
        <v>669</v>
      </c>
    </row>
    <row r="141" spans="1:3" x14ac:dyDescent="0.3">
      <c r="A141" s="34">
        <v>189</v>
      </c>
      <c r="B141" s="43">
        <v>3636</v>
      </c>
      <c r="C141" s="35">
        <v>2014</v>
      </c>
    </row>
    <row r="142" spans="1:3" x14ac:dyDescent="0.3">
      <c r="A142" s="34">
        <v>189</v>
      </c>
      <c r="B142" s="43">
        <v>26007</v>
      </c>
      <c r="C142" s="35">
        <v>1936</v>
      </c>
    </row>
    <row r="143" spans="1:3" x14ac:dyDescent="0.3">
      <c r="A143" s="34">
        <v>189</v>
      </c>
      <c r="B143" s="43">
        <v>93000</v>
      </c>
      <c r="C143" s="35">
        <v>2045</v>
      </c>
    </row>
    <row r="144" spans="1:3" x14ac:dyDescent="0.3">
      <c r="A144" s="34">
        <v>190</v>
      </c>
      <c r="B144" s="43">
        <v>10500</v>
      </c>
      <c r="C144" s="35">
        <v>1799</v>
      </c>
    </row>
    <row r="145" spans="1:3" x14ac:dyDescent="0.3">
      <c r="A145" s="34">
        <v>190</v>
      </c>
      <c r="B145" s="43">
        <v>12000</v>
      </c>
      <c r="C145" s="35">
        <v>1909</v>
      </c>
    </row>
    <row r="146" spans="1:3" x14ac:dyDescent="0.3">
      <c r="A146" s="34">
        <v>190</v>
      </c>
      <c r="B146" s="43">
        <v>6922</v>
      </c>
      <c r="C146" s="35">
        <v>1140</v>
      </c>
    </row>
    <row r="147" spans="1:3" x14ac:dyDescent="0.3">
      <c r="A147" s="34">
        <v>190</v>
      </c>
      <c r="B147" s="43">
        <v>2700</v>
      </c>
      <c r="C147" s="35">
        <v>2054</v>
      </c>
    </row>
    <row r="148" spans="1:3" x14ac:dyDescent="0.3">
      <c r="A148" s="34">
        <v>190</v>
      </c>
      <c r="B148" s="43">
        <v>13268</v>
      </c>
      <c r="C148" s="35">
        <v>2209</v>
      </c>
    </row>
    <row r="149" spans="1:3" x14ac:dyDescent="0.3">
      <c r="A149" s="34">
        <v>190</v>
      </c>
      <c r="B149" s="43">
        <v>12000</v>
      </c>
      <c r="C149" s="35">
        <v>2261</v>
      </c>
    </row>
    <row r="150" spans="1:3" x14ac:dyDescent="0.3">
      <c r="A150" s="34">
        <v>190</v>
      </c>
      <c r="B150" s="43">
        <v>7247</v>
      </c>
      <c r="C150" s="35">
        <v>2207</v>
      </c>
    </row>
    <row r="151" spans="1:3" x14ac:dyDescent="0.3">
      <c r="A151" s="34">
        <v>190</v>
      </c>
      <c r="B151" s="43">
        <v>42000</v>
      </c>
      <c r="C151" s="35">
        <v>2654</v>
      </c>
    </row>
    <row r="152" spans="1:3" x14ac:dyDescent="0.3">
      <c r="A152" s="34">
        <v>190</v>
      </c>
      <c r="B152" s="43">
        <v>9500</v>
      </c>
      <c r="C152" s="35">
        <v>2362</v>
      </c>
    </row>
    <row r="153" spans="1:3" x14ac:dyDescent="0.3">
      <c r="A153" s="34">
        <v>190</v>
      </c>
      <c r="B153" s="43">
        <v>5883</v>
      </c>
      <c r="C153" s="35">
        <v>2012</v>
      </c>
    </row>
    <row r="154" spans="1:3" x14ac:dyDescent="0.3">
      <c r="A154" s="34">
        <v>190</v>
      </c>
      <c r="B154" s="43">
        <v>10500</v>
      </c>
      <c r="C154" s="35">
        <v>2357</v>
      </c>
    </row>
    <row r="155" spans="1:3" x14ac:dyDescent="0.3">
      <c r="A155" s="34">
        <v>190</v>
      </c>
      <c r="B155" s="43">
        <v>6100</v>
      </c>
      <c r="C155" s="35">
        <v>2150</v>
      </c>
    </row>
    <row r="156" spans="1:3" x14ac:dyDescent="0.3">
      <c r="A156" s="34">
        <v>190</v>
      </c>
      <c r="B156" s="43">
        <v>14000</v>
      </c>
      <c r="C156" s="35">
        <v>2463</v>
      </c>
    </row>
    <row r="157" spans="1:3" x14ac:dyDescent="0.3">
      <c r="A157" s="34">
        <v>190</v>
      </c>
      <c r="B157" s="43">
        <v>20000</v>
      </c>
      <c r="C157" s="35">
        <v>1960</v>
      </c>
    </row>
    <row r="158" spans="1:3" x14ac:dyDescent="0.3">
      <c r="A158" s="34">
        <v>190</v>
      </c>
      <c r="B158" s="43">
        <v>10137</v>
      </c>
      <c r="C158" s="35">
        <v>2159</v>
      </c>
    </row>
    <row r="159" spans="1:3" x14ac:dyDescent="0.3">
      <c r="A159" s="34">
        <v>190</v>
      </c>
      <c r="B159" s="43">
        <v>15000</v>
      </c>
      <c r="C159" s="35">
        <v>2215</v>
      </c>
    </row>
    <row r="160" spans="1:3" x14ac:dyDescent="0.3">
      <c r="A160" s="34">
        <v>190</v>
      </c>
      <c r="B160" s="43">
        <v>15000</v>
      </c>
      <c r="C160" s="35">
        <v>2254</v>
      </c>
    </row>
    <row r="161" spans="1:3" x14ac:dyDescent="0.3">
      <c r="A161" s="34">
        <v>190</v>
      </c>
      <c r="B161" s="43">
        <v>12300</v>
      </c>
      <c r="C161" s="35">
        <v>2357</v>
      </c>
    </row>
    <row r="162" spans="1:3" x14ac:dyDescent="0.3">
      <c r="A162" s="34">
        <v>190</v>
      </c>
      <c r="B162" s="43">
        <v>30000</v>
      </c>
      <c r="C162" s="35">
        <v>2667</v>
      </c>
    </row>
    <row r="163" spans="1:3" x14ac:dyDescent="0.3">
      <c r="A163" s="34">
        <v>190</v>
      </c>
      <c r="B163" s="43">
        <v>23357</v>
      </c>
      <c r="C163" s="35">
        <v>2359</v>
      </c>
    </row>
    <row r="164" spans="1:3" x14ac:dyDescent="0.3">
      <c r="A164" s="34">
        <v>190</v>
      </c>
      <c r="B164" s="43">
        <v>21100</v>
      </c>
      <c r="C164" s="35">
        <v>2354</v>
      </c>
    </row>
    <row r="165" spans="1:3" x14ac:dyDescent="0.3">
      <c r="A165" s="34">
        <v>190</v>
      </c>
      <c r="B165" s="43">
        <v>6910</v>
      </c>
      <c r="C165" s="35">
        <v>1909</v>
      </c>
    </row>
    <row r="166" spans="1:3" x14ac:dyDescent="0.3">
      <c r="A166" s="34">
        <v>190</v>
      </c>
      <c r="B166" s="43">
        <v>32000</v>
      </c>
      <c r="C166" s="35">
        <v>2660</v>
      </c>
    </row>
    <row r="167" spans="1:3" x14ac:dyDescent="0.3">
      <c r="A167" s="34">
        <v>190</v>
      </c>
      <c r="B167" s="43">
        <v>72000</v>
      </c>
      <c r="C167" s="35">
        <v>3557</v>
      </c>
    </row>
    <row r="168" spans="1:3" x14ac:dyDescent="0.3">
      <c r="A168" s="34">
        <v>190</v>
      </c>
      <c r="B168" s="43">
        <v>12000</v>
      </c>
      <c r="C168" s="35">
        <v>2357</v>
      </c>
    </row>
    <row r="169" spans="1:3" x14ac:dyDescent="0.3">
      <c r="A169" s="34">
        <v>190</v>
      </c>
      <c r="B169" s="43">
        <v>78500</v>
      </c>
      <c r="C169" s="35">
        <v>4270</v>
      </c>
    </row>
    <row r="170" spans="1:3" x14ac:dyDescent="0.3">
      <c r="A170" s="34">
        <v>190</v>
      </c>
      <c r="B170" s="43">
        <v>552</v>
      </c>
      <c r="C170" s="35">
        <v>2000</v>
      </c>
    </row>
    <row r="171" spans="1:3" x14ac:dyDescent="0.3">
      <c r="A171" s="34">
        <v>190</v>
      </c>
      <c r="B171" s="43">
        <v>275</v>
      </c>
      <c r="C171" s="35">
        <v>2000</v>
      </c>
    </row>
    <row r="172" spans="1:3" x14ac:dyDescent="0.3">
      <c r="A172" s="34">
        <v>198</v>
      </c>
      <c r="B172" s="43">
        <v>25000</v>
      </c>
      <c r="C172" s="35">
        <v>2818</v>
      </c>
    </row>
    <row r="173" spans="1:3" x14ac:dyDescent="0.3">
      <c r="A173" s="34">
        <v>198</v>
      </c>
      <c r="B173" s="43">
        <v>5700</v>
      </c>
      <c r="C173" s="35">
        <v>1694</v>
      </c>
    </row>
    <row r="174" spans="1:3" x14ac:dyDescent="0.3">
      <c r="A174" s="34">
        <v>198</v>
      </c>
      <c r="B174" s="43">
        <v>26000</v>
      </c>
      <c r="C174" s="35">
        <v>2792</v>
      </c>
    </row>
    <row r="175" spans="1:3" x14ac:dyDescent="0.3">
      <c r="A175" s="34">
        <v>198</v>
      </c>
      <c r="B175" s="43">
        <v>52570</v>
      </c>
      <c r="C175" s="35">
        <v>2824</v>
      </c>
    </row>
    <row r="176" spans="1:3" x14ac:dyDescent="0.3">
      <c r="A176" s="34">
        <v>2</v>
      </c>
      <c r="B176" s="43">
        <v>5600</v>
      </c>
      <c r="C176" s="35">
        <v>2950</v>
      </c>
    </row>
    <row r="177" spans="1:3" x14ac:dyDescent="0.3">
      <c r="A177" s="34">
        <v>2</v>
      </c>
      <c r="B177" s="43">
        <v>11880</v>
      </c>
      <c r="C177" s="35">
        <v>3153</v>
      </c>
    </row>
    <row r="178" spans="1:3" x14ac:dyDescent="0.3">
      <c r="A178" s="34">
        <v>20</v>
      </c>
      <c r="B178" s="43">
        <v>36176</v>
      </c>
      <c r="C178" s="35">
        <v>2392</v>
      </c>
    </row>
    <row r="179" spans="1:3" x14ac:dyDescent="0.3">
      <c r="A179" s="34">
        <v>20</v>
      </c>
      <c r="B179" s="43">
        <v>14967</v>
      </c>
      <c r="C179" s="35">
        <v>2912</v>
      </c>
    </row>
    <row r="180" spans="1:3" x14ac:dyDescent="0.3">
      <c r="A180" s="34">
        <v>20</v>
      </c>
      <c r="B180" s="43">
        <v>8266</v>
      </c>
      <c r="C180" s="35">
        <v>2912</v>
      </c>
    </row>
    <row r="181" spans="1:3" x14ac:dyDescent="0.3">
      <c r="A181" s="34">
        <v>20</v>
      </c>
      <c r="B181" s="43">
        <v>8580</v>
      </c>
      <c r="C181" s="35">
        <v>2912</v>
      </c>
    </row>
    <row r="182" spans="1:3" x14ac:dyDescent="0.3">
      <c r="A182" s="34">
        <v>20</v>
      </c>
      <c r="B182" s="43">
        <v>8110</v>
      </c>
      <c r="C182" s="35">
        <v>2912</v>
      </c>
    </row>
    <row r="183" spans="1:3" x14ac:dyDescent="0.3">
      <c r="A183" s="34">
        <v>20</v>
      </c>
      <c r="B183" s="43">
        <v>6700</v>
      </c>
      <c r="C183" s="35">
        <v>2912</v>
      </c>
    </row>
    <row r="184" spans="1:3" x14ac:dyDescent="0.3">
      <c r="A184" s="34">
        <v>20</v>
      </c>
      <c r="B184" s="43">
        <v>11000</v>
      </c>
      <c r="C184" s="35">
        <v>3120</v>
      </c>
    </row>
    <row r="185" spans="1:3" x14ac:dyDescent="0.3">
      <c r="A185" s="34">
        <v>20</v>
      </c>
      <c r="B185" s="43">
        <v>14500</v>
      </c>
      <c r="C185" s="35">
        <v>3120</v>
      </c>
    </row>
    <row r="186" spans="1:3" x14ac:dyDescent="0.3">
      <c r="A186" s="34">
        <v>20</v>
      </c>
      <c r="B186" s="43">
        <v>15120</v>
      </c>
      <c r="C186" s="35">
        <v>3120</v>
      </c>
    </row>
    <row r="187" spans="1:3" x14ac:dyDescent="0.3">
      <c r="A187" s="34">
        <v>20</v>
      </c>
      <c r="B187" s="43">
        <v>7536</v>
      </c>
      <c r="C187" s="35">
        <v>2860</v>
      </c>
    </row>
    <row r="188" spans="1:3" x14ac:dyDescent="0.3">
      <c r="A188" s="34">
        <v>20</v>
      </c>
      <c r="B188" s="43">
        <v>10738</v>
      </c>
      <c r="C188" s="35">
        <v>2912</v>
      </c>
    </row>
    <row r="189" spans="1:3" x14ac:dyDescent="0.3">
      <c r="A189" s="34">
        <v>20</v>
      </c>
      <c r="B189" s="43">
        <v>9017</v>
      </c>
      <c r="C189" s="35">
        <v>2912</v>
      </c>
    </row>
    <row r="190" spans="1:3" x14ac:dyDescent="0.3">
      <c r="A190" s="34">
        <v>20</v>
      </c>
      <c r="B190" s="43">
        <v>9017</v>
      </c>
      <c r="C190" s="35">
        <v>2912</v>
      </c>
    </row>
    <row r="191" spans="1:3" x14ac:dyDescent="0.3">
      <c r="A191" s="34">
        <v>20</v>
      </c>
      <c r="B191" s="43">
        <v>16000</v>
      </c>
      <c r="C191" s="35">
        <v>2912</v>
      </c>
    </row>
    <row r="192" spans="1:3" x14ac:dyDescent="0.3">
      <c r="A192" s="34">
        <v>20</v>
      </c>
      <c r="B192" s="43">
        <v>16000</v>
      </c>
      <c r="C192" s="35">
        <v>3120</v>
      </c>
    </row>
    <row r="193" spans="1:3" x14ac:dyDescent="0.3">
      <c r="A193" s="34">
        <v>20</v>
      </c>
      <c r="B193" s="43">
        <v>13257</v>
      </c>
      <c r="C193" s="35">
        <v>2912</v>
      </c>
    </row>
    <row r="194" spans="1:3" x14ac:dyDescent="0.3">
      <c r="A194" s="34">
        <v>20</v>
      </c>
      <c r="B194" s="43">
        <v>10827</v>
      </c>
      <c r="C194" s="35">
        <v>2912</v>
      </c>
    </row>
    <row r="195" spans="1:3" x14ac:dyDescent="0.3">
      <c r="A195" s="34">
        <v>20</v>
      </c>
      <c r="B195" s="43">
        <v>10120</v>
      </c>
      <c r="C195" s="35">
        <v>2912</v>
      </c>
    </row>
    <row r="196" spans="1:3" x14ac:dyDescent="0.3">
      <c r="A196" s="34">
        <v>20</v>
      </c>
      <c r="B196" s="43">
        <v>8000</v>
      </c>
      <c r="C196" s="35">
        <v>2912</v>
      </c>
    </row>
    <row r="197" spans="1:3" x14ac:dyDescent="0.3">
      <c r="A197" s="34">
        <v>20</v>
      </c>
      <c r="B197" s="43">
        <v>8630</v>
      </c>
      <c r="C197" s="35">
        <v>2912</v>
      </c>
    </row>
    <row r="198" spans="1:3" x14ac:dyDescent="0.3">
      <c r="A198" s="34">
        <v>20</v>
      </c>
      <c r="B198" s="43">
        <v>8320</v>
      </c>
      <c r="C198" s="35">
        <v>2912</v>
      </c>
    </row>
    <row r="199" spans="1:3" x14ac:dyDescent="0.3">
      <c r="A199" s="34">
        <v>212</v>
      </c>
      <c r="B199" s="43">
        <v>9606</v>
      </c>
      <c r="C199" s="35">
        <v>1560</v>
      </c>
    </row>
    <row r="200" spans="1:3" x14ac:dyDescent="0.3">
      <c r="A200" s="34">
        <v>213</v>
      </c>
      <c r="B200" s="43">
        <v>1795</v>
      </c>
      <c r="C200" s="35">
        <v>684</v>
      </c>
    </row>
    <row r="201" spans="1:3" x14ac:dyDescent="0.3">
      <c r="A201" s="34">
        <v>215</v>
      </c>
      <c r="B201" s="43">
        <v>9800</v>
      </c>
      <c r="C201" s="35">
        <v>2808</v>
      </c>
    </row>
    <row r="202" spans="1:3" x14ac:dyDescent="0.3">
      <c r="A202" s="34">
        <v>228</v>
      </c>
      <c r="B202" s="43">
        <v>5051</v>
      </c>
      <c r="C202" s="35">
        <v>2163</v>
      </c>
    </row>
    <row r="203" spans="1:3" x14ac:dyDescent="0.3">
      <c r="A203" s="34">
        <v>228</v>
      </c>
      <c r="B203" s="43">
        <v>240</v>
      </c>
      <c r="C203" s="35">
        <v>132</v>
      </c>
    </row>
    <row r="204" spans="1:3" x14ac:dyDescent="0.3">
      <c r="A204" s="34">
        <v>228</v>
      </c>
      <c r="B204" s="43">
        <v>15151</v>
      </c>
      <c r="C204" s="35">
        <v>2238</v>
      </c>
    </row>
    <row r="205" spans="1:3" x14ac:dyDescent="0.3">
      <c r="A205" s="34">
        <v>228</v>
      </c>
      <c r="B205" s="43">
        <v>1073</v>
      </c>
      <c r="C205" s="35">
        <v>753</v>
      </c>
    </row>
    <row r="206" spans="1:3" x14ac:dyDescent="0.3">
      <c r="A206" s="34">
        <v>228</v>
      </c>
      <c r="B206" s="43">
        <v>8034</v>
      </c>
      <c r="C206" s="35">
        <v>2354</v>
      </c>
    </row>
    <row r="207" spans="1:3" x14ac:dyDescent="0.3">
      <c r="A207" s="34">
        <v>228</v>
      </c>
      <c r="B207" s="43">
        <v>20000</v>
      </c>
      <c r="C207" s="35">
        <v>2230</v>
      </c>
    </row>
    <row r="208" spans="1:3" x14ac:dyDescent="0.3">
      <c r="A208" s="34">
        <v>231</v>
      </c>
      <c r="B208" s="43">
        <v>1287</v>
      </c>
      <c r="C208" s="35">
        <v>665</v>
      </c>
    </row>
    <row r="209" spans="1:3" x14ac:dyDescent="0.3">
      <c r="A209" s="34">
        <v>236</v>
      </c>
      <c r="B209" s="43">
        <v>3433</v>
      </c>
      <c r="C209" s="35">
        <v>2100</v>
      </c>
    </row>
    <row r="210" spans="1:3" x14ac:dyDescent="0.3">
      <c r="A210" s="34">
        <v>236</v>
      </c>
      <c r="B210" s="43">
        <v>9200</v>
      </c>
      <c r="C210" s="35">
        <v>2210</v>
      </c>
    </row>
    <row r="211" spans="1:3" x14ac:dyDescent="0.3">
      <c r="A211" s="34">
        <v>238</v>
      </c>
      <c r="B211" s="43">
        <v>500</v>
      </c>
      <c r="C211" s="35">
        <v>1005</v>
      </c>
    </row>
    <row r="212" spans="1:3" x14ac:dyDescent="0.3">
      <c r="A212" s="34">
        <v>240</v>
      </c>
      <c r="B212" s="43">
        <v>12630</v>
      </c>
      <c r="C212" s="35">
        <v>2727</v>
      </c>
    </row>
    <row r="213" spans="1:3" x14ac:dyDescent="0.3">
      <c r="A213" s="34">
        <v>240</v>
      </c>
      <c r="B213" s="43">
        <v>10426</v>
      </c>
      <c r="C213" s="35">
        <v>2727</v>
      </c>
    </row>
    <row r="214" spans="1:3" x14ac:dyDescent="0.3">
      <c r="A214" s="34">
        <v>240</v>
      </c>
      <c r="B214" s="43">
        <v>10426</v>
      </c>
      <c r="C214" s="35">
        <v>2727</v>
      </c>
    </row>
    <row r="215" spans="1:3" x14ac:dyDescent="0.3">
      <c r="A215" s="34">
        <v>254</v>
      </c>
      <c r="B215" s="43">
        <v>11000</v>
      </c>
      <c r="C215" s="35">
        <v>3322</v>
      </c>
    </row>
    <row r="216" spans="1:3" x14ac:dyDescent="0.3">
      <c r="A216" s="34">
        <v>254</v>
      </c>
      <c r="B216" s="43">
        <v>11000</v>
      </c>
      <c r="C216" s="35">
        <v>3322</v>
      </c>
    </row>
    <row r="217" spans="1:3" x14ac:dyDescent="0.3">
      <c r="A217" s="34">
        <v>256</v>
      </c>
      <c r="B217" s="43">
        <v>20000</v>
      </c>
      <c r="C217" s="35">
        <v>3296</v>
      </c>
    </row>
    <row r="218" spans="1:3" x14ac:dyDescent="0.3">
      <c r="A218" s="34">
        <v>262</v>
      </c>
      <c r="B218" s="43">
        <v>10000</v>
      </c>
      <c r="C218" s="35">
        <v>2735</v>
      </c>
    </row>
    <row r="219" spans="1:3" x14ac:dyDescent="0.3">
      <c r="A219" s="34">
        <v>264</v>
      </c>
      <c r="B219" s="43">
        <v>32956</v>
      </c>
      <c r="C219" s="35">
        <v>2965</v>
      </c>
    </row>
    <row r="220" spans="1:3" x14ac:dyDescent="0.3">
      <c r="A220" s="34">
        <v>264</v>
      </c>
      <c r="B220" s="43">
        <v>74</v>
      </c>
      <c r="C220" s="35">
        <v>241</v>
      </c>
    </row>
    <row r="221" spans="1:3" x14ac:dyDescent="0.3">
      <c r="A221" s="34">
        <v>266</v>
      </c>
      <c r="B221" s="43">
        <v>0</v>
      </c>
      <c r="C221" s="35">
        <v>212</v>
      </c>
    </row>
    <row r="222" spans="1:3" x14ac:dyDescent="0.3">
      <c r="A222" s="34">
        <v>269</v>
      </c>
      <c r="B222" s="43">
        <v>480</v>
      </c>
      <c r="C222" s="35">
        <v>936</v>
      </c>
    </row>
    <row r="223" spans="1:3" x14ac:dyDescent="0.3">
      <c r="A223" s="34">
        <v>269</v>
      </c>
      <c r="B223" s="43">
        <v>2030</v>
      </c>
      <c r="C223" s="35">
        <v>1664</v>
      </c>
    </row>
    <row r="224" spans="1:3" x14ac:dyDescent="0.3">
      <c r="A224" s="34">
        <v>28</v>
      </c>
      <c r="B224" s="43">
        <v>500</v>
      </c>
      <c r="C224" s="35">
        <v>1000</v>
      </c>
    </row>
    <row r="225" spans="1:3" x14ac:dyDescent="0.3">
      <c r="A225" s="34">
        <v>283</v>
      </c>
      <c r="B225" s="43">
        <v>805</v>
      </c>
      <c r="C225" s="35">
        <v>2080</v>
      </c>
    </row>
    <row r="226" spans="1:3" x14ac:dyDescent="0.3">
      <c r="A226" s="34">
        <v>283</v>
      </c>
      <c r="B226" s="43">
        <v>150</v>
      </c>
      <c r="C226" s="35">
        <v>300</v>
      </c>
    </row>
    <row r="227" spans="1:3" x14ac:dyDescent="0.3">
      <c r="A227" s="34">
        <v>284</v>
      </c>
      <c r="B227" s="43">
        <v>736</v>
      </c>
      <c r="C227" s="35">
        <v>1370</v>
      </c>
    </row>
    <row r="228" spans="1:3" x14ac:dyDescent="0.3">
      <c r="A228" s="34">
        <v>295</v>
      </c>
      <c r="B228" s="43">
        <v>1099</v>
      </c>
      <c r="C228" s="35">
        <v>1030</v>
      </c>
    </row>
    <row r="229" spans="1:3" x14ac:dyDescent="0.3">
      <c r="A229" s="34">
        <v>298</v>
      </c>
      <c r="B229" s="43">
        <v>1000</v>
      </c>
      <c r="C229" s="35">
        <v>992</v>
      </c>
    </row>
    <row r="230" spans="1:3" x14ac:dyDescent="0.3">
      <c r="A230" s="34">
        <v>298</v>
      </c>
      <c r="B230" s="43">
        <v>3444</v>
      </c>
      <c r="C230" s="35">
        <v>991</v>
      </c>
    </row>
    <row r="231" spans="1:3" x14ac:dyDescent="0.3">
      <c r="A231" s="34">
        <v>298</v>
      </c>
      <c r="B231" s="43">
        <v>1200</v>
      </c>
      <c r="C231" s="35">
        <v>984</v>
      </c>
    </row>
    <row r="232" spans="1:3" x14ac:dyDescent="0.3">
      <c r="A232" s="34">
        <v>30</v>
      </c>
      <c r="B232" s="43">
        <v>11500</v>
      </c>
      <c r="C232" s="35">
        <v>3132</v>
      </c>
    </row>
    <row r="233" spans="1:3" x14ac:dyDescent="0.3">
      <c r="A233" s="34">
        <v>30</v>
      </c>
      <c r="B233" s="43">
        <v>1400</v>
      </c>
      <c r="C233" s="35">
        <v>2617</v>
      </c>
    </row>
    <row r="234" spans="1:3" x14ac:dyDescent="0.3">
      <c r="A234" s="34">
        <v>30</v>
      </c>
      <c r="B234" s="43">
        <v>16030</v>
      </c>
      <c r="C234" s="35">
        <v>3132</v>
      </c>
    </row>
    <row r="235" spans="1:3" x14ac:dyDescent="0.3">
      <c r="A235" s="34">
        <v>30</v>
      </c>
      <c r="B235" s="43">
        <v>24008</v>
      </c>
      <c r="C235" s="35">
        <v>3124</v>
      </c>
    </row>
    <row r="236" spans="1:3" x14ac:dyDescent="0.3">
      <c r="A236" s="34">
        <v>30</v>
      </c>
      <c r="B236" s="43">
        <v>11970</v>
      </c>
      <c r="C236" s="35">
        <v>3132</v>
      </c>
    </row>
    <row r="237" spans="1:3" x14ac:dyDescent="0.3">
      <c r="A237" s="34">
        <v>300</v>
      </c>
      <c r="B237" s="43">
        <v>10300</v>
      </c>
      <c r="C237" s="35">
        <v>2713</v>
      </c>
    </row>
    <row r="238" spans="1:3" x14ac:dyDescent="0.3">
      <c r="A238" s="34">
        <v>311</v>
      </c>
      <c r="B238" s="43">
        <v>30000</v>
      </c>
      <c r="C238" s="35">
        <v>3444</v>
      </c>
    </row>
    <row r="239" spans="1:3" x14ac:dyDescent="0.3">
      <c r="A239" s="34">
        <v>311</v>
      </c>
      <c r="B239" s="43">
        <v>30000</v>
      </c>
      <c r="C239" s="35">
        <v>3444</v>
      </c>
    </row>
    <row r="240" spans="1:3" x14ac:dyDescent="0.3">
      <c r="A240" s="34">
        <v>311</v>
      </c>
      <c r="B240" s="43">
        <v>30000</v>
      </c>
      <c r="C240" s="35">
        <v>3444</v>
      </c>
    </row>
    <row r="241" spans="1:3" x14ac:dyDescent="0.3">
      <c r="A241" s="34">
        <v>311</v>
      </c>
      <c r="B241" s="43">
        <v>30000</v>
      </c>
      <c r="C241" s="35">
        <v>3423</v>
      </c>
    </row>
    <row r="242" spans="1:3" x14ac:dyDescent="0.3">
      <c r="A242" s="34">
        <v>315</v>
      </c>
      <c r="B242" s="44"/>
      <c r="C242" s="35">
        <v>0</v>
      </c>
    </row>
    <row r="243" spans="1:3" x14ac:dyDescent="0.3">
      <c r="A243" s="34">
        <v>316</v>
      </c>
      <c r="B243" s="43">
        <v>3867</v>
      </c>
      <c r="C243" s="35">
        <v>1470</v>
      </c>
    </row>
    <row r="244" spans="1:3" x14ac:dyDescent="0.3">
      <c r="A244" s="34">
        <v>316</v>
      </c>
      <c r="B244" s="43">
        <v>1786</v>
      </c>
      <c r="C244" s="35">
        <v>1504</v>
      </c>
    </row>
    <row r="245" spans="1:3" x14ac:dyDescent="0.3">
      <c r="A245" s="34">
        <v>316</v>
      </c>
      <c r="B245" s="43">
        <v>7560</v>
      </c>
      <c r="C245" s="35">
        <v>1531</v>
      </c>
    </row>
    <row r="246" spans="1:3" x14ac:dyDescent="0.3">
      <c r="A246" s="34">
        <v>324</v>
      </c>
      <c r="B246" s="43">
        <v>888</v>
      </c>
      <c r="C246" s="35">
        <v>714</v>
      </c>
    </row>
    <row r="247" spans="1:3" x14ac:dyDescent="0.3">
      <c r="A247" s="34">
        <v>329</v>
      </c>
      <c r="B247" s="43">
        <v>18600</v>
      </c>
      <c r="C247" s="35">
        <v>2531</v>
      </c>
    </row>
    <row r="248" spans="1:3" x14ac:dyDescent="0.3">
      <c r="A248" s="34">
        <v>329</v>
      </c>
      <c r="B248" s="43">
        <v>6280</v>
      </c>
      <c r="C248" s="35">
        <v>2134</v>
      </c>
    </row>
    <row r="249" spans="1:3" x14ac:dyDescent="0.3">
      <c r="A249" s="34">
        <v>329</v>
      </c>
      <c r="B249" s="43">
        <v>77000</v>
      </c>
      <c r="C249" s="35">
        <v>3397</v>
      </c>
    </row>
    <row r="250" spans="1:3" x14ac:dyDescent="0.3">
      <c r="A250" s="34">
        <v>329</v>
      </c>
      <c r="B250" s="43">
        <v>1535</v>
      </c>
      <c r="C250" s="35">
        <v>2232</v>
      </c>
    </row>
    <row r="251" spans="1:3" x14ac:dyDescent="0.3">
      <c r="A251" s="34">
        <v>329</v>
      </c>
      <c r="B251" s="43">
        <v>10500</v>
      </c>
      <c r="C251" s="35">
        <v>2130</v>
      </c>
    </row>
    <row r="252" spans="1:3" x14ac:dyDescent="0.3">
      <c r="A252" s="34">
        <v>329</v>
      </c>
      <c r="B252" s="43">
        <v>4800</v>
      </c>
      <c r="C252" s="35">
        <v>1842</v>
      </c>
    </row>
    <row r="253" spans="1:3" x14ac:dyDescent="0.3">
      <c r="A253" s="34">
        <v>329</v>
      </c>
      <c r="B253" s="43">
        <v>19400</v>
      </c>
      <c r="C253" s="35">
        <v>2390</v>
      </c>
    </row>
    <row r="254" spans="1:3" x14ac:dyDescent="0.3">
      <c r="A254" s="34">
        <v>329</v>
      </c>
      <c r="B254" s="43">
        <v>33500</v>
      </c>
      <c r="C254" s="35">
        <v>2521</v>
      </c>
    </row>
    <row r="255" spans="1:3" x14ac:dyDescent="0.3">
      <c r="A255" s="34">
        <v>329</v>
      </c>
      <c r="B255" s="43">
        <v>21300</v>
      </c>
      <c r="C255" s="35">
        <v>2528</v>
      </c>
    </row>
    <row r="256" spans="1:3" x14ac:dyDescent="0.3">
      <c r="A256" s="34">
        <v>329</v>
      </c>
      <c r="B256" s="43">
        <v>44989</v>
      </c>
      <c r="C256" s="35">
        <v>3206</v>
      </c>
    </row>
    <row r="257" spans="1:3" x14ac:dyDescent="0.3">
      <c r="A257" s="34">
        <v>329</v>
      </c>
      <c r="B257" s="43">
        <v>40193</v>
      </c>
      <c r="C257" s="35">
        <v>2869</v>
      </c>
    </row>
    <row r="258" spans="1:3" x14ac:dyDescent="0.3">
      <c r="A258" s="34">
        <v>334</v>
      </c>
      <c r="B258" s="43">
        <v>1430</v>
      </c>
      <c r="C258" s="35">
        <v>917</v>
      </c>
    </row>
    <row r="259" spans="1:3" x14ac:dyDescent="0.3">
      <c r="A259" s="34">
        <v>343</v>
      </c>
      <c r="B259" s="43">
        <v>5096</v>
      </c>
      <c r="C259" s="35">
        <v>1932</v>
      </c>
    </row>
    <row r="260" spans="1:3" x14ac:dyDescent="0.3">
      <c r="A260" s="34">
        <v>343</v>
      </c>
      <c r="B260" s="43">
        <v>2680</v>
      </c>
      <c r="C260" s="35">
        <v>1684</v>
      </c>
    </row>
    <row r="261" spans="1:3" x14ac:dyDescent="0.3">
      <c r="A261" s="34">
        <v>344</v>
      </c>
      <c r="B261" s="43">
        <v>12000</v>
      </c>
      <c r="C261" s="35">
        <v>2912</v>
      </c>
    </row>
    <row r="262" spans="1:3" x14ac:dyDescent="0.3">
      <c r="A262" s="34">
        <v>344</v>
      </c>
      <c r="B262" s="43">
        <v>14470</v>
      </c>
      <c r="C262" s="35">
        <v>2912</v>
      </c>
    </row>
    <row r="263" spans="1:3" x14ac:dyDescent="0.3">
      <c r="A263" s="34">
        <v>344</v>
      </c>
      <c r="B263" s="43">
        <v>10770</v>
      </c>
      <c r="C263" s="35">
        <v>2912</v>
      </c>
    </row>
    <row r="264" spans="1:3" x14ac:dyDescent="0.3">
      <c r="A264" s="34">
        <v>344</v>
      </c>
      <c r="B264" s="43">
        <v>13617</v>
      </c>
      <c r="C264" s="35">
        <v>2912</v>
      </c>
    </row>
    <row r="265" spans="1:3" x14ac:dyDescent="0.3">
      <c r="A265" s="34">
        <v>344</v>
      </c>
      <c r="B265" s="43">
        <v>10137</v>
      </c>
      <c r="C265" s="35">
        <v>2912</v>
      </c>
    </row>
    <row r="266" spans="1:3" x14ac:dyDescent="0.3">
      <c r="A266" s="34">
        <v>344</v>
      </c>
      <c r="B266" s="43">
        <v>13065</v>
      </c>
      <c r="C266" s="35">
        <v>2912</v>
      </c>
    </row>
    <row r="267" spans="1:3" x14ac:dyDescent="0.3">
      <c r="A267" s="34">
        <v>344</v>
      </c>
      <c r="B267" s="43">
        <v>11428</v>
      </c>
      <c r="C267" s="35">
        <v>2912</v>
      </c>
    </row>
    <row r="268" spans="1:3" x14ac:dyDescent="0.3">
      <c r="A268" s="34">
        <v>344</v>
      </c>
      <c r="B268" s="43">
        <v>5252</v>
      </c>
      <c r="C268" s="35">
        <v>2912</v>
      </c>
    </row>
    <row r="269" spans="1:3" x14ac:dyDescent="0.3">
      <c r="A269" s="34">
        <v>344</v>
      </c>
      <c r="B269" s="43">
        <v>13792</v>
      </c>
      <c r="C269" s="35">
        <v>2912</v>
      </c>
    </row>
    <row r="270" spans="1:3" x14ac:dyDescent="0.3">
      <c r="A270" s="34">
        <v>344</v>
      </c>
      <c r="B270" s="43">
        <v>12677</v>
      </c>
      <c r="C270" s="35">
        <v>2912</v>
      </c>
    </row>
    <row r="271" spans="1:3" x14ac:dyDescent="0.3">
      <c r="A271" s="34">
        <v>344</v>
      </c>
      <c r="B271" s="43">
        <v>9999</v>
      </c>
      <c r="C271" s="35">
        <v>2912</v>
      </c>
    </row>
    <row r="272" spans="1:3" x14ac:dyDescent="0.3">
      <c r="A272" s="34">
        <v>344</v>
      </c>
      <c r="B272" s="43">
        <v>13060</v>
      </c>
      <c r="C272" s="35">
        <v>2912</v>
      </c>
    </row>
    <row r="273" spans="1:3" x14ac:dyDescent="0.3">
      <c r="A273" s="34">
        <v>344</v>
      </c>
      <c r="B273" s="43">
        <v>11322</v>
      </c>
      <c r="C273" s="35">
        <v>2912</v>
      </c>
    </row>
    <row r="274" spans="1:3" x14ac:dyDescent="0.3">
      <c r="A274" s="34">
        <v>344</v>
      </c>
      <c r="B274" s="43">
        <v>4450</v>
      </c>
      <c r="C274" s="35">
        <v>2912</v>
      </c>
    </row>
    <row r="275" spans="1:3" x14ac:dyDescent="0.3">
      <c r="A275" s="34">
        <v>344</v>
      </c>
      <c r="B275" s="43">
        <v>12304</v>
      </c>
      <c r="C275" s="35">
        <v>2912</v>
      </c>
    </row>
    <row r="276" spans="1:3" x14ac:dyDescent="0.3">
      <c r="A276" s="34">
        <v>344</v>
      </c>
      <c r="B276" s="43">
        <v>12035</v>
      </c>
      <c r="C276" s="35">
        <v>2912</v>
      </c>
    </row>
    <row r="277" spans="1:3" x14ac:dyDescent="0.3">
      <c r="A277" s="34">
        <v>344</v>
      </c>
      <c r="B277" s="43">
        <v>11350</v>
      </c>
      <c r="C277" s="35">
        <v>2912</v>
      </c>
    </row>
    <row r="278" spans="1:3" x14ac:dyDescent="0.3">
      <c r="A278" s="34">
        <v>344</v>
      </c>
      <c r="B278" s="43">
        <v>17032</v>
      </c>
      <c r="C278" s="35">
        <v>2912</v>
      </c>
    </row>
    <row r="279" spans="1:3" x14ac:dyDescent="0.3">
      <c r="A279" s="34">
        <v>344</v>
      </c>
      <c r="B279" s="43">
        <v>14452</v>
      </c>
      <c r="C279" s="35">
        <v>2912</v>
      </c>
    </row>
    <row r="280" spans="1:3" x14ac:dyDescent="0.3">
      <c r="A280" s="34">
        <v>344</v>
      </c>
      <c r="B280" s="43">
        <v>15975</v>
      </c>
      <c r="C280" s="35">
        <v>2912</v>
      </c>
    </row>
    <row r="281" spans="1:3" x14ac:dyDescent="0.3">
      <c r="A281" s="34">
        <v>344</v>
      </c>
      <c r="B281" s="43">
        <v>15525</v>
      </c>
      <c r="C281" s="35">
        <v>2912</v>
      </c>
    </row>
    <row r="282" spans="1:3" x14ac:dyDescent="0.3">
      <c r="A282" s="34">
        <v>344</v>
      </c>
      <c r="B282" s="43">
        <v>16554</v>
      </c>
      <c r="C282" s="35">
        <v>2912</v>
      </c>
    </row>
    <row r="283" spans="1:3" x14ac:dyDescent="0.3">
      <c r="A283" s="34">
        <v>344</v>
      </c>
      <c r="B283" s="43">
        <v>14288</v>
      </c>
      <c r="C283" s="35">
        <v>2912</v>
      </c>
    </row>
    <row r="284" spans="1:3" x14ac:dyDescent="0.3">
      <c r="A284" s="34">
        <v>344</v>
      </c>
      <c r="B284" s="43">
        <v>16450</v>
      </c>
      <c r="C284" s="35">
        <v>2912</v>
      </c>
    </row>
    <row r="285" spans="1:3" x14ac:dyDescent="0.3">
      <c r="A285" s="34">
        <v>344</v>
      </c>
      <c r="B285" s="43">
        <v>16684</v>
      </c>
      <c r="C285" s="35">
        <v>2912</v>
      </c>
    </row>
    <row r="286" spans="1:3" x14ac:dyDescent="0.3">
      <c r="A286" s="34">
        <v>344</v>
      </c>
      <c r="B286" s="43">
        <v>830</v>
      </c>
      <c r="C286" s="35">
        <v>2280</v>
      </c>
    </row>
    <row r="287" spans="1:3" x14ac:dyDescent="0.3">
      <c r="A287" s="34">
        <v>344</v>
      </c>
      <c r="B287" s="43">
        <v>10177</v>
      </c>
      <c r="C287" s="35">
        <v>2912</v>
      </c>
    </row>
    <row r="288" spans="1:3" x14ac:dyDescent="0.3">
      <c r="A288" s="34">
        <v>344</v>
      </c>
      <c r="B288" s="43">
        <v>5000</v>
      </c>
      <c r="C288" s="35">
        <v>0</v>
      </c>
    </row>
    <row r="289" spans="1:3" x14ac:dyDescent="0.3">
      <c r="A289" s="34">
        <v>344</v>
      </c>
      <c r="B289" s="43">
        <v>11366</v>
      </c>
      <c r="C289" s="35">
        <v>0</v>
      </c>
    </row>
    <row r="290" spans="1:3" x14ac:dyDescent="0.3">
      <c r="A290" s="34">
        <v>357</v>
      </c>
      <c r="B290" s="43">
        <v>890</v>
      </c>
      <c r="C290" s="35">
        <v>1930</v>
      </c>
    </row>
    <row r="291" spans="1:3" x14ac:dyDescent="0.3">
      <c r="A291" s="34">
        <v>384</v>
      </c>
      <c r="B291" s="43">
        <v>0</v>
      </c>
      <c r="C291" s="35">
        <v>495</v>
      </c>
    </row>
    <row r="292" spans="1:3" x14ac:dyDescent="0.3">
      <c r="A292" s="34">
        <v>398</v>
      </c>
      <c r="B292" s="43">
        <v>13382</v>
      </c>
      <c r="C292" s="35">
        <v>2642</v>
      </c>
    </row>
    <row r="293" spans="1:3" x14ac:dyDescent="0.3">
      <c r="A293" s="34">
        <v>398</v>
      </c>
      <c r="B293" s="43">
        <v>11200</v>
      </c>
      <c r="C293" s="35">
        <v>2642</v>
      </c>
    </row>
    <row r="294" spans="1:3" x14ac:dyDescent="0.3">
      <c r="A294" s="34">
        <v>398</v>
      </c>
      <c r="B294" s="43">
        <v>32293</v>
      </c>
      <c r="C294" s="35">
        <v>2774</v>
      </c>
    </row>
    <row r="295" spans="1:3" x14ac:dyDescent="0.3">
      <c r="A295" s="34">
        <v>400</v>
      </c>
      <c r="B295" s="43">
        <v>1300</v>
      </c>
      <c r="C295" s="35">
        <v>1487</v>
      </c>
    </row>
    <row r="296" spans="1:3" x14ac:dyDescent="0.3">
      <c r="A296" s="34">
        <v>400</v>
      </c>
      <c r="B296" s="43">
        <v>2025</v>
      </c>
      <c r="C296" s="35">
        <v>1487</v>
      </c>
    </row>
    <row r="297" spans="1:3" x14ac:dyDescent="0.3">
      <c r="A297" s="34">
        <v>408</v>
      </c>
      <c r="B297" s="43">
        <v>5000</v>
      </c>
      <c r="C297" s="35">
        <v>1331</v>
      </c>
    </row>
    <row r="298" spans="1:3" x14ac:dyDescent="0.3">
      <c r="A298" s="34">
        <v>408</v>
      </c>
      <c r="B298" s="43">
        <v>14300</v>
      </c>
      <c r="C298" s="35">
        <v>2203</v>
      </c>
    </row>
    <row r="299" spans="1:3" x14ac:dyDescent="0.3">
      <c r="A299" s="34">
        <v>408</v>
      </c>
      <c r="B299" s="43">
        <v>1676</v>
      </c>
      <c r="C299" s="35">
        <v>618</v>
      </c>
    </row>
    <row r="300" spans="1:3" x14ac:dyDescent="0.3">
      <c r="A300" s="34">
        <v>41</v>
      </c>
      <c r="B300" s="43">
        <v>1388</v>
      </c>
      <c r="C300" s="35">
        <v>1769</v>
      </c>
    </row>
    <row r="301" spans="1:3" x14ac:dyDescent="0.3">
      <c r="A301" s="34">
        <v>41</v>
      </c>
      <c r="B301" s="43">
        <v>1684</v>
      </c>
      <c r="C301" s="35">
        <v>1771</v>
      </c>
    </row>
    <row r="302" spans="1:3" x14ac:dyDescent="0.3">
      <c r="A302" s="34">
        <v>432</v>
      </c>
      <c r="B302" s="43">
        <v>1680</v>
      </c>
      <c r="C302" s="35">
        <v>0</v>
      </c>
    </row>
    <row r="303" spans="1:3" x14ac:dyDescent="0.3">
      <c r="A303" s="34">
        <v>452</v>
      </c>
      <c r="B303" s="43">
        <v>14229</v>
      </c>
      <c r="C303" s="35">
        <v>2700</v>
      </c>
    </row>
    <row r="304" spans="1:3" x14ac:dyDescent="0.3">
      <c r="A304" s="34">
        <v>49</v>
      </c>
      <c r="B304" s="43">
        <v>20000</v>
      </c>
      <c r="C304" s="35">
        <v>2602</v>
      </c>
    </row>
    <row r="305" spans="1:3" x14ac:dyDescent="0.3">
      <c r="A305" s="34">
        <v>5</v>
      </c>
      <c r="B305" s="43">
        <v>5234</v>
      </c>
      <c r="C305" s="35">
        <v>1600</v>
      </c>
    </row>
    <row r="306" spans="1:3" x14ac:dyDescent="0.3">
      <c r="A306" s="34">
        <v>5</v>
      </c>
      <c r="B306" s="43">
        <v>1500</v>
      </c>
      <c r="C306" s="35">
        <v>1091</v>
      </c>
    </row>
    <row r="307" spans="1:3" x14ac:dyDescent="0.3">
      <c r="A307" s="34">
        <v>50</v>
      </c>
      <c r="B307" s="43">
        <v>1550</v>
      </c>
      <c r="C307" s="35">
        <v>1872</v>
      </c>
    </row>
    <row r="308" spans="1:3" x14ac:dyDescent="0.3">
      <c r="A308" s="34">
        <v>502</v>
      </c>
      <c r="B308" s="43">
        <v>1081</v>
      </c>
      <c r="C308" s="35">
        <v>797</v>
      </c>
    </row>
    <row r="309" spans="1:3" x14ac:dyDescent="0.3">
      <c r="A309" s="34">
        <v>502</v>
      </c>
      <c r="B309" s="43">
        <v>2500</v>
      </c>
      <c r="C309" s="35">
        <v>972</v>
      </c>
    </row>
    <row r="310" spans="1:3" x14ac:dyDescent="0.3">
      <c r="A310" s="34">
        <v>51</v>
      </c>
      <c r="B310" s="43">
        <v>6000</v>
      </c>
      <c r="C310" s="35">
        <v>1620</v>
      </c>
    </row>
    <row r="311" spans="1:3" x14ac:dyDescent="0.3">
      <c r="A311" s="34">
        <v>51</v>
      </c>
      <c r="B311" s="43">
        <v>25500</v>
      </c>
      <c r="C311" s="35">
        <v>2798</v>
      </c>
    </row>
    <row r="312" spans="1:3" x14ac:dyDescent="0.3">
      <c r="A312" s="34">
        <v>51</v>
      </c>
      <c r="B312" s="43">
        <v>16000</v>
      </c>
      <c r="C312" s="35">
        <v>3172</v>
      </c>
    </row>
    <row r="313" spans="1:3" x14ac:dyDescent="0.3">
      <c r="A313" s="34">
        <v>517</v>
      </c>
      <c r="B313" s="43">
        <v>3000</v>
      </c>
      <c r="C313" s="35">
        <v>2930</v>
      </c>
    </row>
    <row r="314" spans="1:3" x14ac:dyDescent="0.3">
      <c r="A314" s="34">
        <v>552</v>
      </c>
      <c r="B314" s="43">
        <v>1468</v>
      </c>
      <c r="C314" s="35">
        <v>2984</v>
      </c>
    </row>
    <row r="315" spans="1:3" x14ac:dyDescent="0.3">
      <c r="A315" s="34">
        <v>56</v>
      </c>
      <c r="B315" s="43">
        <v>8550</v>
      </c>
      <c r="C315" s="35">
        <v>2000</v>
      </c>
    </row>
    <row r="316" spans="1:3" x14ac:dyDescent="0.3">
      <c r="A316" s="34">
        <v>56</v>
      </c>
      <c r="B316" s="43">
        <v>800</v>
      </c>
      <c r="C316" s="35">
        <v>416</v>
      </c>
    </row>
    <row r="317" spans="1:3" x14ac:dyDescent="0.3">
      <c r="A317" s="34">
        <v>56</v>
      </c>
      <c r="B317" s="43">
        <v>10231</v>
      </c>
      <c r="C317" s="35">
        <v>2040</v>
      </c>
    </row>
    <row r="318" spans="1:3" x14ac:dyDescent="0.3">
      <c r="A318" s="34">
        <v>56</v>
      </c>
      <c r="B318" s="43">
        <v>15200</v>
      </c>
      <c r="C318" s="35">
        <v>2000</v>
      </c>
    </row>
    <row r="319" spans="1:3" x14ac:dyDescent="0.3">
      <c r="A319" s="34">
        <v>627</v>
      </c>
      <c r="B319" s="43">
        <v>15</v>
      </c>
      <c r="C319" s="35">
        <v>120</v>
      </c>
    </row>
    <row r="320" spans="1:3" x14ac:dyDescent="0.3">
      <c r="A320" s="34">
        <v>64</v>
      </c>
      <c r="B320" s="43">
        <v>37000</v>
      </c>
      <c r="C320" s="35">
        <v>2499</v>
      </c>
    </row>
    <row r="321" spans="1:3" x14ac:dyDescent="0.3">
      <c r="A321" s="34">
        <v>649</v>
      </c>
      <c r="B321" s="43">
        <v>170</v>
      </c>
      <c r="C321" s="35">
        <v>800</v>
      </c>
    </row>
    <row r="322" spans="1:3" x14ac:dyDescent="0.3">
      <c r="A322" s="34">
        <v>649</v>
      </c>
      <c r="B322" s="43">
        <v>2100</v>
      </c>
      <c r="C322" s="35">
        <v>2828</v>
      </c>
    </row>
    <row r="323" spans="1:3" x14ac:dyDescent="0.3">
      <c r="A323" s="34">
        <v>649</v>
      </c>
      <c r="B323" s="43">
        <v>4883</v>
      </c>
      <c r="C323" s="35">
        <v>2828</v>
      </c>
    </row>
    <row r="324" spans="1:3" x14ac:dyDescent="0.3">
      <c r="A324" s="34">
        <v>86</v>
      </c>
      <c r="B324" s="43">
        <v>30116</v>
      </c>
      <c r="C324" s="35">
        <v>3138</v>
      </c>
    </row>
    <row r="325" spans="1:3" x14ac:dyDescent="0.3">
      <c r="A325" s="34">
        <v>86</v>
      </c>
      <c r="B325" s="43">
        <v>7200</v>
      </c>
      <c r="C325" s="35">
        <v>2412</v>
      </c>
    </row>
    <row r="326" spans="1:3" x14ac:dyDescent="0.3">
      <c r="A326" s="34">
        <v>86</v>
      </c>
      <c r="B326" s="43">
        <v>14560</v>
      </c>
      <c r="C326" s="35">
        <v>2975</v>
      </c>
    </row>
    <row r="327" spans="1:3" x14ac:dyDescent="0.3">
      <c r="A327" s="34">
        <v>86</v>
      </c>
      <c r="B327" s="43">
        <v>29600</v>
      </c>
      <c r="C327" s="35">
        <v>2983</v>
      </c>
    </row>
    <row r="328" spans="1:3" x14ac:dyDescent="0.3">
      <c r="A328" s="34">
        <v>86</v>
      </c>
      <c r="B328" s="43">
        <v>30000</v>
      </c>
      <c r="C328" s="35">
        <v>3124</v>
      </c>
    </row>
    <row r="329" spans="1:3" x14ac:dyDescent="0.3">
      <c r="A329" s="34">
        <v>86</v>
      </c>
      <c r="B329" s="43">
        <v>8400</v>
      </c>
      <c r="C329" s="35">
        <v>2611</v>
      </c>
    </row>
    <row r="330" spans="1:3" x14ac:dyDescent="0.3">
      <c r="A330" s="34">
        <v>88</v>
      </c>
      <c r="B330" s="43">
        <v>12000</v>
      </c>
      <c r="C330" s="35">
        <v>2860</v>
      </c>
    </row>
    <row r="331" spans="1:3" x14ac:dyDescent="0.3">
      <c r="A331" s="34">
        <v>88</v>
      </c>
      <c r="B331" s="43">
        <v>17000</v>
      </c>
      <c r="C331" s="35">
        <v>2948</v>
      </c>
    </row>
    <row r="332" spans="1:3" x14ac:dyDescent="0.3">
      <c r="A332" s="34">
        <v>88</v>
      </c>
      <c r="B332" s="43">
        <v>13000</v>
      </c>
      <c r="C332" s="35">
        <v>2860</v>
      </c>
    </row>
    <row r="333" spans="1:3" x14ac:dyDescent="0.3">
      <c r="A333" s="34">
        <v>88</v>
      </c>
      <c r="B333" s="43">
        <v>12771</v>
      </c>
      <c r="C333" s="35">
        <v>2860</v>
      </c>
    </row>
    <row r="334" spans="1:3" x14ac:dyDescent="0.3">
      <c r="A334" s="34">
        <v>88</v>
      </c>
      <c r="B334" s="43">
        <v>13500</v>
      </c>
      <c r="C334" s="35">
        <v>2912</v>
      </c>
    </row>
    <row r="335" spans="1:3" x14ac:dyDescent="0.3">
      <c r="A335" s="34">
        <v>9</v>
      </c>
      <c r="B335" s="43">
        <v>15536</v>
      </c>
      <c r="C335" s="35">
        <v>3226</v>
      </c>
    </row>
    <row r="336" spans="1:3" x14ac:dyDescent="0.3">
      <c r="A336" s="34">
        <v>9</v>
      </c>
      <c r="B336" s="43">
        <v>20000</v>
      </c>
      <c r="C336" s="35">
        <v>3533</v>
      </c>
    </row>
    <row r="337" spans="1:3" x14ac:dyDescent="0.3">
      <c r="A337" s="34">
        <v>9</v>
      </c>
      <c r="B337" s="43">
        <v>10000</v>
      </c>
      <c r="C337" s="35">
        <v>3226</v>
      </c>
    </row>
    <row r="338" spans="1:3" x14ac:dyDescent="0.3">
      <c r="A338" s="34">
        <v>9</v>
      </c>
      <c r="B338" s="43">
        <v>10000</v>
      </c>
      <c r="C338" s="35">
        <v>3226</v>
      </c>
    </row>
    <row r="339" spans="1:3" x14ac:dyDescent="0.3">
      <c r="A339" s="34">
        <v>91</v>
      </c>
      <c r="B339" s="43">
        <v>1000</v>
      </c>
      <c r="C339" s="35">
        <v>1066</v>
      </c>
    </row>
    <row r="340" spans="1:3" x14ac:dyDescent="0.3">
      <c r="A340" s="34">
        <v>94</v>
      </c>
      <c r="B340" s="43">
        <v>1305</v>
      </c>
      <c r="C340" s="35">
        <v>805</v>
      </c>
    </row>
    <row r="341" spans="1:3" x14ac:dyDescent="0.3">
      <c r="A341" s="34">
        <v>94</v>
      </c>
      <c r="B341" s="43">
        <v>4000</v>
      </c>
      <c r="C341" s="35">
        <v>1516</v>
      </c>
    </row>
    <row r="342" spans="1:3" x14ac:dyDescent="0.3">
      <c r="A342" s="34" t="s">
        <v>913</v>
      </c>
      <c r="B342" s="43" t="s">
        <v>922</v>
      </c>
      <c r="C342" s="35" t="s">
        <v>920</v>
      </c>
    </row>
  </sheetData>
  <sheetProtection password="CC33" sheet="1" objects="1" scenarios="1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6</vt:i4>
      </vt:variant>
    </vt:vector>
  </HeadingPairs>
  <TitlesOfParts>
    <vt:vector size="13" baseType="lpstr">
      <vt:lpstr>Input</vt:lpstr>
      <vt:lpstr>2021 Library Quick Report</vt:lpstr>
      <vt:lpstr>2021 Individual Charts</vt:lpstr>
      <vt:lpstr>2021 Comparison Charts</vt:lpstr>
      <vt:lpstr>2021Data</vt:lpstr>
      <vt:lpstr>branch</vt:lpstr>
      <vt:lpstr>BranchInfo</vt:lpstr>
      <vt:lpstr>_2019_Charts</vt:lpstr>
      <vt:lpstr>'2021Data'!Comparison_Library_City</vt:lpstr>
      <vt:lpstr>'2021 Comparison Charts'!Print_Area</vt:lpstr>
      <vt:lpstr>'2021 Individual Charts'!Print_Area</vt:lpstr>
      <vt:lpstr>'2021 Library Quick Report'!Print_Area</vt:lpstr>
      <vt:lpstr>Input!Print_Area</vt:lpstr>
    </vt:vector>
  </TitlesOfParts>
  <Company>connecticut state library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cslstaff</dc:creator>
  <cp:lastModifiedBy>Johnson, Amanda</cp:lastModifiedBy>
  <cp:lastPrinted>2019-08-02T14:43:58Z</cp:lastPrinted>
  <dcterms:created xsi:type="dcterms:W3CDTF">2009-12-09T16:28:57Z</dcterms:created>
  <dcterms:modified xsi:type="dcterms:W3CDTF">2022-08-23T18:28:44Z</dcterms:modified>
</cp:coreProperties>
</file>