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tate Data Coordinator\PLS\FY2015-2016\Tables\Final\"/>
    </mc:Choice>
  </mc:AlternateContent>
  <xr:revisionPtr revIDLastSave="0" documentId="10_ncr:100000_{D4CF6778-205E-45D5-9350-CB2D9954EDDC}" xr6:coauthVersionLast="31" xr6:coauthVersionMax="31" xr10:uidLastSave="{00000000-0000-0000-0000-000000000000}"/>
  <bookViews>
    <workbookView xWindow="0" yWindow="0" windowWidth="20490" windowHeight="7530" firstSheet="1" activeTab="4" xr2:uid="{00000000-000D-0000-FFFF-FFFF00000000}"/>
  </bookViews>
  <sheets>
    <sheet name="Summary" sheetId="17" r:id="rId1"/>
    <sheet name="Table 1" sheetId="2" r:id="rId2"/>
    <sheet name="Table 2" sheetId="3" r:id="rId3"/>
    <sheet name="Table 3" sheetId="4" r:id="rId4"/>
    <sheet name="Table  4" sheetId="6" r:id="rId5"/>
    <sheet name="Table 5" sheetId="7" r:id="rId6"/>
    <sheet name="Table 6" sheetId="8" r:id="rId7"/>
    <sheet name="Table 7" sheetId="9" r:id="rId8"/>
    <sheet name="Table 8" sheetId="10" r:id="rId9"/>
    <sheet name="Table 9" sheetId="11" r:id="rId10"/>
    <sheet name="Table 10" sheetId="12" r:id="rId11"/>
    <sheet name="Table 11" sheetId="13" r:id="rId12"/>
    <sheet name="Table 12" sheetId="14" r:id="rId13"/>
    <sheet name="Table 13" sheetId="15" r:id="rId14"/>
    <sheet name="Table 14" sheetId="16" r:id="rId15"/>
    <sheet name="All" sheetId="1" r:id="rId16"/>
  </sheets>
  <externalReferences>
    <externalReference r:id="rId17"/>
    <externalReference r:id="rId18"/>
  </externalReferences>
  <definedNames>
    <definedName name="AllData">All!$A$2:$RC$87</definedName>
    <definedName name="Data">All!$A$3:$MB$83</definedName>
  </definedNames>
  <calcPr calcId="179017" concurrentCalc="0"/>
</workbook>
</file>

<file path=xl/calcChain.xml><?xml version="1.0" encoding="utf-8"?>
<calcChain xmlns="http://schemas.openxmlformats.org/spreadsheetml/2006/main">
  <c r="H51" i="17" l="1"/>
  <c r="E51" i="17"/>
  <c r="H50" i="17"/>
  <c r="E50" i="17"/>
  <c r="H49" i="17"/>
  <c r="E49" i="17"/>
  <c r="H48" i="17"/>
  <c r="E48" i="17"/>
  <c r="H47" i="17"/>
  <c r="E47" i="17"/>
  <c r="F42" i="17"/>
  <c r="D42" i="17"/>
  <c r="F41" i="17"/>
  <c r="D41" i="17"/>
  <c r="F40" i="17"/>
  <c r="D40" i="17"/>
  <c r="F39" i="17"/>
  <c r="D39" i="17"/>
  <c r="F38" i="17"/>
  <c r="D38" i="17"/>
  <c r="H32" i="17"/>
  <c r="F32" i="17"/>
  <c r="D32" i="17"/>
  <c r="H31" i="17"/>
  <c r="F31" i="17"/>
  <c r="D31" i="17"/>
  <c r="H30" i="17"/>
  <c r="F30" i="17"/>
  <c r="D30" i="17"/>
  <c r="H29" i="17"/>
  <c r="F29" i="17"/>
  <c r="D29" i="17"/>
  <c r="H28" i="17"/>
  <c r="F28" i="17"/>
  <c r="D28" i="17"/>
  <c r="I23" i="17"/>
  <c r="F23" i="17"/>
  <c r="D23" i="17"/>
  <c r="I22" i="17"/>
  <c r="F22" i="17"/>
  <c r="D22" i="17"/>
  <c r="I21" i="17"/>
  <c r="F21" i="17"/>
  <c r="D21" i="17"/>
  <c r="I20" i="17"/>
  <c r="F20" i="17"/>
  <c r="D20" i="17"/>
  <c r="I19" i="17"/>
  <c r="F19" i="17"/>
  <c r="D19" i="17"/>
  <c r="F14" i="17"/>
  <c r="D14" i="17"/>
  <c r="F13" i="17"/>
  <c r="D13" i="17"/>
  <c r="F12" i="17"/>
  <c r="D12" i="17"/>
  <c r="F11" i="17"/>
  <c r="D11" i="17"/>
  <c r="F10" i="17"/>
  <c r="D10" i="17"/>
  <c r="A63" i="16"/>
  <c r="C63" i="16"/>
  <c r="D63" i="16"/>
  <c r="E63" i="16"/>
  <c r="F63" i="16"/>
  <c r="G63" i="16"/>
  <c r="H63" i="16"/>
  <c r="I63" i="16"/>
  <c r="J63" i="16"/>
  <c r="K63" i="16"/>
  <c r="L63" i="16"/>
  <c r="M63" i="16"/>
  <c r="A64" i="16"/>
  <c r="C64" i="16"/>
  <c r="D64" i="16"/>
  <c r="E64" i="16"/>
  <c r="F64" i="16"/>
  <c r="G64" i="16"/>
  <c r="H64" i="16"/>
  <c r="I64" i="16"/>
  <c r="J64" i="16"/>
  <c r="K64" i="16"/>
  <c r="L64" i="16"/>
  <c r="M64" i="16"/>
  <c r="A65" i="16"/>
  <c r="C65" i="16"/>
  <c r="D65" i="16"/>
  <c r="E65" i="16"/>
  <c r="F65" i="16"/>
  <c r="G65" i="16"/>
  <c r="H65" i="16"/>
  <c r="I65" i="16"/>
  <c r="J65" i="16"/>
  <c r="K65" i="16"/>
  <c r="L65" i="16"/>
  <c r="M65" i="16"/>
  <c r="A62" i="16"/>
  <c r="M62" i="16"/>
  <c r="L62" i="16"/>
  <c r="K62" i="16"/>
  <c r="J62" i="16"/>
  <c r="I62" i="16"/>
  <c r="H62" i="16"/>
  <c r="G62" i="16"/>
  <c r="F62" i="16"/>
  <c r="E62" i="16"/>
  <c r="D62" i="16"/>
  <c r="C62" i="16"/>
  <c r="C83" i="16"/>
  <c r="D83" i="16"/>
  <c r="I83" i="16"/>
  <c r="N83" i="16"/>
  <c r="E83" i="16"/>
  <c r="F83" i="16"/>
  <c r="G83" i="16"/>
  <c r="H83" i="16"/>
  <c r="J83" i="16"/>
  <c r="K83" i="16"/>
  <c r="L83" i="16"/>
  <c r="M83" i="16"/>
  <c r="C84" i="16"/>
  <c r="D84" i="16"/>
  <c r="I84" i="16"/>
  <c r="N84" i="16"/>
  <c r="E84" i="16"/>
  <c r="F84" i="16"/>
  <c r="G84" i="16"/>
  <c r="H84" i="16"/>
  <c r="J84" i="16"/>
  <c r="K84" i="16"/>
  <c r="L84" i="16"/>
  <c r="M84" i="16"/>
  <c r="C85" i="16"/>
  <c r="D85" i="16"/>
  <c r="I85" i="16"/>
  <c r="N85" i="16"/>
  <c r="E85" i="16"/>
  <c r="F85" i="16"/>
  <c r="G85" i="16"/>
  <c r="H85" i="16"/>
  <c r="J85" i="16"/>
  <c r="K85" i="16"/>
  <c r="L85" i="16"/>
  <c r="M85" i="16"/>
  <c r="C86" i="16"/>
  <c r="D86" i="16"/>
  <c r="I86" i="16"/>
  <c r="N86" i="16"/>
  <c r="E86" i="16"/>
  <c r="F86" i="16"/>
  <c r="G86" i="16"/>
  <c r="H86" i="16"/>
  <c r="J86" i="16"/>
  <c r="K86" i="16"/>
  <c r="L86" i="16"/>
  <c r="M86" i="16"/>
  <c r="C87" i="16"/>
  <c r="D87" i="16"/>
  <c r="I87" i="16"/>
  <c r="N87" i="16"/>
  <c r="E87" i="16"/>
  <c r="F87" i="16"/>
  <c r="G87" i="16"/>
  <c r="H87" i="16"/>
  <c r="J87" i="16"/>
  <c r="K87" i="16"/>
  <c r="L87" i="16"/>
  <c r="M87" i="16"/>
  <c r="C88" i="16"/>
  <c r="D88" i="16"/>
  <c r="I88" i="16"/>
  <c r="N88" i="16"/>
  <c r="E88" i="16"/>
  <c r="F88" i="16"/>
  <c r="G88" i="16"/>
  <c r="H88" i="16"/>
  <c r="J88" i="16"/>
  <c r="K88" i="16"/>
  <c r="L88" i="16"/>
  <c r="M88" i="16"/>
  <c r="C89" i="16"/>
  <c r="D89" i="16"/>
  <c r="I89" i="16"/>
  <c r="N89" i="16"/>
  <c r="E89" i="16"/>
  <c r="F89" i="16"/>
  <c r="G89" i="16"/>
  <c r="H89" i="16"/>
  <c r="J89" i="16"/>
  <c r="K89" i="16"/>
  <c r="L89" i="16"/>
  <c r="M89" i="16"/>
  <c r="C90" i="16"/>
  <c r="D90" i="16"/>
  <c r="I90" i="16"/>
  <c r="N90" i="16"/>
  <c r="E90" i="16"/>
  <c r="F90" i="16"/>
  <c r="G90" i="16"/>
  <c r="H90" i="16"/>
  <c r="J90" i="16"/>
  <c r="K90" i="16"/>
  <c r="L90" i="16"/>
  <c r="M90" i="16"/>
  <c r="C91" i="16"/>
  <c r="D91" i="16"/>
  <c r="I91" i="16"/>
  <c r="N91" i="16"/>
  <c r="E91" i="16"/>
  <c r="F91" i="16"/>
  <c r="G91" i="16"/>
  <c r="H91" i="16"/>
  <c r="J91" i="16"/>
  <c r="K91" i="16"/>
  <c r="L91" i="16"/>
  <c r="M91" i="16"/>
  <c r="C92" i="16"/>
  <c r="D92" i="16"/>
  <c r="I92" i="16"/>
  <c r="N92" i="16"/>
  <c r="E92" i="16"/>
  <c r="F92" i="16"/>
  <c r="G92" i="16"/>
  <c r="H92" i="16"/>
  <c r="J92" i="16"/>
  <c r="K92" i="16"/>
  <c r="L92" i="16"/>
  <c r="M92" i="16"/>
  <c r="M82" i="16"/>
  <c r="L82" i="16"/>
  <c r="K82" i="16"/>
  <c r="J82" i="16"/>
  <c r="I82" i="16"/>
  <c r="H82" i="16"/>
  <c r="G82" i="16"/>
  <c r="F82" i="16"/>
  <c r="E82" i="16"/>
  <c r="D82" i="16"/>
  <c r="N82" i="16"/>
  <c r="C82" i="16"/>
  <c r="A69" i="16"/>
  <c r="C69" i="16"/>
  <c r="D69" i="16"/>
  <c r="E69" i="16"/>
  <c r="F69" i="16"/>
  <c r="G69" i="16"/>
  <c r="H69" i="16"/>
  <c r="I69" i="16"/>
  <c r="J69" i="16"/>
  <c r="K69" i="16"/>
  <c r="L69" i="16"/>
  <c r="M69" i="16"/>
  <c r="N69" i="16"/>
  <c r="A70" i="16"/>
  <c r="C70" i="16"/>
  <c r="D70" i="16"/>
  <c r="E70" i="16"/>
  <c r="F70" i="16"/>
  <c r="G70" i="16"/>
  <c r="H70" i="16"/>
  <c r="I70" i="16"/>
  <c r="J70" i="16"/>
  <c r="K70" i="16"/>
  <c r="L70" i="16"/>
  <c r="M70" i="16"/>
  <c r="N70" i="16"/>
  <c r="A71" i="16"/>
  <c r="C71" i="16"/>
  <c r="D71" i="16"/>
  <c r="E71" i="16"/>
  <c r="F71" i="16"/>
  <c r="G71" i="16"/>
  <c r="H71" i="16"/>
  <c r="I71" i="16"/>
  <c r="J71" i="16"/>
  <c r="K71" i="16"/>
  <c r="L71" i="16"/>
  <c r="M71" i="16"/>
  <c r="N71" i="16"/>
  <c r="A72" i="16"/>
  <c r="C72" i="16"/>
  <c r="D72" i="16"/>
  <c r="E72" i="16"/>
  <c r="F72" i="16"/>
  <c r="G72" i="16"/>
  <c r="H72" i="16"/>
  <c r="I72" i="16"/>
  <c r="J72" i="16"/>
  <c r="K72" i="16"/>
  <c r="L72" i="16"/>
  <c r="M72" i="16"/>
  <c r="N72" i="16"/>
  <c r="A73" i="16"/>
  <c r="C73" i="16"/>
  <c r="D73" i="16"/>
  <c r="E73" i="16"/>
  <c r="F73" i="16"/>
  <c r="G73" i="16"/>
  <c r="H73" i="16"/>
  <c r="I73" i="16"/>
  <c r="J73" i="16"/>
  <c r="K73" i="16"/>
  <c r="L73" i="16"/>
  <c r="M73" i="16"/>
  <c r="N73" i="16"/>
  <c r="A74" i="16"/>
  <c r="C74" i="16"/>
  <c r="D74" i="16"/>
  <c r="E74" i="16"/>
  <c r="F74" i="16"/>
  <c r="G74" i="16"/>
  <c r="H74" i="16"/>
  <c r="I74" i="16"/>
  <c r="J74" i="16"/>
  <c r="K74" i="16"/>
  <c r="L74" i="16"/>
  <c r="M74" i="16"/>
  <c r="N74" i="16"/>
  <c r="A75" i="16"/>
  <c r="C75" i="16"/>
  <c r="D75" i="16"/>
  <c r="E75" i="16"/>
  <c r="F75" i="16"/>
  <c r="G75" i="16"/>
  <c r="H75" i="16"/>
  <c r="I75" i="16"/>
  <c r="J75" i="16"/>
  <c r="K75" i="16"/>
  <c r="L75" i="16"/>
  <c r="M75" i="16"/>
  <c r="N75" i="16"/>
  <c r="A76" i="16"/>
  <c r="C76" i="16"/>
  <c r="D76" i="16"/>
  <c r="E76" i="16"/>
  <c r="F76" i="16"/>
  <c r="G76" i="16"/>
  <c r="H76" i="16"/>
  <c r="I76" i="16"/>
  <c r="J76" i="16"/>
  <c r="K76" i="16"/>
  <c r="L76" i="16"/>
  <c r="M76" i="16"/>
  <c r="N76" i="16"/>
  <c r="A77" i="16"/>
  <c r="C77" i="16"/>
  <c r="D77" i="16"/>
  <c r="E77" i="16"/>
  <c r="F77" i="16"/>
  <c r="G77" i="16"/>
  <c r="H77" i="16"/>
  <c r="I77" i="16"/>
  <c r="J77" i="16"/>
  <c r="K77" i="16"/>
  <c r="L77" i="16"/>
  <c r="M77" i="16"/>
  <c r="N77" i="16"/>
  <c r="A78" i="16"/>
  <c r="C78" i="16"/>
  <c r="D78" i="16"/>
  <c r="E78" i="16"/>
  <c r="F78" i="16"/>
  <c r="G78" i="16"/>
  <c r="H78" i="16"/>
  <c r="I78" i="16"/>
  <c r="J78" i="16"/>
  <c r="K78" i="16"/>
  <c r="L78" i="16"/>
  <c r="M78" i="16"/>
  <c r="N78" i="16"/>
  <c r="A79" i="16"/>
  <c r="C79" i="16"/>
  <c r="D79" i="16"/>
  <c r="E79" i="16"/>
  <c r="F79" i="16"/>
  <c r="G79" i="16"/>
  <c r="H79" i="16"/>
  <c r="I79" i="16"/>
  <c r="J79" i="16"/>
  <c r="K79" i="16"/>
  <c r="L79" i="16"/>
  <c r="M79" i="16"/>
  <c r="N79" i="16"/>
  <c r="A68" i="16"/>
  <c r="M68" i="16"/>
  <c r="L68" i="16"/>
  <c r="K68" i="16"/>
  <c r="J68" i="16"/>
  <c r="I68" i="16"/>
  <c r="H68" i="16"/>
  <c r="G68" i="16"/>
  <c r="F68" i="16"/>
  <c r="E68" i="16"/>
  <c r="D68" i="16"/>
  <c r="N68" i="16"/>
  <c r="C68" i="16"/>
  <c r="A9" i="16"/>
  <c r="D9" i="16"/>
  <c r="E9" i="16"/>
  <c r="F9" i="16"/>
  <c r="G9" i="16"/>
  <c r="H9" i="16"/>
  <c r="I9" i="16"/>
  <c r="J9" i="16"/>
  <c r="K9" i="16"/>
  <c r="L9" i="16"/>
  <c r="M9" i="16"/>
  <c r="A10" i="16"/>
  <c r="D10" i="16"/>
  <c r="E10" i="16"/>
  <c r="F10" i="16"/>
  <c r="G10" i="16"/>
  <c r="H10" i="16"/>
  <c r="I10" i="16"/>
  <c r="J10" i="16"/>
  <c r="K10" i="16"/>
  <c r="L10" i="16"/>
  <c r="M10" i="16"/>
  <c r="A11" i="16"/>
  <c r="D11" i="16"/>
  <c r="E11" i="16"/>
  <c r="F11" i="16"/>
  <c r="G11" i="16"/>
  <c r="H11" i="16"/>
  <c r="I11" i="16"/>
  <c r="J11" i="16"/>
  <c r="K11" i="16"/>
  <c r="L11" i="16"/>
  <c r="M11" i="16"/>
  <c r="A12" i="16"/>
  <c r="D12" i="16"/>
  <c r="E12" i="16"/>
  <c r="F12" i="16"/>
  <c r="G12" i="16"/>
  <c r="H12" i="16"/>
  <c r="I12" i="16"/>
  <c r="J12" i="16"/>
  <c r="K12" i="16"/>
  <c r="L12" i="16"/>
  <c r="M12" i="16"/>
  <c r="A13" i="16"/>
  <c r="D13" i="16"/>
  <c r="E13" i="16"/>
  <c r="F13" i="16"/>
  <c r="G13" i="16"/>
  <c r="H13" i="16"/>
  <c r="I13" i="16"/>
  <c r="J13" i="16"/>
  <c r="K13" i="16"/>
  <c r="L13" i="16"/>
  <c r="M13" i="16"/>
  <c r="A14" i="16"/>
  <c r="D14" i="16"/>
  <c r="E14" i="16"/>
  <c r="F14" i="16"/>
  <c r="G14" i="16"/>
  <c r="H14" i="16"/>
  <c r="I14" i="16"/>
  <c r="J14" i="16"/>
  <c r="K14" i="16"/>
  <c r="L14" i="16"/>
  <c r="M14" i="16"/>
  <c r="A15" i="16"/>
  <c r="D15" i="16"/>
  <c r="E15" i="16"/>
  <c r="F15" i="16"/>
  <c r="G15" i="16"/>
  <c r="H15" i="16"/>
  <c r="I15" i="16"/>
  <c r="J15" i="16"/>
  <c r="K15" i="16"/>
  <c r="L15" i="16"/>
  <c r="M15" i="16"/>
  <c r="A16" i="16"/>
  <c r="D16" i="16"/>
  <c r="E16" i="16"/>
  <c r="F16" i="16"/>
  <c r="G16" i="16"/>
  <c r="H16" i="16"/>
  <c r="I16" i="16"/>
  <c r="J16" i="16"/>
  <c r="K16" i="16"/>
  <c r="L16" i="16"/>
  <c r="M16" i="16"/>
  <c r="A17" i="16"/>
  <c r="D17" i="16"/>
  <c r="E17" i="16"/>
  <c r="F17" i="16"/>
  <c r="G17" i="16"/>
  <c r="H17" i="16"/>
  <c r="I17" i="16"/>
  <c r="J17" i="16"/>
  <c r="K17" i="16"/>
  <c r="L17" i="16"/>
  <c r="M17" i="16"/>
  <c r="A18" i="16"/>
  <c r="D18" i="16"/>
  <c r="E18" i="16"/>
  <c r="F18" i="16"/>
  <c r="G18" i="16"/>
  <c r="H18" i="16"/>
  <c r="I18" i="16"/>
  <c r="J18" i="16"/>
  <c r="K18" i="16"/>
  <c r="L18" i="16"/>
  <c r="M18" i="16"/>
  <c r="A19" i="16"/>
  <c r="D19" i="16"/>
  <c r="E19" i="16"/>
  <c r="F19" i="16"/>
  <c r="G19" i="16"/>
  <c r="H19" i="16"/>
  <c r="I19" i="16"/>
  <c r="J19" i="16"/>
  <c r="K19" i="16"/>
  <c r="L19" i="16"/>
  <c r="M19" i="16"/>
  <c r="A20" i="16"/>
  <c r="D20" i="16"/>
  <c r="E20" i="16"/>
  <c r="F20" i="16"/>
  <c r="G20" i="16"/>
  <c r="H20" i="16"/>
  <c r="I20" i="16"/>
  <c r="J20" i="16"/>
  <c r="K20" i="16"/>
  <c r="L20" i="16"/>
  <c r="M20" i="16"/>
  <c r="A21" i="16"/>
  <c r="D21" i="16"/>
  <c r="E21" i="16"/>
  <c r="F21" i="16"/>
  <c r="G21" i="16"/>
  <c r="H21" i="16"/>
  <c r="I21" i="16"/>
  <c r="J21" i="16"/>
  <c r="K21" i="16"/>
  <c r="L21" i="16"/>
  <c r="M21" i="16"/>
  <c r="A22" i="16"/>
  <c r="D22" i="16"/>
  <c r="E22" i="16"/>
  <c r="F22" i="16"/>
  <c r="G22" i="16"/>
  <c r="H22" i="16"/>
  <c r="I22" i="16"/>
  <c r="J22" i="16"/>
  <c r="K22" i="16"/>
  <c r="L22" i="16"/>
  <c r="M22" i="16"/>
  <c r="A23" i="16"/>
  <c r="D23" i="16"/>
  <c r="E23" i="16"/>
  <c r="F23" i="16"/>
  <c r="G23" i="16"/>
  <c r="H23" i="16"/>
  <c r="I23" i="16"/>
  <c r="J23" i="16"/>
  <c r="K23" i="16"/>
  <c r="L23" i="16"/>
  <c r="M23" i="16"/>
  <c r="A24" i="16"/>
  <c r="D24" i="16"/>
  <c r="E24" i="16"/>
  <c r="F24" i="16"/>
  <c r="G24" i="16"/>
  <c r="H24" i="16"/>
  <c r="I24" i="16"/>
  <c r="J24" i="16"/>
  <c r="K24" i="16"/>
  <c r="L24" i="16"/>
  <c r="M24" i="16"/>
  <c r="A25" i="16"/>
  <c r="D25" i="16"/>
  <c r="E25" i="16"/>
  <c r="F25" i="16"/>
  <c r="G25" i="16"/>
  <c r="H25" i="16"/>
  <c r="I25" i="16"/>
  <c r="J25" i="16"/>
  <c r="K25" i="16"/>
  <c r="L25" i="16"/>
  <c r="M25" i="16"/>
  <c r="A26" i="16"/>
  <c r="D26" i="16"/>
  <c r="E26" i="16"/>
  <c r="F26" i="16"/>
  <c r="G26" i="16"/>
  <c r="H26" i="16"/>
  <c r="I26" i="16"/>
  <c r="J26" i="16"/>
  <c r="K26" i="16"/>
  <c r="L26" i="16"/>
  <c r="M26" i="16"/>
  <c r="A27" i="16"/>
  <c r="D27" i="16"/>
  <c r="E27" i="16"/>
  <c r="F27" i="16"/>
  <c r="G27" i="16"/>
  <c r="H27" i="16"/>
  <c r="I27" i="16"/>
  <c r="J27" i="16"/>
  <c r="K27" i="16"/>
  <c r="L27" i="16"/>
  <c r="M27" i="16"/>
  <c r="A28" i="16"/>
  <c r="D28" i="16"/>
  <c r="E28" i="16"/>
  <c r="F28" i="16"/>
  <c r="G28" i="16"/>
  <c r="H28" i="16"/>
  <c r="I28" i="16"/>
  <c r="J28" i="16"/>
  <c r="K28" i="16"/>
  <c r="L28" i="16"/>
  <c r="M28" i="16"/>
  <c r="A29" i="16"/>
  <c r="D29" i="16"/>
  <c r="E29" i="16"/>
  <c r="F29" i="16"/>
  <c r="G29" i="16"/>
  <c r="H29" i="16"/>
  <c r="I29" i="16"/>
  <c r="J29" i="16"/>
  <c r="K29" i="16"/>
  <c r="L29" i="16"/>
  <c r="M29" i="16"/>
  <c r="A30" i="16"/>
  <c r="D30" i="16"/>
  <c r="E30" i="16"/>
  <c r="F30" i="16"/>
  <c r="G30" i="16"/>
  <c r="H30" i="16"/>
  <c r="I30" i="16"/>
  <c r="J30" i="16"/>
  <c r="K30" i="16"/>
  <c r="L30" i="16"/>
  <c r="M30" i="16"/>
  <c r="A31" i="16"/>
  <c r="D31" i="16"/>
  <c r="E31" i="16"/>
  <c r="F31" i="16"/>
  <c r="G31" i="16"/>
  <c r="H31" i="16"/>
  <c r="I31" i="16"/>
  <c r="J31" i="16"/>
  <c r="K31" i="16"/>
  <c r="L31" i="16"/>
  <c r="M31" i="16"/>
  <c r="A32" i="16"/>
  <c r="D32" i="16"/>
  <c r="E32" i="16"/>
  <c r="F32" i="16"/>
  <c r="G32" i="16"/>
  <c r="H32" i="16"/>
  <c r="I32" i="16"/>
  <c r="J32" i="16"/>
  <c r="K32" i="16"/>
  <c r="L32" i="16"/>
  <c r="M32" i="16"/>
  <c r="A33" i="16"/>
  <c r="D33" i="16"/>
  <c r="E33" i="16"/>
  <c r="F33" i="16"/>
  <c r="G33" i="16"/>
  <c r="H33" i="16"/>
  <c r="I33" i="16"/>
  <c r="J33" i="16"/>
  <c r="K33" i="16"/>
  <c r="L33" i="16"/>
  <c r="M33" i="16"/>
  <c r="A34" i="16"/>
  <c r="D34" i="16"/>
  <c r="E34" i="16"/>
  <c r="F34" i="16"/>
  <c r="G34" i="16"/>
  <c r="H34" i="16"/>
  <c r="I34" i="16"/>
  <c r="J34" i="16"/>
  <c r="K34" i="16"/>
  <c r="L34" i="16"/>
  <c r="M34" i="16"/>
  <c r="A35" i="16"/>
  <c r="D35" i="16"/>
  <c r="E35" i="16"/>
  <c r="F35" i="16"/>
  <c r="G35" i="16"/>
  <c r="H35" i="16"/>
  <c r="I35" i="16"/>
  <c r="J35" i="16"/>
  <c r="K35" i="16"/>
  <c r="L35" i="16"/>
  <c r="M35" i="16"/>
  <c r="A36" i="16"/>
  <c r="D36" i="16"/>
  <c r="E36" i="16"/>
  <c r="F36" i="16"/>
  <c r="G36" i="16"/>
  <c r="H36" i="16"/>
  <c r="I36" i="16"/>
  <c r="J36" i="16"/>
  <c r="K36" i="16"/>
  <c r="L36" i="16"/>
  <c r="M36" i="16"/>
  <c r="A37" i="16"/>
  <c r="D37" i="16"/>
  <c r="E37" i="16"/>
  <c r="F37" i="16"/>
  <c r="G37" i="16"/>
  <c r="H37" i="16"/>
  <c r="I37" i="16"/>
  <c r="J37" i="16"/>
  <c r="K37" i="16"/>
  <c r="L37" i="16"/>
  <c r="M37" i="16"/>
  <c r="A38" i="16"/>
  <c r="D38" i="16"/>
  <c r="E38" i="16"/>
  <c r="F38" i="16"/>
  <c r="G38" i="16"/>
  <c r="H38" i="16"/>
  <c r="I38" i="16"/>
  <c r="J38" i="16"/>
  <c r="K38" i="16"/>
  <c r="L38" i="16"/>
  <c r="M38" i="16"/>
  <c r="A39" i="16"/>
  <c r="D39" i="16"/>
  <c r="E39" i="16"/>
  <c r="F39" i="16"/>
  <c r="G39" i="16"/>
  <c r="H39" i="16"/>
  <c r="I39" i="16"/>
  <c r="J39" i="16"/>
  <c r="K39" i="16"/>
  <c r="L39" i="16"/>
  <c r="M39" i="16"/>
  <c r="A40" i="16"/>
  <c r="D40" i="16"/>
  <c r="E40" i="16"/>
  <c r="F40" i="16"/>
  <c r="G40" i="16"/>
  <c r="H40" i="16"/>
  <c r="I40" i="16"/>
  <c r="J40" i="16"/>
  <c r="K40" i="16"/>
  <c r="L40" i="16"/>
  <c r="M40" i="16"/>
  <c r="A41" i="16"/>
  <c r="D41" i="16"/>
  <c r="E41" i="16"/>
  <c r="F41" i="16"/>
  <c r="G41" i="16"/>
  <c r="H41" i="16"/>
  <c r="I41" i="16"/>
  <c r="J41" i="16"/>
  <c r="K41" i="16"/>
  <c r="L41" i="16"/>
  <c r="M41" i="16"/>
  <c r="A42" i="16"/>
  <c r="D42" i="16"/>
  <c r="E42" i="16"/>
  <c r="F42" i="16"/>
  <c r="G42" i="16"/>
  <c r="H42" i="16"/>
  <c r="I42" i="16"/>
  <c r="J42" i="16"/>
  <c r="K42" i="16"/>
  <c r="L42" i="16"/>
  <c r="M42" i="16"/>
  <c r="A43" i="16"/>
  <c r="D43" i="16"/>
  <c r="E43" i="16"/>
  <c r="F43" i="16"/>
  <c r="G43" i="16"/>
  <c r="H43" i="16"/>
  <c r="I43" i="16"/>
  <c r="J43" i="16"/>
  <c r="K43" i="16"/>
  <c r="L43" i="16"/>
  <c r="M43" i="16"/>
  <c r="A44" i="16"/>
  <c r="D44" i="16"/>
  <c r="E44" i="16"/>
  <c r="F44" i="16"/>
  <c r="G44" i="16"/>
  <c r="H44" i="16"/>
  <c r="I44" i="16"/>
  <c r="J44" i="16"/>
  <c r="K44" i="16"/>
  <c r="L44" i="16"/>
  <c r="M44" i="16"/>
  <c r="A45" i="16"/>
  <c r="D45" i="16"/>
  <c r="E45" i="16"/>
  <c r="F45" i="16"/>
  <c r="G45" i="16"/>
  <c r="H45" i="16"/>
  <c r="I45" i="16"/>
  <c r="J45" i="16"/>
  <c r="K45" i="16"/>
  <c r="L45" i="16"/>
  <c r="M45" i="16"/>
  <c r="A46" i="16"/>
  <c r="D46" i="16"/>
  <c r="E46" i="16"/>
  <c r="F46" i="16"/>
  <c r="G46" i="16"/>
  <c r="H46" i="16"/>
  <c r="I46" i="16"/>
  <c r="J46" i="16"/>
  <c r="K46" i="16"/>
  <c r="L46" i="16"/>
  <c r="M46" i="16"/>
  <c r="A47" i="16"/>
  <c r="D47" i="16"/>
  <c r="E47" i="16"/>
  <c r="F47" i="16"/>
  <c r="G47" i="16"/>
  <c r="H47" i="16"/>
  <c r="I47" i="16"/>
  <c r="J47" i="16"/>
  <c r="K47" i="16"/>
  <c r="L47" i="16"/>
  <c r="M47" i="16"/>
  <c r="A48" i="16"/>
  <c r="D48" i="16"/>
  <c r="E48" i="16"/>
  <c r="F48" i="16"/>
  <c r="G48" i="16"/>
  <c r="H48" i="16"/>
  <c r="I48" i="16"/>
  <c r="J48" i="16"/>
  <c r="K48" i="16"/>
  <c r="L48" i="16"/>
  <c r="M48" i="16"/>
  <c r="A49" i="16"/>
  <c r="D49" i="16"/>
  <c r="E49" i="16"/>
  <c r="F49" i="16"/>
  <c r="G49" i="16"/>
  <c r="H49" i="16"/>
  <c r="I49" i="16"/>
  <c r="J49" i="16"/>
  <c r="K49" i="16"/>
  <c r="L49" i="16"/>
  <c r="M49" i="16"/>
  <c r="A50" i="16"/>
  <c r="D50" i="16"/>
  <c r="E50" i="16"/>
  <c r="F50" i="16"/>
  <c r="G50" i="16"/>
  <c r="H50" i="16"/>
  <c r="I50" i="16"/>
  <c r="J50" i="16"/>
  <c r="K50" i="16"/>
  <c r="L50" i="16"/>
  <c r="M50" i="16"/>
  <c r="A51" i="16"/>
  <c r="D51" i="16"/>
  <c r="E51" i="16"/>
  <c r="F51" i="16"/>
  <c r="G51" i="16"/>
  <c r="H51" i="16"/>
  <c r="I51" i="16"/>
  <c r="J51" i="16"/>
  <c r="K51" i="16"/>
  <c r="L51" i="16"/>
  <c r="M51" i="16"/>
  <c r="A52" i="16"/>
  <c r="D52" i="16"/>
  <c r="E52" i="16"/>
  <c r="F52" i="16"/>
  <c r="G52" i="16"/>
  <c r="H52" i="16"/>
  <c r="I52" i="16"/>
  <c r="J52" i="16"/>
  <c r="K52" i="16"/>
  <c r="L52" i="16"/>
  <c r="M52" i="16"/>
  <c r="A53" i="16"/>
  <c r="D53" i="16"/>
  <c r="E53" i="16"/>
  <c r="F53" i="16"/>
  <c r="G53" i="16"/>
  <c r="H53" i="16"/>
  <c r="I53" i="16"/>
  <c r="J53" i="16"/>
  <c r="K53" i="16"/>
  <c r="L53" i="16"/>
  <c r="M53" i="16"/>
  <c r="A54" i="16"/>
  <c r="D54" i="16"/>
  <c r="E54" i="16"/>
  <c r="F54" i="16"/>
  <c r="G54" i="16"/>
  <c r="H54" i="16"/>
  <c r="I54" i="16"/>
  <c r="J54" i="16"/>
  <c r="K54" i="16"/>
  <c r="L54" i="16"/>
  <c r="M54" i="16"/>
  <c r="A55" i="16"/>
  <c r="D55" i="16"/>
  <c r="E55" i="16"/>
  <c r="F55" i="16"/>
  <c r="G55" i="16"/>
  <c r="H55" i="16"/>
  <c r="I55" i="16"/>
  <c r="J55" i="16"/>
  <c r="K55" i="16"/>
  <c r="L55" i="16"/>
  <c r="M55" i="16"/>
  <c r="A56" i="16"/>
  <c r="D56" i="16"/>
  <c r="E56" i="16"/>
  <c r="F56" i="16"/>
  <c r="G56" i="16"/>
  <c r="H56" i="16"/>
  <c r="I56" i="16"/>
  <c r="J56" i="16"/>
  <c r="K56" i="16"/>
  <c r="L56" i="16"/>
  <c r="M56" i="16"/>
  <c r="A57" i="16"/>
  <c r="D57" i="16"/>
  <c r="E57" i="16"/>
  <c r="F57" i="16"/>
  <c r="G57" i="16"/>
  <c r="H57" i="16"/>
  <c r="I57" i="16"/>
  <c r="J57" i="16"/>
  <c r="K57" i="16"/>
  <c r="L57" i="16"/>
  <c r="M57" i="16"/>
  <c r="A58" i="16"/>
  <c r="D58" i="16"/>
  <c r="E58" i="16"/>
  <c r="F58" i="16"/>
  <c r="G58" i="16"/>
  <c r="H58" i="16"/>
  <c r="I58" i="16"/>
  <c r="J58" i="16"/>
  <c r="K58" i="16"/>
  <c r="L58" i="16"/>
  <c r="M58" i="16"/>
  <c r="A59" i="16"/>
  <c r="D59" i="16"/>
  <c r="E59" i="16"/>
  <c r="F59" i="16"/>
  <c r="G59" i="16"/>
  <c r="H59" i="16"/>
  <c r="I59" i="16"/>
  <c r="J59" i="16"/>
  <c r="K59" i="16"/>
  <c r="L59" i="16"/>
  <c r="M59" i="16"/>
  <c r="A60" i="16"/>
  <c r="D60" i="16"/>
  <c r="E60" i="16"/>
  <c r="F60" i="16"/>
  <c r="G60" i="16"/>
  <c r="H60" i="16"/>
  <c r="I60" i="16"/>
  <c r="J60" i="16"/>
  <c r="K60" i="16"/>
  <c r="L60" i="16"/>
  <c r="M60" i="16"/>
  <c r="A61" i="16"/>
  <c r="D61" i="16"/>
  <c r="E61" i="16"/>
  <c r="F61" i="16"/>
  <c r="G61" i="16"/>
  <c r="H61" i="16"/>
  <c r="I61" i="16"/>
  <c r="J61" i="16"/>
  <c r="K61" i="16"/>
  <c r="L61" i="16"/>
  <c r="M61" i="16"/>
  <c r="A8" i="16"/>
  <c r="M8" i="16"/>
  <c r="H8" i="16"/>
  <c r="L8" i="16"/>
  <c r="F8" i="16"/>
  <c r="J8" i="16"/>
  <c r="E8" i="16"/>
  <c r="I8" i="16"/>
  <c r="D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C59" i="16"/>
  <c r="C60" i="16"/>
  <c r="C61" i="16"/>
  <c r="C8" i="16"/>
  <c r="C84" i="15"/>
  <c r="D84" i="15"/>
  <c r="E84" i="15"/>
  <c r="F84" i="15"/>
  <c r="G84" i="15"/>
  <c r="H84" i="15"/>
  <c r="I84" i="15"/>
  <c r="C85" i="15"/>
  <c r="D85" i="15"/>
  <c r="E85" i="15"/>
  <c r="F85" i="15"/>
  <c r="G85" i="15"/>
  <c r="H85" i="15"/>
  <c r="I85" i="15"/>
  <c r="C86" i="15"/>
  <c r="D86" i="15"/>
  <c r="E86" i="15"/>
  <c r="F86" i="15"/>
  <c r="G86" i="15"/>
  <c r="H86" i="15"/>
  <c r="I86" i="15"/>
  <c r="C87" i="15"/>
  <c r="D87" i="15"/>
  <c r="E87" i="15"/>
  <c r="F87" i="15"/>
  <c r="G87" i="15"/>
  <c r="H87" i="15"/>
  <c r="I87" i="15"/>
  <c r="C88" i="15"/>
  <c r="D88" i="15"/>
  <c r="E88" i="15"/>
  <c r="F88" i="15"/>
  <c r="G88" i="15"/>
  <c r="H88" i="15"/>
  <c r="I88" i="15"/>
  <c r="C89" i="15"/>
  <c r="D89" i="15"/>
  <c r="E89" i="15"/>
  <c r="F89" i="15"/>
  <c r="G89" i="15"/>
  <c r="H89" i="15"/>
  <c r="I89" i="15"/>
  <c r="C90" i="15"/>
  <c r="D90" i="15"/>
  <c r="E90" i="15"/>
  <c r="F90" i="15"/>
  <c r="G90" i="15"/>
  <c r="H90" i="15"/>
  <c r="I90" i="15"/>
  <c r="C91" i="15"/>
  <c r="D91" i="15"/>
  <c r="E91" i="15"/>
  <c r="F91" i="15"/>
  <c r="G91" i="15"/>
  <c r="H91" i="15"/>
  <c r="I91" i="15"/>
  <c r="C92" i="15"/>
  <c r="D92" i="15"/>
  <c r="E92" i="15"/>
  <c r="F92" i="15"/>
  <c r="G92" i="15"/>
  <c r="H92" i="15"/>
  <c r="I92" i="15"/>
  <c r="C93" i="15"/>
  <c r="D93" i="15"/>
  <c r="E93" i="15"/>
  <c r="F93" i="15"/>
  <c r="G93" i="15"/>
  <c r="H93" i="15"/>
  <c r="I93" i="15"/>
  <c r="I83" i="15"/>
  <c r="H83" i="15"/>
  <c r="G83" i="15"/>
  <c r="E83" i="15"/>
  <c r="F83" i="15"/>
  <c r="D83" i="15"/>
  <c r="C83" i="15"/>
  <c r="A70" i="15"/>
  <c r="C70" i="15"/>
  <c r="D70" i="15"/>
  <c r="E70" i="15"/>
  <c r="F70" i="15"/>
  <c r="G70" i="15"/>
  <c r="H70" i="15"/>
  <c r="I70" i="15"/>
  <c r="A71" i="15"/>
  <c r="C71" i="15"/>
  <c r="D71" i="15"/>
  <c r="E71" i="15"/>
  <c r="F71" i="15"/>
  <c r="G71" i="15"/>
  <c r="H71" i="15"/>
  <c r="I71" i="15"/>
  <c r="A72" i="15"/>
  <c r="C72" i="15"/>
  <c r="D72" i="15"/>
  <c r="E72" i="15"/>
  <c r="F72" i="15"/>
  <c r="G72" i="15"/>
  <c r="H72" i="15"/>
  <c r="I72" i="15"/>
  <c r="A73" i="15"/>
  <c r="C73" i="15"/>
  <c r="D73" i="15"/>
  <c r="E73" i="15"/>
  <c r="F73" i="15"/>
  <c r="G73" i="15"/>
  <c r="H73" i="15"/>
  <c r="I73" i="15"/>
  <c r="A74" i="15"/>
  <c r="C74" i="15"/>
  <c r="D74" i="15"/>
  <c r="E74" i="15"/>
  <c r="F74" i="15"/>
  <c r="G74" i="15"/>
  <c r="H74" i="15"/>
  <c r="I74" i="15"/>
  <c r="A75" i="15"/>
  <c r="C75" i="15"/>
  <c r="D75" i="15"/>
  <c r="E75" i="15"/>
  <c r="F75" i="15"/>
  <c r="G75" i="15"/>
  <c r="H75" i="15"/>
  <c r="I75" i="15"/>
  <c r="A76" i="15"/>
  <c r="C76" i="15"/>
  <c r="D76" i="15"/>
  <c r="E76" i="15"/>
  <c r="F76" i="15"/>
  <c r="G76" i="15"/>
  <c r="H76" i="15"/>
  <c r="I76" i="15"/>
  <c r="A77" i="15"/>
  <c r="C77" i="15"/>
  <c r="D77" i="15"/>
  <c r="E77" i="15"/>
  <c r="F77" i="15"/>
  <c r="G77" i="15"/>
  <c r="H77" i="15"/>
  <c r="I77" i="15"/>
  <c r="A78" i="15"/>
  <c r="C78" i="15"/>
  <c r="D78" i="15"/>
  <c r="E78" i="15"/>
  <c r="F78" i="15"/>
  <c r="G78" i="15"/>
  <c r="H78" i="15"/>
  <c r="I78" i="15"/>
  <c r="A79" i="15"/>
  <c r="C79" i="15"/>
  <c r="D79" i="15"/>
  <c r="E79" i="15"/>
  <c r="F79" i="15"/>
  <c r="G79" i="15"/>
  <c r="H79" i="15"/>
  <c r="I79" i="15"/>
  <c r="A80" i="15"/>
  <c r="C80" i="15"/>
  <c r="D80" i="15"/>
  <c r="E80" i="15"/>
  <c r="F80" i="15"/>
  <c r="G80" i="15"/>
  <c r="H80" i="15"/>
  <c r="I80" i="15"/>
  <c r="A69" i="15"/>
  <c r="I69" i="15"/>
  <c r="H69" i="15"/>
  <c r="G69" i="15"/>
  <c r="E69" i="15"/>
  <c r="F69" i="15"/>
  <c r="D69" i="15"/>
  <c r="C69" i="15"/>
  <c r="A64" i="15"/>
  <c r="C64" i="15"/>
  <c r="D64" i="15"/>
  <c r="E64" i="15"/>
  <c r="F64" i="15"/>
  <c r="G64" i="15"/>
  <c r="H64" i="15"/>
  <c r="I64" i="15"/>
  <c r="A65" i="15"/>
  <c r="C65" i="15"/>
  <c r="D65" i="15"/>
  <c r="E65" i="15"/>
  <c r="F65" i="15"/>
  <c r="G65" i="15"/>
  <c r="H65" i="15"/>
  <c r="I65" i="15"/>
  <c r="A66" i="15"/>
  <c r="C66" i="15"/>
  <c r="D66" i="15"/>
  <c r="E66" i="15"/>
  <c r="F66" i="15"/>
  <c r="G66" i="15"/>
  <c r="H66" i="15"/>
  <c r="I66" i="15"/>
  <c r="A63" i="15"/>
  <c r="I63" i="15"/>
  <c r="H63" i="15"/>
  <c r="G63" i="15"/>
  <c r="E63" i="15"/>
  <c r="F63" i="15"/>
  <c r="D63" i="15"/>
  <c r="C63" i="15"/>
  <c r="C64" i="13"/>
  <c r="A9" i="15"/>
  <c r="I9" i="15"/>
  <c r="A10" i="15"/>
  <c r="C10" i="15"/>
  <c r="D10" i="15"/>
  <c r="E10" i="15"/>
  <c r="F10" i="15"/>
  <c r="G10" i="15"/>
  <c r="H10" i="15"/>
  <c r="I10" i="15"/>
  <c r="A11" i="15"/>
  <c r="C11" i="15"/>
  <c r="D11" i="15"/>
  <c r="E11" i="15"/>
  <c r="F11" i="15"/>
  <c r="G11" i="15"/>
  <c r="H11" i="15"/>
  <c r="I11" i="15"/>
  <c r="A12" i="15"/>
  <c r="C12" i="15"/>
  <c r="D12" i="15"/>
  <c r="E12" i="15"/>
  <c r="F12" i="15"/>
  <c r="G12" i="15"/>
  <c r="H12" i="15"/>
  <c r="I12" i="15"/>
  <c r="A13" i="15"/>
  <c r="C13" i="15"/>
  <c r="D13" i="15"/>
  <c r="E13" i="15"/>
  <c r="F13" i="15"/>
  <c r="G13" i="15"/>
  <c r="H13" i="15"/>
  <c r="I13" i="15"/>
  <c r="A14" i="15"/>
  <c r="C14" i="15"/>
  <c r="D14" i="15"/>
  <c r="E14" i="15"/>
  <c r="F14" i="15"/>
  <c r="G14" i="15"/>
  <c r="H14" i="15"/>
  <c r="I14" i="15"/>
  <c r="A15" i="15"/>
  <c r="C15" i="15"/>
  <c r="D15" i="15"/>
  <c r="E15" i="15"/>
  <c r="F15" i="15"/>
  <c r="G15" i="15"/>
  <c r="H15" i="15"/>
  <c r="I15" i="15"/>
  <c r="A16" i="15"/>
  <c r="C16" i="15"/>
  <c r="D16" i="15"/>
  <c r="E16" i="15"/>
  <c r="F16" i="15"/>
  <c r="G16" i="15"/>
  <c r="H16" i="15"/>
  <c r="I16" i="15"/>
  <c r="A17" i="15"/>
  <c r="C17" i="15"/>
  <c r="D17" i="15"/>
  <c r="E17" i="15"/>
  <c r="F17" i="15"/>
  <c r="G17" i="15"/>
  <c r="H17" i="15"/>
  <c r="I17" i="15"/>
  <c r="A18" i="15"/>
  <c r="C18" i="15"/>
  <c r="D18" i="15"/>
  <c r="E18" i="15"/>
  <c r="F18" i="15"/>
  <c r="G18" i="15"/>
  <c r="H18" i="15"/>
  <c r="I18" i="15"/>
  <c r="A19" i="15"/>
  <c r="C19" i="15"/>
  <c r="D19" i="15"/>
  <c r="E19" i="15"/>
  <c r="F19" i="15"/>
  <c r="G19" i="15"/>
  <c r="H19" i="15"/>
  <c r="I19" i="15"/>
  <c r="A20" i="15"/>
  <c r="C20" i="15"/>
  <c r="D20" i="15"/>
  <c r="E20" i="15"/>
  <c r="F20" i="15"/>
  <c r="G20" i="15"/>
  <c r="H20" i="15"/>
  <c r="I20" i="15"/>
  <c r="A21" i="15"/>
  <c r="C21" i="15"/>
  <c r="D21" i="15"/>
  <c r="E21" i="15"/>
  <c r="F21" i="15"/>
  <c r="G21" i="15"/>
  <c r="H21" i="15"/>
  <c r="I21" i="15"/>
  <c r="A22" i="15"/>
  <c r="C22" i="15"/>
  <c r="D22" i="15"/>
  <c r="E22" i="15"/>
  <c r="F22" i="15"/>
  <c r="G22" i="15"/>
  <c r="H22" i="15"/>
  <c r="I22" i="15"/>
  <c r="A23" i="15"/>
  <c r="C23" i="15"/>
  <c r="D23" i="15"/>
  <c r="E23" i="15"/>
  <c r="F23" i="15"/>
  <c r="G23" i="15"/>
  <c r="H23" i="15"/>
  <c r="I23" i="15"/>
  <c r="A24" i="15"/>
  <c r="C24" i="15"/>
  <c r="D24" i="15"/>
  <c r="E24" i="15"/>
  <c r="F24" i="15"/>
  <c r="G24" i="15"/>
  <c r="H24" i="15"/>
  <c r="I24" i="15"/>
  <c r="A25" i="15"/>
  <c r="C25" i="15"/>
  <c r="D25" i="15"/>
  <c r="E25" i="15"/>
  <c r="F25" i="15"/>
  <c r="G25" i="15"/>
  <c r="H25" i="15"/>
  <c r="I25" i="15"/>
  <c r="A26" i="15"/>
  <c r="C26" i="15"/>
  <c r="D26" i="15"/>
  <c r="E26" i="15"/>
  <c r="F26" i="15"/>
  <c r="G26" i="15"/>
  <c r="H26" i="15"/>
  <c r="I26" i="15"/>
  <c r="A27" i="15"/>
  <c r="C27" i="15"/>
  <c r="D27" i="15"/>
  <c r="E27" i="15"/>
  <c r="F27" i="15"/>
  <c r="G27" i="15"/>
  <c r="H27" i="15"/>
  <c r="I27" i="15"/>
  <c r="A28" i="15"/>
  <c r="C28" i="15"/>
  <c r="D28" i="15"/>
  <c r="E28" i="15"/>
  <c r="F28" i="15"/>
  <c r="G28" i="15"/>
  <c r="H28" i="15"/>
  <c r="I28" i="15"/>
  <c r="A29" i="15"/>
  <c r="C29" i="15"/>
  <c r="D29" i="15"/>
  <c r="E29" i="15"/>
  <c r="F29" i="15"/>
  <c r="G29" i="15"/>
  <c r="H29" i="15"/>
  <c r="I29" i="15"/>
  <c r="A30" i="15"/>
  <c r="C30" i="15"/>
  <c r="D30" i="15"/>
  <c r="E30" i="15"/>
  <c r="F30" i="15"/>
  <c r="G30" i="15"/>
  <c r="H30" i="15"/>
  <c r="I30" i="15"/>
  <c r="A31" i="15"/>
  <c r="C31" i="15"/>
  <c r="D31" i="15"/>
  <c r="E31" i="15"/>
  <c r="F31" i="15"/>
  <c r="G31" i="15"/>
  <c r="H31" i="15"/>
  <c r="I31" i="15"/>
  <c r="A32" i="15"/>
  <c r="C32" i="15"/>
  <c r="D32" i="15"/>
  <c r="E32" i="15"/>
  <c r="F32" i="15"/>
  <c r="G32" i="15"/>
  <c r="H32" i="15"/>
  <c r="I32" i="15"/>
  <c r="A33" i="15"/>
  <c r="C33" i="15"/>
  <c r="D33" i="15"/>
  <c r="E33" i="15"/>
  <c r="F33" i="15"/>
  <c r="G33" i="15"/>
  <c r="H33" i="15"/>
  <c r="I33" i="15"/>
  <c r="A34" i="15"/>
  <c r="C34" i="15"/>
  <c r="D34" i="15"/>
  <c r="E34" i="15"/>
  <c r="F34" i="15"/>
  <c r="G34" i="15"/>
  <c r="H34" i="15"/>
  <c r="I34" i="15"/>
  <c r="A35" i="15"/>
  <c r="C35" i="15"/>
  <c r="D35" i="15"/>
  <c r="E35" i="15"/>
  <c r="F35" i="15"/>
  <c r="G35" i="15"/>
  <c r="H35" i="15"/>
  <c r="I35" i="15"/>
  <c r="A36" i="15"/>
  <c r="C36" i="15"/>
  <c r="D36" i="15"/>
  <c r="E36" i="15"/>
  <c r="F36" i="15"/>
  <c r="G36" i="15"/>
  <c r="H36" i="15"/>
  <c r="I36" i="15"/>
  <c r="A37" i="15"/>
  <c r="C37" i="15"/>
  <c r="D37" i="15"/>
  <c r="E37" i="15"/>
  <c r="F37" i="15"/>
  <c r="G37" i="15"/>
  <c r="H37" i="15"/>
  <c r="I37" i="15"/>
  <c r="A38" i="15"/>
  <c r="C38" i="15"/>
  <c r="D38" i="15"/>
  <c r="E38" i="15"/>
  <c r="F38" i="15"/>
  <c r="G38" i="15"/>
  <c r="H38" i="15"/>
  <c r="I38" i="15"/>
  <c r="A39" i="15"/>
  <c r="C39" i="15"/>
  <c r="D39" i="15"/>
  <c r="E39" i="15"/>
  <c r="F39" i="15"/>
  <c r="G39" i="15"/>
  <c r="H39" i="15"/>
  <c r="I39" i="15"/>
  <c r="A40" i="15"/>
  <c r="C40" i="15"/>
  <c r="D40" i="15"/>
  <c r="E40" i="15"/>
  <c r="F40" i="15"/>
  <c r="G40" i="15"/>
  <c r="H40" i="15"/>
  <c r="I40" i="15"/>
  <c r="A41" i="15"/>
  <c r="C41" i="15"/>
  <c r="D41" i="15"/>
  <c r="E41" i="15"/>
  <c r="F41" i="15"/>
  <c r="G41" i="15"/>
  <c r="H41" i="15"/>
  <c r="I41" i="15"/>
  <c r="A42" i="15"/>
  <c r="C42" i="15"/>
  <c r="D42" i="15"/>
  <c r="E42" i="15"/>
  <c r="F42" i="15"/>
  <c r="G42" i="15"/>
  <c r="H42" i="15"/>
  <c r="I42" i="15"/>
  <c r="A43" i="15"/>
  <c r="C43" i="15"/>
  <c r="D43" i="15"/>
  <c r="E43" i="15"/>
  <c r="F43" i="15"/>
  <c r="G43" i="15"/>
  <c r="H43" i="15"/>
  <c r="I43" i="15"/>
  <c r="A44" i="15"/>
  <c r="C44" i="15"/>
  <c r="D44" i="15"/>
  <c r="E44" i="15"/>
  <c r="F44" i="15"/>
  <c r="G44" i="15"/>
  <c r="H44" i="15"/>
  <c r="I44" i="15"/>
  <c r="A45" i="15"/>
  <c r="C45" i="15"/>
  <c r="D45" i="15"/>
  <c r="E45" i="15"/>
  <c r="F45" i="15"/>
  <c r="G45" i="15"/>
  <c r="H45" i="15"/>
  <c r="I45" i="15"/>
  <c r="A46" i="15"/>
  <c r="C46" i="15"/>
  <c r="D46" i="15"/>
  <c r="E46" i="15"/>
  <c r="F46" i="15"/>
  <c r="G46" i="15"/>
  <c r="H46" i="15"/>
  <c r="I46" i="15"/>
  <c r="A47" i="15"/>
  <c r="C47" i="15"/>
  <c r="D47" i="15"/>
  <c r="E47" i="15"/>
  <c r="F47" i="15"/>
  <c r="G47" i="15"/>
  <c r="H47" i="15"/>
  <c r="I47" i="15"/>
  <c r="A48" i="15"/>
  <c r="C48" i="15"/>
  <c r="D48" i="15"/>
  <c r="E48" i="15"/>
  <c r="F48" i="15"/>
  <c r="G48" i="15"/>
  <c r="H48" i="15"/>
  <c r="I48" i="15"/>
  <c r="A49" i="15"/>
  <c r="C49" i="15"/>
  <c r="D49" i="15"/>
  <c r="E49" i="15"/>
  <c r="F49" i="15"/>
  <c r="G49" i="15"/>
  <c r="H49" i="15"/>
  <c r="I49" i="15"/>
  <c r="A50" i="15"/>
  <c r="C50" i="15"/>
  <c r="D50" i="15"/>
  <c r="E50" i="15"/>
  <c r="F50" i="15"/>
  <c r="G50" i="15"/>
  <c r="H50" i="15"/>
  <c r="I50" i="15"/>
  <c r="A51" i="15"/>
  <c r="C51" i="15"/>
  <c r="D51" i="15"/>
  <c r="E51" i="15"/>
  <c r="F51" i="15"/>
  <c r="G51" i="15"/>
  <c r="H51" i="15"/>
  <c r="I51" i="15"/>
  <c r="A52" i="15"/>
  <c r="C52" i="15"/>
  <c r="D52" i="15"/>
  <c r="E52" i="15"/>
  <c r="F52" i="15"/>
  <c r="G52" i="15"/>
  <c r="H52" i="15"/>
  <c r="I52" i="15"/>
  <c r="A53" i="15"/>
  <c r="C53" i="15"/>
  <c r="D53" i="15"/>
  <c r="E53" i="15"/>
  <c r="F53" i="15"/>
  <c r="G53" i="15"/>
  <c r="H53" i="15"/>
  <c r="I53" i="15"/>
  <c r="A54" i="15"/>
  <c r="C54" i="15"/>
  <c r="D54" i="15"/>
  <c r="E54" i="15"/>
  <c r="F54" i="15"/>
  <c r="G54" i="15"/>
  <c r="H54" i="15"/>
  <c r="I54" i="15"/>
  <c r="A55" i="15"/>
  <c r="C55" i="15"/>
  <c r="D55" i="15"/>
  <c r="E55" i="15"/>
  <c r="F55" i="15"/>
  <c r="G55" i="15"/>
  <c r="H55" i="15"/>
  <c r="I55" i="15"/>
  <c r="A56" i="15"/>
  <c r="C56" i="15"/>
  <c r="D56" i="15"/>
  <c r="E56" i="15"/>
  <c r="F56" i="15"/>
  <c r="G56" i="15"/>
  <c r="H56" i="15"/>
  <c r="I56" i="15"/>
  <c r="A57" i="15"/>
  <c r="C57" i="15"/>
  <c r="D57" i="15"/>
  <c r="E57" i="15"/>
  <c r="F57" i="15"/>
  <c r="G57" i="15"/>
  <c r="H57" i="15"/>
  <c r="I57" i="15"/>
  <c r="A58" i="15"/>
  <c r="C58" i="15"/>
  <c r="D58" i="15"/>
  <c r="E58" i="15"/>
  <c r="F58" i="15"/>
  <c r="G58" i="15"/>
  <c r="H58" i="15"/>
  <c r="I58" i="15"/>
  <c r="A59" i="15"/>
  <c r="C59" i="15"/>
  <c r="D59" i="15"/>
  <c r="E59" i="15"/>
  <c r="F59" i="15"/>
  <c r="G59" i="15"/>
  <c r="H59" i="15"/>
  <c r="I59" i="15"/>
  <c r="A60" i="15"/>
  <c r="C60" i="15"/>
  <c r="D60" i="15"/>
  <c r="E60" i="15"/>
  <c r="F60" i="15"/>
  <c r="G60" i="15"/>
  <c r="H60" i="15"/>
  <c r="I60" i="15"/>
  <c r="A61" i="15"/>
  <c r="C61" i="15"/>
  <c r="D61" i="15"/>
  <c r="E61" i="15"/>
  <c r="F61" i="15"/>
  <c r="G61" i="15"/>
  <c r="H61" i="15"/>
  <c r="I61" i="15"/>
  <c r="A62" i="15"/>
  <c r="C62" i="15"/>
  <c r="D62" i="15"/>
  <c r="E62" i="15"/>
  <c r="F62" i="15"/>
  <c r="G62" i="15"/>
  <c r="H62" i="15"/>
  <c r="I62" i="15"/>
  <c r="H9" i="15"/>
  <c r="G9" i="15"/>
  <c r="E9" i="15"/>
  <c r="D9" i="15"/>
  <c r="C9" i="15"/>
  <c r="P63" i="14"/>
  <c r="P64" i="14"/>
  <c r="P65" i="14"/>
  <c r="Q63" i="14"/>
  <c r="Q64" i="14"/>
  <c r="Q65" i="14"/>
  <c r="C63" i="14"/>
  <c r="D63" i="14"/>
  <c r="E63" i="14"/>
  <c r="F63" i="14"/>
  <c r="G63" i="14"/>
  <c r="H63" i="14"/>
  <c r="I63" i="14"/>
  <c r="J63" i="14"/>
  <c r="K63" i="14"/>
  <c r="L63" i="14"/>
  <c r="M63" i="14"/>
  <c r="N63" i="14"/>
  <c r="C64" i="14"/>
  <c r="D64" i="14"/>
  <c r="E64" i="14"/>
  <c r="F64" i="14"/>
  <c r="G64" i="14"/>
  <c r="H64" i="14"/>
  <c r="I64" i="14"/>
  <c r="J64" i="14"/>
  <c r="K64" i="14"/>
  <c r="L64" i="14"/>
  <c r="M64" i="14"/>
  <c r="N64" i="14"/>
  <c r="C65" i="14"/>
  <c r="D65" i="14"/>
  <c r="E65" i="14"/>
  <c r="F65" i="14"/>
  <c r="G65" i="14"/>
  <c r="H65" i="14"/>
  <c r="I65" i="14"/>
  <c r="J65" i="14"/>
  <c r="K65" i="14"/>
  <c r="L65" i="14"/>
  <c r="M65" i="14"/>
  <c r="N65" i="14"/>
  <c r="Q62" i="14"/>
  <c r="P62" i="14"/>
  <c r="N62" i="14"/>
  <c r="M62" i="14"/>
  <c r="L62" i="14"/>
  <c r="K62" i="14"/>
  <c r="J62" i="14"/>
  <c r="I62" i="14"/>
  <c r="H62" i="14"/>
  <c r="G62" i="14"/>
  <c r="F62" i="14"/>
  <c r="E62" i="14"/>
  <c r="D62" i="14"/>
  <c r="C62" i="14"/>
  <c r="C63" i="13"/>
  <c r="C83" i="14"/>
  <c r="D83" i="14"/>
  <c r="E83" i="14"/>
  <c r="F83" i="14"/>
  <c r="G83" i="14"/>
  <c r="H83" i="14"/>
  <c r="I83" i="14"/>
  <c r="J83" i="14"/>
  <c r="K83" i="14"/>
  <c r="L83" i="14"/>
  <c r="M83" i="14"/>
  <c r="N83" i="14"/>
  <c r="O83" i="14"/>
  <c r="P83" i="14"/>
  <c r="Q83" i="14"/>
  <c r="C84" i="14"/>
  <c r="D84" i="14"/>
  <c r="E84" i="14"/>
  <c r="F84" i="14"/>
  <c r="G84" i="14"/>
  <c r="H84" i="14"/>
  <c r="I84" i="14"/>
  <c r="J84" i="14"/>
  <c r="K84" i="14"/>
  <c r="L84" i="14"/>
  <c r="M84" i="14"/>
  <c r="N84" i="14"/>
  <c r="O84" i="14"/>
  <c r="P84" i="14"/>
  <c r="Q84" i="14"/>
  <c r="C85" i="14"/>
  <c r="D85" i="14"/>
  <c r="E85" i="14"/>
  <c r="F85" i="14"/>
  <c r="G85" i="14"/>
  <c r="H85" i="14"/>
  <c r="I85" i="14"/>
  <c r="J85" i="14"/>
  <c r="K85" i="14"/>
  <c r="L85" i="14"/>
  <c r="M85" i="14"/>
  <c r="N85" i="14"/>
  <c r="O85" i="14"/>
  <c r="P85" i="14"/>
  <c r="Q85" i="14"/>
  <c r="C86" i="14"/>
  <c r="D86" i="14"/>
  <c r="E86" i="14"/>
  <c r="F86" i="14"/>
  <c r="G86" i="14"/>
  <c r="H86" i="14"/>
  <c r="I86" i="14"/>
  <c r="J86" i="14"/>
  <c r="K86" i="14"/>
  <c r="L86" i="14"/>
  <c r="M86" i="14"/>
  <c r="N86" i="14"/>
  <c r="O86" i="14"/>
  <c r="P86" i="14"/>
  <c r="Q86" i="14"/>
  <c r="C87" i="14"/>
  <c r="D87" i="14"/>
  <c r="E87" i="14"/>
  <c r="F87" i="14"/>
  <c r="G87" i="14"/>
  <c r="H87" i="14"/>
  <c r="I87" i="14"/>
  <c r="J87" i="14"/>
  <c r="K87" i="14"/>
  <c r="L87" i="14"/>
  <c r="M87" i="14"/>
  <c r="N87" i="14"/>
  <c r="O87" i="14"/>
  <c r="P87" i="14"/>
  <c r="Q87" i="14"/>
  <c r="C88" i="14"/>
  <c r="D88" i="14"/>
  <c r="E88" i="14"/>
  <c r="F88" i="14"/>
  <c r="G88" i="14"/>
  <c r="H88" i="14"/>
  <c r="I88" i="14"/>
  <c r="J88" i="14"/>
  <c r="K88" i="14"/>
  <c r="L88" i="14"/>
  <c r="M88" i="14"/>
  <c r="N88" i="14"/>
  <c r="O88" i="14"/>
  <c r="P88" i="14"/>
  <c r="Q88" i="14"/>
  <c r="C89" i="14"/>
  <c r="D89" i="14"/>
  <c r="E89" i="14"/>
  <c r="F89" i="14"/>
  <c r="G89" i="14"/>
  <c r="H89" i="14"/>
  <c r="I89" i="14"/>
  <c r="J89" i="14"/>
  <c r="K89" i="14"/>
  <c r="L89" i="14"/>
  <c r="M89" i="14"/>
  <c r="N89" i="14"/>
  <c r="O89" i="14"/>
  <c r="P89" i="14"/>
  <c r="Q89" i="14"/>
  <c r="C90" i="14"/>
  <c r="D90" i="14"/>
  <c r="E90" i="14"/>
  <c r="F90" i="14"/>
  <c r="G90" i="14"/>
  <c r="H90" i="14"/>
  <c r="I90" i="14"/>
  <c r="J90" i="14"/>
  <c r="K90" i="14"/>
  <c r="L90" i="14"/>
  <c r="M90" i="14"/>
  <c r="N90" i="14"/>
  <c r="O90" i="14"/>
  <c r="P90" i="14"/>
  <c r="Q90" i="14"/>
  <c r="C91" i="14"/>
  <c r="D91" i="14"/>
  <c r="E91" i="14"/>
  <c r="F91" i="14"/>
  <c r="G91" i="14"/>
  <c r="H91" i="14"/>
  <c r="I91" i="14"/>
  <c r="J91" i="14"/>
  <c r="K91" i="14"/>
  <c r="L91" i="14"/>
  <c r="M91" i="14"/>
  <c r="N91" i="14"/>
  <c r="O91" i="14"/>
  <c r="P91" i="14"/>
  <c r="Q91" i="14"/>
  <c r="C92" i="14"/>
  <c r="D92" i="14"/>
  <c r="E92" i="14"/>
  <c r="F92" i="14"/>
  <c r="G92" i="14"/>
  <c r="H92" i="14"/>
  <c r="I92" i="14"/>
  <c r="J92" i="14"/>
  <c r="K92" i="14"/>
  <c r="L92" i="14"/>
  <c r="M92" i="14"/>
  <c r="N92" i="14"/>
  <c r="O92" i="14"/>
  <c r="P92" i="14"/>
  <c r="Q92" i="14"/>
  <c r="Q82" i="14"/>
  <c r="P82" i="14"/>
  <c r="N82" i="14"/>
  <c r="O82" i="14"/>
  <c r="M82" i="14"/>
  <c r="L82" i="14"/>
  <c r="K82" i="14"/>
  <c r="J82" i="14"/>
  <c r="I82" i="14"/>
  <c r="H82" i="14"/>
  <c r="G82" i="14"/>
  <c r="F82" i="14"/>
  <c r="E82" i="14"/>
  <c r="D82" i="14"/>
  <c r="C82" i="14"/>
  <c r="C69" i="14"/>
  <c r="D69" i="14"/>
  <c r="E69" i="14"/>
  <c r="F69" i="14"/>
  <c r="G69" i="14"/>
  <c r="H69" i="14"/>
  <c r="I69" i="14"/>
  <c r="J69" i="14"/>
  <c r="K69" i="14"/>
  <c r="L69" i="14"/>
  <c r="M69" i="14"/>
  <c r="N69" i="14"/>
  <c r="O69" i="14"/>
  <c r="P69" i="14"/>
  <c r="Q69" i="14"/>
  <c r="C70" i="14"/>
  <c r="D70" i="14"/>
  <c r="E70" i="14"/>
  <c r="F70" i="14"/>
  <c r="G70" i="14"/>
  <c r="H70" i="14"/>
  <c r="I70" i="14"/>
  <c r="J70" i="14"/>
  <c r="K70" i="14"/>
  <c r="L70" i="14"/>
  <c r="M70" i="14"/>
  <c r="N70" i="14"/>
  <c r="O70" i="14"/>
  <c r="P70" i="14"/>
  <c r="Q70" i="14"/>
  <c r="C71" i="14"/>
  <c r="D71" i="14"/>
  <c r="E71" i="14"/>
  <c r="F71" i="14"/>
  <c r="G71" i="14"/>
  <c r="H71" i="14"/>
  <c r="I71" i="14"/>
  <c r="J71" i="14"/>
  <c r="K71" i="14"/>
  <c r="L71" i="14"/>
  <c r="M71" i="14"/>
  <c r="N71" i="14"/>
  <c r="O71" i="14"/>
  <c r="P71" i="14"/>
  <c r="Q71" i="14"/>
  <c r="C72" i="14"/>
  <c r="D72" i="14"/>
  <c r="E72" i="14"/>
  <c r="F72" i="14"/>
  <c r="G72" i="14"/>
  <c r="H72" i="14"/>
  <c r="I72" i="14"/>
  <c r="J72" i="14"/>
  <c r="K72" i="14"/>
  <c r="L72" i="14"/>
  <c r="M72" i="14"/>
  <c r="N72" i="14"/>
  <c r="O72" i="14"/>
  <c r="P72" i="14"/>
  <c r="Q72" i="14"/>
  <c r="C73" i="14"/>
  <c r="D73" i="14"/>
  <c r="E73" i="14"/>
  <c r="F73" i="14"/>
  <c r="G73" i="14"/>
  <c r="H73" i="14"/>
  <c r="I73" i="14"/>
  <c r="J73" i="14"/>
  <c r="K73" i="14"/>
  <c r="L73" i="14"/>
  <c r="M73" i="14"/>
  <c r="N73" i="14"/>
  <c r="O73" i="14"/>
  <c r="P73" i="14"/>
  <c r="Q73" i="14"/>
  <c r="C74" i="14"/>
  <c r="D74" i="14"/>
  <c r="E74" i="14"/>
  <c r="F74" i="14"/>
  <c r="G74" i="14"/>
  <c r="H74" i="14"/>
  <c r="I74" i="14"/>
  <c r="J74" i="14"/>
  <c r="K74" i="14"/>
  <c r="L74" i="14"/>
  <c r="M74" i="14"/>
  <c r="N74" i="14"/>
  <c r="O74" i="14"/>
  <c r="P74" i="14"/>
  <c r="Q74" i="14"/>
  <c r="C75" i="14"/>
  <c r="D75" i="14"/>
  <c r="E75" i="14"/>
  <c r="F75" i="14"/>
  <c r="G75" i="14"/>
  <c r="H75" i="14"/>
  <c r="I75" i="14"/>
  <c r="J75" i="14"/>
  <c r="K75" i="14"/>
  <c r="L75" i="14"/>
  <c r="M75" i="14"/>
  <c r="N75" i="14"/>
  <c r="O75" i="14"/>
  <c r="P75" i="14"/>
  <c r="Q75" i="14"/>
  <c r="C76" i="14"/>
  <c r="D76" i="14"/>
  <c r="E76" i="14"/>
  <c r="F76" i="14"/>
  <c r="G76" i="14"/>
  <c r="H76" i="14"/>
  <c r="I76" i="14"/>
  <c r="J76" i="14"/>
  <c r="K76" i="14"/>
  <c r="L76" i="14"/>
  <c r="M76" i="14"/>
  <c r="N76" i="14"/>
  <c r="O76" i="14"/>
  <c r="P76" i="14"/>
  <c r="Q76" i="14"/>
  <c r="C77" i="14"/>
  <c r="D77" i="14"/>
  <c r="E77" i="14"/>
  <c r="F77" i="14"/>
  <c r="G77" i="14"/>
  <c r="H77" i="14"/>
  <c r="I77" i="14"/>
  <c r="J77" i="14"/>
  <c r="K77" i="14"/>
  <c r="L77" i="14"/>
  <c r="M77" i="14"/>
  <c r="N77" i="14"/>
  <c r="O77" i="14"/>
  <c r="P77" i="14"/>
  <c r="Q77" i="14"/>
  <c r="C78" i="14"/>
  <c r="D78" i="14"/>
  <c r="E78" i="14"/>
  <c r="F78" i="14"/>
  <c r="G78" i="14"/>
  <c r="H78" i="14"/>
  <c r="I78" i="14"/>
  <c r="J78" i="14"/>
  <c r="K78" i="14"/>
  <c r="L78" i="14"/>
  <c r="M78" i="14"/>
  <c r="N78" i="14"/>
  <c r="O78" i="14"/>
  <c r="P78" i="14"/>
  <c r="Q78" i="14"/>
  <c r="C79" i="14"/>
  <c r="D79" i="14"/>
  <c r="E79" i="14"/>
  <c r="F79" i="14"/>
  <c r="G79" i="14"/>
  <c r="H79" i="14"/>
  <c r="I79" i="14"/>
  <c r="J79" i="14"/>
  <c r="K79" i="14"/>
  <c r="L79" i="14"/>
  <c r="M79" i="14"/>
  <c r="N79" i="14"/>
  <c r="O79" i="14"/>
  <c r="P79" i="14"/>
  <c r="Q79" i="14"/>
  <c r="Q68" i="14"/>
  <c r="P68" i="14"/>
  <c r="N68" i="14"/>
  <c r="O68" i="14"/>
  <c r="M68" i="14"/>
  <c r="L68" i="14"/>
  <c r="K68" i="14"/>
  <c r="J68" i="14"/>
  <c r="I68" i="14"/>
  <c r="H68" i="14"/>
  <c r="G68" i="14"/>
  <c r="F68" i="14"/>
  <c r="E68" i="14"/>
  <c r="D68" i="14"/>
  <c r="C68" i="14"/>
  <c r="C9" i="14"/>
  <c r="D9" i="14"/>
  <c r="E9" i="14"/>
  <c r="F9" i="14"/>
  <c r="G9" i="14"/>
  <c r="H9" i="14"/>
  <c r="I9" i="14"/>
  <c r="J9" i="14"/>
  <c r="K9" i="14"/>
  <c r="L9" i="14"/>
  <c r="M9" i="14"/>
  <c r="N9" i="14"/>
  <c r="C10" i="14"/>
  <c r="D10" i="14"/>
  <c r="E10" i="14"/>
  <c r="F10" i="14"/>
  <c r="G10" i="14"/>
  <c r="H10" i="14"/>
  <c r="I10" i="14"/>
  <c r="J10" i="14"/>
  <c r="K10" i="14"/>
  <c r="L10" i="14"/>
  <c r="M10" i="14"/>
  <c r="N10" i="14"/>
  <c r="C11" i="14"/>
  <c r="D11" i="14"/>
  <c r="E11" i="14"/>
  <c r="F11" i="14"/>
  <c r="G11" i="14"/>
  <c r="H11" i="14"/>
  <c r="I11" i="14"/>
  <c r="J11" i="14"/>
  <c r="K11" i="14"/>
  <c r="L11" i="14"/>
  <c r="M11" i="14"/>
  <c r="N11" i="14"/>
  <c r="C12" i="14"/>
  <c r="D12" i="14"/>
  <c r="E12" i="14"/>
  <c r="F12" i="14"/>
  <c r="G12" i="14"/>
  <c r="H12" i="14"/>
  <c r="I12" i="14"/>
  <c r="J12" i="14"/>
  <c r="K12" i="14"/>
  <c r="L12" i="14"/>
  <c r="M12" i="14"/>
  <c r="N12" i="14"/>
  <c r="C13" i="14"/>
  <c r="D13" i="14"/>
  <c r="E13" i="14"/>
  <c r="F13" i="14"/>
  <c r="G13" i="14"/>
  <c r="H13" i="14"/>
  <c r="I13" i="14"/>
  <c r="J13" i="14"/>
  <c r="K13" i="14"/>
  <c r="L13" i="14"/>
  <c r="M13" i="14"/>
  <c r="N13" i="14"/>
  <c r="C14" i="14"/>
  <c r="D14" i="14"/>
  <c r="E14" i="14"/>
  <c r="F14" i="14"/>
  <c r="G14" i="14"/>
  <c r="H14" i="14"/>
  <c r="I14" i="14"/>
  <c r="J14" i="14"/>
  <c r="K14" i="14"/>
  <c r="L14" i="14"/>
  <c r="M14" i="14"/>
  <c r="N14" i="14"/>
  <c r="C15" i="14"/>
  <c r="D15" i="14"/>
  <c r="E15" i="14"/>
  <c r="F15" i="14"/>
  <c r="G15" i="14"/>
  <c r="H15" i="14"/>
  <c r="I15" i="14"/>
  <c r="J15" i="14"/>
  <c r="K15" i="14"/>
  <c r="L15" i="14"/>
  <c r="M15" i="14"/>
  <c r="N15" i="14"/>
  <c r="C16" i="14"/>
  <c r="D16" i="14"/>
  <c r="E16" i="14"/>
  <c r="F16" i="14"/>
  <c r="G16" i="14"/>
  <c r="H16" i="14"/>
  <c r="I16" i="14"/>
  <c r="J16" i="14"/>
  <c r="K16" i="14"/>
  <c r="L16" i="14"/>
  <c r="M16" i="14"/>
  <c r="N16" i="14"/>
  <c r="C17" i="14"/>
  <c r="D17" i="14"/>
  <c r="E17" i="14"/>
  <c r="F17" i="14"/>
  <c r="G17" i="14"/>
  <c r="H17" i="14"/>
  <c r="I17" i="14"/>
  <c r="J17" i="14"/>
  <c r="K17" i="14"/>
  <c r="L17" i="14"/>
  <c r="M17" i="14"/>
  <c r="N17" i="14"/>
  <c r="C18" i="14"/>
  <c r="D18" i="14"/>
  <c r="E18" i="14"/>
  <c r="F18" i="14"/>
  <c r="G18" i="14"/>
  <c r="H18" i="14"/>
  <c r="I18" i="14"/>
  <c r="J18" i="14"/>
  <c r="K18" i="14"/>
  <c r="L18" i="14"/>
  <c r="M18" i="14"/>
  <c r="N18" i="14"/>
  <c r="C19" i="14"/>
  <c r="D19" i="14"/>
  <c r="E19" i="14"/>
  <c r="F19" i="14"/>
  <c r="G19" i="14"/>
  <c r="H19" i="14"/>
  <c r="I19" i="14"/>
  <c r="J19" i="14"/>
  <c r="K19" i="14"/>
  <c r="L19" i="14"/>
  <c r="M19" i="14"/>
  <c r="N19" i="14"/>
  <c r="C20" i="14"/>
  <c r="D20" i="14"/>
  <c r="E20" i="14"/>
  <c r="F20" i="14"/>
  <c r="G20" i="14"/>
  <c r="H20" i="14"/>
  <c r="I20" i="14"/>
  <c r="J20" i="14"/>
  <c r="K20" i="14"/>
  <c r="L20" i="14"/>
  <c r="M20" i="14"/>
  <c r="N20" i="14"/>
  <c r="C21" i="14"/>
  <c r="D21" i="14"/>
  <c r="E21" i="14"/>
  <c r="F21" i="14"/>
  <c r="G21" i="14"/>
  <c r="H21" i="14"/>
  <c r="I21" i="14"/>
  <c r="J21" i="14"/>
  <c r="K21" i="14"/>
  <c r="L21" i="14"/>
  <c r="M21" i="14"/>
  <c r="N21" i="14"/>
  <c r="C22" i="14"/>
  <c r="D22" i="14"/>
  <c r="E22" i="14"/>
  <c r="F22" i="14"/>
  <c r="G22" i="14"/>
  <c r="H22" i="14"/>
  <c r="I22" i="14"/>
  <c r="J22" i="14"/>
  <c r="K22" i="14"/>
  <c r="L22" i="14"/>
  <c r="M22" i="14"/>
  <c r="N22" i="14"/>
  <c r="C23" i="14"/>
  <c r="D23" i="14"/>
  <c r="E23" i="14"/>
  <c r="F23" i="14"/>
  <c r="G23" i="14"/>
  <c r="H23" i="14"/>
  <c r="I23" i="14"/>
  <c r="J23" i="14"/>
  <c r="K23" i="14"/>
  <c r="L23" i="14"/>
  <c r="M23" i="14"/>
  <c r="N23" i="14"/>
  <c r="C24" i="14"/>
  <c r="D24" i="14"/>
  <c r="E24" i="14"/>
  <c r="F24" i="14"/>
  <c r="G24" i="14"/>
  <c r="H24" i="14"/>
  <c r="I24" i="14"/>
  <c r="J24" i="14"/>
  <c r="K24" i="14"/>
  <c r="L24" i="14"/>
  <c r="M24" i="14"/>
  <c r="N24" i="14"/>
  <c r="C25" i="14"/>
  <c r="D25" i="14"/>
  <c r="E25" i="14"/>
  <c r="F25" i="14"/>
  <c r="G25" i="14"/>
  <c r="H25" i="14"/>
  <c r="I25" i="14"/>
  <c r="J25" i="14"/>
  <c r="K25" i="14"/>
  <c r="L25" i="14"/>
  <c r="M25" i="14"/>
  <c r="N25" i="14"/>
  <c r="C26" i="14"/>
  <c r="D26" i="14"/>
  <c r="E26" i="14"/>
  <c r="F26" i="14"/>
  <c r="G26" i="14"/>
  <c r="H26" i="14"/>
  <c r="I26" i="14"/>
  <c r="J26" i="14"/>
  <c r="K26" i="14"/>
  <c r="L26" i="14"/>
  <c r="M26" i="14"/>
  <c r="N26" i="14"/>
  <c r="C27" i="14"/>
  <c r="D27" i="14"/>
  <c r="E27" i="14"/>
  <c r="F27" i="14"/>
  <c r="G27" i="14"/>
  <c r="H27" i="14"/>
  <c r="I27" i="14"/>
  <c r="J27" i="14"/>
  <c r="K27" i="14"/>
  <c r="L27" i="14"/>
  <c r="M27" i="14"/>
  <c r="N27" i="14"/>
  <c r="C28" i="14"/>
  <c r="D28" i="14"/>
  <c r="E28" i="14"/>
  <c r="F28" i="14"/>
  <c r="G28" i="14"/>
  <c r="H28" i="14"/>
  <c r="I28" i="14"/>
  <c r="J28" i="14"/>
  <c r="K28" i="14"/>
  <c r="L28" i="14"/>
  <c r="M28" i="14"/>
  <c r="N28" i="14"/>
  <c r="C29" i="14"/>
  <c r="D29" i="14"/>
  <c r="E29" i="14"/>
  <c r="F29" i="14"/>
  <c r="G29" i="14"/>
  <c r="H29" i="14"/>
  <c r="I29" i="14"/>
  <c r="J29" i="14"/>
  <c r="K29" i="14"/>
  <c r="L29" i="14"/>
  <c r="M29" i="14"/>
  <c r="N29" i="14"/>
  <c r="C30" i="14"/>
  <c r="D30" i="14"/>
  <c r="E30" i="14"/>
  <c r="F30" i="14"/>
  <c r="G30" i="14"/>
  <c r="H30" i="14"/>
  <c r="I30" i="14"/>
  <c r="J30" i="14"/>
  <c r="K30" i="14"/>
  <c r="L30" i="14"/>
  <c r="M30" i="14"/>
  <c r="N30" i="14"/>
  <c r="C31" i="14"/>
  <c r="D31" i="14"/>
  <c r="E31" i="14"/>
  <c r="F31" i="14"/>
  <c r="G31" i="14"/>
  <c r="H31" i="14"/>
  <c r="I31" i="14"/>
  <c r="J31" i="14"/>
  <c r="K31" i="14"/>
  <c r="L31" i="14"/>
  <c r="M31" i="14"/>
  <c r="N31" i="14"/>
  <c r="C32" i="14"/>
  <c r="D32" i="14"/>
  <c r="E32" i="14"/>
  <c r="F32" i="14"/>
  <c r="G32" i="14"/>
  <c r="H32" i="14"/>
  <c r="I32" i="14"/>
  <c r="J32" i="14"/>
  <c r="K32" i="14"/>
  <c r="L32" i="14"/>
  <c r="M32" i="14"/>
  <c r="N32" i="14"/>
  <c r="C33" i="14"/>
  <c r="D33" i="14"/>
  <c r="E33" i="14"/>
  <c r="F33" i="14"/>
  <c r="G33" i="14"/>
  <c r="H33" i="14"/>
  <c r="I33" i="14"/>
  <c r="J33" i="14"/>
  <c r="K33" i="14"/>
  <c r="L33" i="14"/>
  <c r="M33" i="14"/>
  <c r="N33" i="14"/>
  <c r="C34" i="14"/>
  <c r="D34" i="14"/>
  <c r="E34" i="14"/>
  <c r="F34" i="14"/>
  <c r="G34" i="14"/>
  <c r="H34" i="14"/>
  <c r="I34" i="14"/>
  <c r="J34" i="14"/>
  <c r="K34" i="14"/>
  <c r="L34" i="14"/>
  <c r="M34" i="14"/>
  <c r="N34" i="14"/>
  <c r="C35" i="14"/>
  <c r="D35" i="14"/>
  <c r="E35" i="14"/>
  <c r="F35" i="14"/>
  <c r="G35" i="14"/>
  <c r="H35" i="14"/>
  <c r="I35" i="14"/>
  <c r="J35" i="14"/>
  <c r="K35" i="14"/>
  <c r="L35" i="14"/>
  <c r="M35" i="14"/>
  <c r="N35" i="14"/>
  <c r="C36" i="14"/>
  <c r="D36" i="14"/>
  <c r="E36" i="14"/>
  <c r="F36" i="14"/>
  <c r="G36" i="14"/>
  <c r="H36" i="14"/>
  <c r="I36" i="14"/>
  <c r="J36" i="14"/>
  <c r="K36" i="14"/>
  <c r="L36" i="14"/>
  <c r="M36" i="14"/>
  <c r="N36" i="14"/>
  <c r="C37" i="14"/>
  <c r="D37" i="14"/>
  <c r="E37" i="14"/>
  <c r="F37" i="14"/>
  <c r="G37" i="14"/>
  <c r="H37" i="14"/>
  <c r="I37" i="14"/>
  <c r="J37" i="14"/>
  <c r="K37" i="14"/>
  <c r="L37" i="14"/>
  <c r="M37" i="14"/>
  <c r="N37" i="14"/>
  <c r="C38" i="14"/>
  <c r="D38" i="14"/>
  <c r="E38" i="14"/>
  <c r="F38" i="14"/>
  <c r="G38" i="14"/>
  <c r="H38" i="14"/>
  <c r="I38" i="14"/>
  <c r="J38" i="14"/>
  <c r="K38" i="14"/>
  <c r="L38" i="14"/>
  <c r="M38" i="14"/>
  <c r="N38" i="14"/>
  <c r="C39" i="14"/>
  <c r="D39" i="14"/>
  <c r="E39" i="14"/>
  <c r="F39" i="14"/>
  <c r="G39" i="14"/>
  <c r="H39" i="14"/>
  <c r="I39" i="14"/>
  <c r="J39" i="14"/>
  <c r="K39" i="14"/>
  <c r="L39" i="14"/>
  <c r="M39" i="14"/>
  <c r="N39" i="14"/>
  <c r="C40" i="14"/>
  <c r="D40" i="14"/>
  <c r="E40" i="14"/>
  <c r="F40" i="14"/>
  <c r="G40" i="14"/>
  <c r="H40" i="14"/>
  <c r="I40" i="14"/>
  <c r="J40" i="14"/>
  <c r="K40" i="14"/>
  <c r="L40" i="14"/>
  <c r="M40" i="14"/>
  <c r="N40" i="14"/>
  <c r="C41" i="14"/>
  <c r="D41" i="14"/>
  <c r="E41" i="14"/>
  <c r="F41" i="14"/>
  <c r="G41" i="14"/>
  <c r="H41" i="14"/>
  <c r="I41" i="14"/>
  <c r="J41" i="14"/>
  <c r="K41" i="14"/>
  <c r="L41" i="14"/>
  <c r="M41" i="14"/>
  <c r="N41" i="14"/>
  <c r="C42" i="14"/>
  <c r="D42" i="14"/>
  <c r="E42" i="14"/>
  <c r="F42" i="14"/>
  <c r="G42" i="14"/>
  <c r="H42" i="14"/>
  <c r="I42" i="14"/>
  <c r="J42" i="14"/>
  <c r="K42" i="14"/>
  <c r="L42" i="14"/>
  <c r="M42" i="14"/>
  <c r="N42" i="14"/>
  <c r="C43" i="14"/>
  <c r="D43" i="14"/>
  <c r="E43" i="14"/>
  <c r="F43" i="14"/>
  <c r="G43" i="14"/>
  <c r="H43" i="14"/>
  <c r="I43" i="14"/>
  <c r="J43" i="14"/>
  <c r="K43" i="14"/>
  <c r="L43" i="14"/>
  <c r="M43" i="14"/>
  <c r="N43" i="14"/>
  <c r="C44" i="14"/>
  <c r="D44" i="14"/>
  <c r="E44" i="14"/>
  <c r="F44" i="14"/>
  <c r="G44" i="14"/>
  <c r="H44" i="14"/>
  <c r="I44" i="14"/>
  <c r="J44" i="14"/>
  <c r="K44" i="14"/>
  <c r="L44" i="14"/>
  <c r="M44" i="14"/>
  <c r="N44" i="14"/>
  <c r="C45" i="14"/>
  <c r="D45" i="14"/>
  <c r="E45" i="14"/>
  <c r="F45" i="14"/>
  <c r="G45" i="14"/>
  <c r="H45" i="14"/>
  <c r="I45" i="14"/>
  <c r="J45" i="14"/>
  <c r="K45" i="14"/>
  <c r="L45" i="14"/>
  <c r="M45" i="14"/>
  <c r="N45" i="14"/>
  <c r="C46" i="14"/>
  <c r="D46" i="14"/>
  <c r="E46" i="14"/>
  <c r="F46" i="14"/>
  <c r="G46" i="14"/>
  <c r="H46" i="14"/>
  <c r="I46" i="14"/>
  <c r="J46" i="14"/>
  <c r="K46" i="14"/>
  <c r="L46" i="14"/>
  <c r="M46" i="14"/>
  <c r="N46" i="14"/>
  <c r="C47" i="14"/>
  <c r="D47" i="14"/>
  <c r="E47" i="14"/>
  <c r="F47" i="14"/>
  <c r="G47" i="14"/>
  <c r="H47" i="14"/>
  <c r="I47" i="14"/>
  <c r="J47" i="14"/>
  <c r="K47" i="14"/>
  <c r="L47" i="14"/>
  <c r="M47" i="14"/>
  <c r="N47" i="14"/>
  <c r="C48" i="14"/>
  <c r="D48" i="14"/>
  <c r="E48" i="14"/>
  <c r="F48" i="14"/>
  <c r="G48" i="14"/>
  <c r="H48" i="14"/>
  <c r="I48" i="14"/>
  <c r="J48" i="14"/>
  <c r="K48" i="14"/>
  <c r="L48" i="14"/>
  <c r="M48" i="14"/>
  <c r="N48" i="14"/>
  <c r="C49" i="14"/>
  <c r="D49" i="14"/>
  <c r="E49" i="14"/>
  <c r="F49" i="14"/>
  <c r="G49" i="14"/>
  <c r="H49" i="14"/>
  <c r="I49" i="14"/>
  <c r="J49" i="14"/>
  <c r="K49" i="14"/>
  <c r="L49" i="14"/>
  <c r="M49" i="14"/>
  <c r="N49" i="14"/>
  <c r="C50" i="14"/>
  <c r="D50" i="14"/>
  <c r="E50" i="14"/>
  <c r="F50" i="14"/>
  <c r="G50" i="14"/>
  <c r="H50" i="14"/>
  <c r="I50" i="14"/>
  <c r="J50" i="14"/>
  <c r="K50" i="14"/>
  <c r="L50" i="14"/>
  <c r="M50" i="14"/>
  <c r="N50" i="14"/>
  <c r="C51" i="14"/>
  <c r="D51" i="14"/>
  <c r="E51" i="14"/>
  <c r="F51" i="14"/>
  <c r="G51" i="14"/>
  <c r="H51" i="14"/>
  <c r="I51" i="14"/>
  <c r="J51" i="14"/>
  <c r="K51" i="14"/>
  <c r="L51" i="14"/>
  <c r="M51" i="14"/>
  <c r="N51" i="14"/>
  <c r="C52" i="14"/>
  <c r="D52" i="14"/>
  <c r="E52" i="14"/>
  <c r="F52" i="14"/>
  <c r="G52" i="14"/>
  <c r="H52" i="14"/>
  <c r="I52" i="14"/>
  <c r="J52" i="14"/>
  <c r="K52" i="14"/>
  <c r="L52" i="14"/>
  <c r="M52" i="14"/>
  <c r="N52" i="14"/>
  <c r="C53" i="14"/>
  <c r="D53" i="14"/>
  <c r="E53" i="14"/>
  <c r="F53" i="14"/>
  <c r="G53" i="14"/>
  <c r="H53" i="14"/>
  <c r="I53" i="14"/>
  <c r="J53" i="14"/>
  <c r="K53" i="14"/>
  <c r="L53" i="14"/>
  <c r="M53" i="14"/>
  <c r="N53" i="14"/>
  <c r="C54" i="14"/>
  <c r="D54" i="14"/>
  <c r="E54" i="14"/>
  <c r="F54" i="14"/>
  <c r="G54" i="14"/>
  <c r="H54" i="14"/>
  <c r="I54" i="14"/>
  <c r="J54" i="14"/>
  <c r="K54" i="14"/>
  <c r="L54" i="14"/>
  <c r="M54" i="14"/>
  <c r="N54" i="14"/>
  <c r="C55" i="14"/>
  <c r="D55" i="14"/>
  <c r="E55" i="14"/>
  <c r="F55" i="14"/>
  <c r="G55" i="14"/>
  <c r="H55" i="14"/>
  <c r="I55" i="14"/>
  <c r="J55" i="14"/>
  <c r="K55" i="14"/>
  <c r="L55" i="14"/>
  <c r="M55" i="14"/>
  <c r="N55" i="14"/>
  <c r="C56" i="14"/>
  <c r="D56" i="14"/>
  <c r="E56" i="14"/>
  <c r="F56" i="14"/>
  <c r="G56" i="14"/>
  <c r="H56" i="14"/>
  <c r="I56" i="14"/>
  <c r="J56" i="14"/>
  <c r="K56" i="14"/>
  <c r="L56" i="14"/>
  <c r="M56" i="14"/>
  <c r="N56" i="14"/>
  <c r="C57" i="14"/>
  <c r="D57" i="14"/>
  <c r="E57" i="14"/>
  <c r="F57" i="14"/>
  <c r="G57" i="14"/>
  <c r="H57" i="14"/>
  <c r="I57" i="14"/>
  <c r="J57" i="14"/>
  <c r="K57" i="14"/>
  <c r="L57" i="14"/>
  <c r="M57" i="14"/>
  <c r="N57" i="14"/>
  <c r="C58" i="14"/>
  <c r="D58" i="14"/>
  <c r="E58" i="14"/>
  <c r="F58" i="14"/>
  <c r="G58" i="14"/>
  <c r="H58" i="14"/>
  <c r="I58" i="14"/>
  <c r="J58" i="14"/>
  <c r="K58" i="14"/>
  <c r="L58" i="14"/>
  <c r="M58" i="14"/>
  <c r="N58" i="14"/>
  <c r="C59" i="14"/>
  <c r="D59" i="14"/>
  <c r="E59" i="14"/>
  <c r="F59" i="14"/>
  <c r="G59" i="14"/>
  <c r="H59" i="14"/>
  <c r="I59" i="14"/>
  <c r="J59" i="14"/>
  <c r="K59" i="14"/>
  <c r="L59" i="14"/>
  <c r="M59" i="14"/>
  <c r="N59" i="14"/>
  <c r="C60" i="14"/>
  <c r="D60" i="14"/>
  <c r="E60" i="14"/>
  <c r="F60" i="14"/>
  <c r="G60" i="14"/>
  <c r="H60" i="14"/>
  <c r="I60" i="14"/>
  <c r="J60" i="14"/>
  <c r="K60" i="14"/>
  <c r="L60" i="14"/>
  <c r="M60" i="14"/>
  <c r="N60" i="14"/>
  <c r="C61" i="14"/>
  <c r="D61" i="14"/>
  <c r="E61" i="14"/>
  <c r="F61" i="14"/>
  <c r="G61" i="14"/>
  <c r="H61" i="14"/>
  <c r="I61" i="14"/>
  <c r="J61" i="14"/>
  <c r="K61" i="14"/>
  <c r="L61" i="14"/>
  <c r="M61" i="14"/>
  <c r="N61" i="14"/>
  <c r="P9" i="14"/>
  <c r="Q9" i="14"/>
  <c r="P10" i="14"/>
  <c r="Q10" i="14"/>
  <c r="P11" i="14"/>
  <c r="Q11" i="14"/>
  <c r="P12" i="14"/>
  <c r="Q12" i="14"/>
  <c r="P13" i="14"/>
  <c r="Q13" i="14"/>
  <c r="P14" i="14"/>
  <c r="Q14" i="14"/>
  <c r="P15" i="14"/>
  <c r="Q15" i="14"/>
  <c r="P16" i="14"/>
  <c r="Q16" i="14"/>
  <c r="P17" i="14"/>
  <c r="Q17" i="14"/>
  <c r="P18" i="14"/>
  <c r="Q18" i="14"/>
  <c r="P19" i="14"/>
  <c r="Q19" i="14"/>
  <c r="P20" i="14"/>
  <c r="Q20" i="14"/>
  <c r="P21" i="14"/>
  <c r="Q21" i="14"/>
  <c r="P22" i="14"/>
  <c r="Q22" i="14"/>
  <c r="P23" i="14"/>
  <c r="Q23" i="14"/>
  <c r="P24" i="14"/>
  <c r="Q24" i="14"/>
  <c r="P25" i="14"/>
  <c r="Q25" i="14"/>
  <c r="P26" i="14"/>
  <c r="Q26" i="14"/>
  <c r="P27" i="14"/>
  <c r="Q27" i="14"/>
  <c r="P28" i="14"/>
  <c r="Q28" i="14"/>
  <c r="P29" i="14"/>
  <c r="Q29" i="14"/>
  <c r="P30" i="14"/>
  <c r="Q30" i="14"/>
  <c r="P31" i="14"/>
  <c r="Q31" i="14"/>
  <c r="P32" i="14"/>
  <c r="Q32" i="14"/>
  <c r="P33" i="14"/>
  <c r="Q33" i="14"/>
  <c r="P34" i="14"/>
  <c r="Q34" i="14"/>
  <c r="P35" i="14"/>
  <c r="Q35" i="14"/>
  <c r="P36" i="14"/>
  <c r="Q36" i="14"/>
  <c r="P37" i="14"/>
  <c r="Q37" i="14"/>
  <c r="P38" i="14"/>
  <c r="Q38" i="14"/>
  <c r="P39" i="14"/>
  <c r="Q39" i="14"/>
  <c r="P40" i="14"/>
  <c r="Q40" i="14"/>
  <c r="P41" i="14"/>
  <c r="Q41" i="14"/>
  <c r="P42" i="14"/>
  <c r="Q42" i="14"/>
  <c r="P43" i="14"/>
  <c r="Q43" i="14"/>
  <c r="P44" i="14"/>
  <c r="Q44" i="14"/>
  <c r="P45" i="14"/>
  <c r="Q45" i="14"/>
  <c r="P46" i="14"/>
  <c r="Q46" i="14"/>
  <c r="P47" i="14"/>
  <c r="Q47" i="14"/>
  <c r="P48" i="14"/>
  <c r="Q48" i="14"/>
  <c r="P49" i="14"/>
  <c r="Q49" i="14"/>
  <c r="P50" i="14"/>
  <c r="Q50" i="14"/>
  <c r="P51" i="14"/>
  <c r="Q51" i="14"/>
  <c r="P52" i="14"/>
  <c r="Q52" i="14"/>
  <c r="P53" i="14"/>
  <c r="Q53" i="14"/>
  <c r="P54" i="14"/>
  <c r="Q54" i="14"/>
  <c r="P55" i="14"/>
  <c r="Q55" i="14"/>
  <c r="P56" i="14"/>
  <c r="Q56" i="14"/>
  <c r="P57" i="14"/>
  <c r="Q57" i="14"/>
  <c r="P58" i="14"/>
  <c r="Q58" i="14"/>
  <c r="P59" i="14"/>
  <c r="Q59" i="14"/>
  <c r="P60" i="14"/>
  <c r="Q60" i="14"/>
  <c r="P61" i="14"/>
  <c r="Q61" i="14"/>
  <c r="Q8" i="14"/>
  <c r="P8" i="14"/>
  <c r="N8" i="14"/>
  <c r="M8" i="14"/>
  <c r="L8" i="14"/>
  <c r="K8" i="14"/>
  <c r="J8" i="14"/>
  <c r="I8" i="14"/>
  <c r="H8" i="14"/>
  <c r="G8" i="14"/>
  <c r="F8" i="14"/>
  <c r="E8" i="14"/>
  <c r="D8" i="14"/>
  <c r="C8" i="14"/>
  <c r="C83" i="13"/>
  <c r="D83" i="13"/>
  <c r="E83" i="13"/>
  <c r="F83" i="13"/>
  <c r="G83" i="13"/>
  <c r="H83" i="13"/>
  <c r="I83" i="13"/>
  <c r="J83" i="13"/>
  <c r="K83" i="13"/>
  <c r="L83" i="13"/>
  <c r="M83" i="13"/>
  <c r="N83" i="13"/>
  <c r="C84" i="13"/>
  <c r="D84" i="13"/>
  <c r="E84" i="13"/>
  <c r="F84" i="13"/>
  <c r="G84" i="13"/>
  <c r="H84" i="13"/>
  <c r="I84" i="13"/>
  <c r="J84" i="13"/>
  <c r="K84" i="13"/>
  <c r="L84" i="13"/>
  <c r="M84" i="13"/>
  <c r="N84" i="13"/>
  <c r="C85" i="13"/>
  <c r="D85" i="13"/>
  <c r="E85" i="13"/>
  <c r="F85" i="13"/>
  <c r="G85" i="13"/>
  <c r="H85" i="13"/>
  <c r="I85" i="13"/>
  <c r="J85" i="13"/>
  <c r="K85" i="13"/>
  <c r="L85" i="13"/>
  <c r="M85" i="13"/>
  <c r="N85" i="13"/>
  <c r="C86" i="13"/>
  <c r="D86" i="13"/>
  <c r="E86" i="13"/>
  <c r="F86" i="13"/>
  <c r="G86" i="13"/>
  <c r="H86" i="13"/>
  <c r="I86" i="13"/>
  <c r="J86" i="13"/>
  <c r="K86" i="13"/>
  <c r="L86" i="13"/>
  <c r="M86" i="13"/>
  <c r="N86" i="13"/>
  <c r="C87" i="13"/>
  <c r="D87" i="13"/>
  <c r="E87" i="13"/>
  <c r="F87" i="13"/>
  <c r="G87" i="13"/>
  <c r="H87" i="13"/>
  <c r="I87" i="13"/>
  <c r="J87" i="13"/>
  <c r="K87" i="13"/>
  <c r="L87" i="13"/>
  <c r="M87" i="13"/>
  <c r="N87" i="13"/>
  <c r="C88" i="13"/>
  <c r="D88" i="13"/>
  <c r="E88" i="13"/>
  <c r="F88" i="13"/>
  <c r="G88" i="13"/>
  <c r="H88" i="13"/>
  <c r="I88" i="13"/>
  <c r="J88" i="13"/>
  <c r="K88" i="13"/>
  <c r="L88" i="13"/>
  <c r="M88" i="13"/>
  <c r="N88" i="13"/>
  <c r="C89" i="13"/>
  <c r="D89" i="13"/>
  <c r="E89" i="13"/>
  <c r="F89" i="13"/>
  <c r="G89" i="13"/>
  <c r="H89" i="13"/>
  <c r="I89" i="13"/>
  <c r="J89" i="13"/>
  <c r="K89" i="13"/>
  <c r="L89" i="13"/>
  <c r="M89" i="13"/>
  <c r="N89" i="13"/>
  <c r="C90" i="13"/>
  <c r="D90" i="13"/>
  <c r="E90" i="13"/>
  <c r="F90" i="13"/>
  <c r="G90" i="13"/>
  <c r="H90" i="13"/>
  <c r="I90" i="13"/>
  <c r="J90" i="13"/>
  <c r="K90" i="13"/>
  <c r="L90" i="13"/>
  <c r="M90" i="13"/>
  <c r="N90" i="13"/>
  <c r="C91" i="13"/>
  <c r="D91" i="13"/>
  <c r="E91" i="13"/>
  <c r="F91" i="13"/>
  <c r="G91" i="13"/>
  <c r="H91" i="13"/>
  <c r="I91" i="13"/>
  <c r="J91" i="13"/>
  <c r="K91" i="13"/>
  <c r="L91" i="13"/>
  <c r="M91" i="13"/>
  <c r="N91" i="13"/>
  <c r="C92" i="13"/>
  <c r="D92" i="13"/>
  <c r="E92" i="13"/>
  <c r="F92" i="13"/>
  <c r="G92" i="13"/>
  <c r="H92" i="13"/>
  <c r="I92" i="13"/>
  <c r="J92" i="13"/>
  <c r="K92" i="13"/>
  <c r="L92" i="13"/>
  <c r="M92" i="13"/>
  <c r="N92" i="13"/>
  <c r="N82" i="13"/>
  <c r="M82" i="13"/>
  <c r="L82" i="13"/>
  <c r="K82" i="13"/>
  <c r="I82" i="13"/>
  <c r="J82" i="13"/>
  <c r="G82" i="13"/>
  <c r="H82" i="13"/>
  <c r="E82" i="13"/>
  <c r="F82" i="13"/>
  <c r="D82" i="13"/>
  <c r="C82" i="13"/>
  <c r="C69" i="13"/>
  <c r="D69" i="13"/>
  <c r="E69" i="13"/>
  <c r="F69" i="13"/>
  <c r="G69" i="13"/>
  <c r="H69" i="13"/>
  <c r="I69" i="13"/>
  <c r="J69" i="13"/>
  <c r="K69" i="13"/>
  <c r="L69" i="13"/>
  <c r="M69" i="13"/>
  <c r="N69" i="13"/>
  <c r="C70" i="13"/>
  <c r="D70" i="13"/>
  <c r="E70" i="13"/>
  <c r="F70" i="13"/>
  <c r="G70" i="13"/>
  <c r="H70" i="13"/>
  <c r="I70" i="13"/>
  <c r="J70" i="13"/>
  <c r="K70" i="13"/>
  <c r="L70" i="13"/>
  <c r="M70" i="13"/>
  <c r="N70" i="13"/>
  <c r="C71" i="13"/>
  <c r="D71" i="13"/>
  <c r="E71" i="13"/>
  <c r="F71" i="13"/>
  <c r="G71" i="13"/>
  <c r="H71" i="13"/>
  <c r="I71" i="13"/>
  <c r="J71" i="13"/>
  <c r="K71" i="13"/>
  <c r="L71" i="13"/>
  <c r="M71" i="13"/>
  <c r="N71" i="13"/>
  <c r="C72" i="13"/>
  <c r="D72" i="13"/>
  <c r="E72" i="13"/>
  <c r="F72" i="13"/>
  <c r="G72" i="13"/>
  <c r="H72" i="13"/>
  <c r="I72" i="13"/>
  <c r="J72" i="13"/>
  <c r="K72" i="13"/>
  <c r="L72" i="13"/>
  <c r="M72" i="13"/>
  <c r="N72" i="13"/>
  <c r="C73" i="13"/>
  <c r="D73" i="13"/>
  <c r="E73" i="13"/>
  <c r="F73" i="13"/>
  <c r="G73" i="13"/>
  <c r="H73" i="13"/>
  <c r="I73" i="13"/>
  <c r="J73" i="13"/>
  <c r="K73" i="13"/>
  <c r="L73" i="13"/>
  <c r="M73" i="13"/>
  <c r="N73" i="13"/>
  <c r="C74" i="13"/>
  <c r="D74" i="13"/>
  <c r="E74" i="13"/>
  <c r="F74" i="13"/>
  <c r="G74" i="13"/>
  <c r="H74" i="13"/>
  <c r="I74" i="13"/>
  <c r="J74" i="13"/>
  <c r="K74" i="13"/>
  <c r="L74" i="13"/>
  <c r="M74" i="13"/>
  <c r="N74" i="13"/>
  <c r="C75" i="13"/>
  <c r="D75" i="13"/>
  <c r="E75" i="13"/>
  <c r="F75" i="13"/>
  <c r="G75" i="13"/>
  <c r="H75" i="13"/>
  <c r="I75" i="13"/>
  <c r="J75" i="13"/>
  <c r="K75" i="13"/>
  <c r="L75" i="13"/>
  <c r="M75" i="13"/>
  <c r="N75" i="13"/>
  <c r="C76" i="13"/>
  <c r="D76" i="13"/>
  <c r="E76" i="13"/>
  <c r="F76" i="13"/>
  <c r="G76" i="13"/>
  <c r="H76" i="13"/>
  <c r="I76" i="13"/>
  <c r="J76" i="13"/>
  <c r="K76" i="13"/>
  <c r="L76" i="13"/>
  <c r="M76" i="13"/>
  <c r="N76" i="13"/>
  <c r="C77" i="13"/>
  <c r="D77" i="13"/>
  <c r="E77" i="13"/>
  <c r="F77" i="13"/>
  <c r="G77" i="13"/>
  <c r="H77" i="13"/>
  <c r="I77" i="13"/>
  <c r="J77" i="13"/>
  <c r="K77" i="13"/>
  <c r="L77" i="13"/>
  <c r="M77" i="13"/>
  <c r="N77" i="13"/>
  <c r="C78" i="13"/>
  <c r="D78" i="13"/>
  <c r="E78" i="13"/>
  <c r="F78" i="13"/>
  <c r="G78" i="13"/>
  <c r="H78" i="13"/>
  <c r="I78" i="13"/>
  <c r="J78" i="13"/>
  <c r="K78" i="13"/>
  <c r="L78" i="13"/>
  <c r="M78" i="13"/>
  <c r="N78" i="13"/>
  <c r="C79" i="13"/>
  <c r="D79" i="13"/>
  <c r="E79" i="13"/>
  <c r="F79" i="13"/>
  <c r="G79" i="13"/>
  <c r="H79" i="13"/>
  <c r="I79" i="13"/>
  <c r="J79" i="13"/>
  <c r="K79" i="13"/>
  <c r="L79" i="13"/>
  <c r="M79" i="13"/>
  <c r="N79" i="13"/>
  <c r="N68" i="13"/>
  <c r="M68" i="13"/>
  <c r="L68" i="13"/>
  <c r="K68" i="13"/>
  <c r="I68" i="13"/>
  <c r="J68" i="13"/>
  <c r="G68" i="13"/>
  <c r="H68" i="13"/>
  <c r="E68" i="13"/>
  <c r="F68" i="13"/>
  <c r="D68" i="13"/>
  <c r="C68" i="13"/>
  <c r="D63" i="13"/>
  <c r="E63" i="13"/>
  <c r="F63" i="13"/>
  <c r="G63" i="13"/>
  <c r="H63" i="13"/>
  <c r="I63" i="13"/>
  <c r="J63" i="13"/>
  <c r="K63" i="13"/>
  <c r="L63" i="13"/>
  <c r="M63" i="13"/>
  <c r="N63" i="13"/>
  <c r="D64" i="13"/>
  <c r="E64" i="13"/>
  <c r="F64" i="13"/>
  <c r="G64" i="13"/>
  <c r="H64" i="13"/>
  <c r="I64" i="13"/>
  <c r="J64" i="13"/>
  <c r="K64" i="13"/>
  <c r="L64" i="13"/>
  <c r="M64" i="13"/>
  <c r="N64" i="13"/>
  <c r="C65" i="13"/>
  <c r="D65" i="13"/>
  <c r="E65" i="13"/>
  <c r="F65" i="13"/>
  <c r="G65" i="13"/>
  <c r="H65" i="13"/>
  <c r="I65" i="13"/>
  <c r="J65" i="13"/>
  <c r="K65" i="13"/>
  <c r="L65" i="13"/>
  <c r="M65" i="13"/>
  <c r="N65" i="13"/>
  <c r="N62" i="13"/>
  <c r="M62" i="13"/>
  <c r="L62" i="13"/>
  <c r="K62" i="13"/>
  <c r="I62" i="13"/>
  <c r="G62" i="13"/>
  <c r="E62" i="13"/>
  <c r="D62" i="13"/>
  <c r="C62" i="13"/>
  <c r="C63" i="11"/>
  <c r="K9" i="13"/>
  <c r="L9" i="13"/>
  <c r="M9" i="13"/>
  <c r="N9" i="13"/>
  <c r="K10" i="13"/>
  <c r="L10" i="13"/>
  <c r="M10" i="13"/>
  <c r="N10" i="13"/>
  <c r="K11" i="13"/>
  <c r="L11" i="13"/>
  <c r="M11" i="13"/>
  <c r="N11" i="13"/>
  <c r="K12" i="13"/>
  <c r="L12" i="13"/>
  <c r="M12" i="13"/>
  <c r="N12" i="13"/>
  <c r="K13" i="13"/>
  <c r="L13" i="13"/>
  <c r="M13" i="13"/>
  <c r="N13" i="13"/>
  <c r="K14" i="13"/>
  <c r="L14" i="13"/>
  <c r="M14" i="13"/>
  <c r="N14" i="13"/>
  <c r="K15" i="13"/>
  <c r="L15" i="13"/>
  <c r="M15" i="13"/>
  <c r="N15" i="13"/>
  <c r="K16" i="13"/>
  <c r="L16" i="13"/>
  <c r="M16" i="13"/>
  <c r="N16" i="13"/>
  <c r="K17" i="13"/>
  <c r="L17" i="13"/>
  <c r="M17" i="13"/>
  <c r="N17" i="13"/>
  <c r="K18" i="13"/>
  <c r="L18" i="13"/>
  <c r="M18" i="13"/>
  <c r="N18" i="13"/>
  <c r="K19" i="13"/>
  <c r="L19" i="13"/>
  <c r="M19" i="13"/>
  <c r="N19" i="13"/>
  <c r="K20" i="13"/>
  <c r="L20" i="13"/>
  <c r="M20" i="13"/>
  <c r="N20" i="13"/>
  <c r="K21" i="13"/>
  <c r="L21" i="13"/>
  <c r="M21" i="13"/>
  <c r="N21" i="13"/>
  <c r="K22" i="13"/>
  <c r="L22" i="13"/>
  <c r="M22" i="13"/>
  <c r="N22" i="13"/>
  <c r="K23" i="13"/>
  <c r="L23" i="13"/>
  <c r="M23" i="13"/>
  <c r="N23" i="13"/>
  <c r="K24" i="13"/>
  <c r="L24" i="13"/>
  <c r="M24" i="13"/>
  <c r="N24" i="13"/>
  <c r="K25" i="13"/>
  <c r="L25" i="13"/>
  <c r="M25" i="13"/>
  <c r="N25" i="13"/>
  <c r="K26" i="13"/>
  <c r="L26" i="13"/>
  <c r="M26" i="13"/>
  <c r="N26" i="13"/>
  <c r="K27" i="13"/>
  <c r="L27" i="13"/>
  <c r="M27" i="13"/>
  <c r="N27" i="13"/>
  <c r="K28" i="13"/>
  <c r="L28" i="13"/>
  <c r="M28" i="13"/>
  <c r="N28" i="13"/>
  <c r="K29" i="13"/>
  <c r="L29" i="13"/>
  <c r="M29" i="13"/>
  <c r="N29" i="13"/>
  <c r="K30" i="13"/>
  <c r="L30" i="13"/>
  <c r="M30" i="13"/>
  <c r="N30" i="13"/>
  <c r="K31" i="13"/>
  <c r="L31" i="13"/>
  <c r="M31" i="13"/>
  <c r="N31" i="13"/>
  <c r="K32" i="13"/>
  <c r="L32" i="13"/>
  <c r="M32" i="13"/>
  <c r="N32" i="13"/>
  <c r="K33" i="13"/>
  <c r="L33" i="13"/>
  <c r="M33" i="13"/>
  <c r="N33" i="13"/>
  <c r="K34" i="13"/>
  <c r="L34" i="13"/>
  <c r="M34" i="13"/>
  <c r="N34" i="13"/>
  <c r="K35" i="13"/>
  <c r="L35" i="13"/>
  <c r="M35" i="13"/>
  <c r="N35" i="13"/>
  <c r="K36" i="13"/>
  <c r="L36" i="13"/>
  <c r="M36" i="13"/>
  <c r="N36" i="13"/>
  <c r="K37" i="13"/>
  <c r="L37" i="13"/>
  <c r="M37" i="13"/>
  <c r="N37" i="13"/>
  <c r="K38" i="13"/>
  <c r="L38" i="13"/>
  <c r="M38" i="13"/>
  <c r="N38" i="13"/>
  <c r="K39" i="13"/>
  <c r="L39" i="13"/>
  <c r="M39" i="13"/>
  <c r="N39" i="13"/>
  <c r="K40" i="13"/>
  <c r="L40" i="13"/>
  <c r="M40" i="13"/>
  <c r="N40" i="13"/>
  <c r="K41" i="13"/>
  <c r="L41" i="13"/>
  <c r="M41" i="13"/>
  <c r="N41" i="13"/>
  <c r="K42" i="13"/>
  <c r="L42" i="13"/>
  <c r="M42" i="13"/>
  <c r="N42" i="13"/>
  <c r="K43" i="13"/>
  <c r="L43" i="13"/>
  <c r="M43" i="13"/>
  <c r="N43" i="13"/>
  <c r="K44" i="13"/>
  <c r="L44" i="13"/>
  <c r="M44" i="13"/>
  <c r="N44" i="13"/>
  <c r="K45" i="13"/>
  <c r="L45" i="13"/>
  <c r="M45" i="13"/>
  <c r="N45" i="13"/>
  <c r="K46" i="13"/>
  <c r="L46" i="13"/>
  <c r="M46" i="13"/>
  <c r="N46" i="13"/>
  <c r="K47" i="13"/>
  <c r="L47" i="13"/>
  <c r="M47" i="13"/>
  <c r="N47" i="13"/>
  <c r="K48" i="13"/>
  <c r="L48" i="13"/>
  <c r="M48" i="13"/>
  <c r="N48" i="13"/>
  <c r="K49" i="13"/>
  <c r="L49" i="13"/>
  <c r="M49" i="13"/>
  <c r="N49" i="13"/>
  <c r="K50" i="13"/>
  <c r="L50" i="13"/>
  <c r="M50" i="13"/>
  <c r="N50" i="13"/>
  <c r="K51" i="13"/>
  <c r="L51" i="13"/>
  <c r="M51" i="13"/>
  <c r="N51" i="13"/>
  <c r="K52" i="13"/>
  <c r="L52" i="13"/>
  <c r="M52" i="13"/>
  <c r="N52" i="13"/>
  <c r="K53" i="13"/>
  <c r="L53" i="13"/>
  <c r="M53" i="13"/>
  <c r="N53" i="13"/>
  <c r="K54" i="13"/>
  <c r="L54" i="13"/>
  <c r="M54" i="13"/>
  <c r="N54" i="13"/>
  <c r="K55" i="13"/>
  <c r="L55" i="13"/>
  <c r="M55" i="13"/>
  <c r="N55" i="13"/>
  <c r="K56" i="13"/>
  <c r="L56" i="13"/>
  <c r="M56" i="13"/>
  <c r="N56" i="13"/>
  <c r="K57" i="13"/>
  <c r="L57" i="13"/>
  <c r="M57" i="13"/>
  <c r="N57" i="13"/>
  <c r="K58" i="13"/>
  <c r="L58" i="13"/>
  <c r="M58" i="13"/>
  <c r="N58" i="13"/>
  <c r="K59" i="13"/>
  <c r="L59" i="13"/>
  <c r="M59" i="13"/>
  <c r="N59" i="13"/>
  <c r="K60" i="13"/>
  <c r="L60" i="13"/>
  <c r="M60" i="13"/>
  <c r="N60" i="13"/>
  <c r="K61" i="13"/>
  <c r="L61" i="13"/>
  <c r="M61" i="13"/>
  <c r="N61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C9" i="13"/>
  <c r="D9" i="13"/>
  <c r="E9" i="13"/>
  <c r="C10" i="13"/>
  <c r="D10" i="13"/>
  <c r="E10" i="13"/>
  <c r="C11" i="13"/>
  <c r="D11" i="13"/>
  <c r="E11" i="13"/>
  <c r="C12" i="13"/>
  <c r="D12" i="13"/>
  <c r="E12" i="13"/>
  <c r="C13" i="13"/>
  <c r="D13" i="13"/>
  <c r="E13" i="13"/>
  <c r="C14" i="13"/>
  <c r="D14" i="13"/>
  <c r="E14" i="13"/>
  <c r="C15" i="13"/>
  <c r="D15" i="13"/>
  <c r="E15" i="13"/>
  <c r="C16" i="13"/>
  <c r="D16" i="13"/>
  <c r="E16" i="13"/>
  <c r="C17" i="13"/>
  <c r="D17" i="13"/>
  <c r="E17" i="13"/>
  <c r="C18" i="13"/>
  <c r="D18" i="13"/>
  <c r="E18" i="13"/>
  <c r="C19" i="13"/>
  <c r="D19" i="13"/>
  <c r="E19" i="13"/>
  <c r="C20" i="13"/>
  <c r="D20" i="13"/>
  <c r="E20" i="13"/>
  <c r="C21" i="13"/>
  <c r="D21" i="13"/>
  <c r="E21" i="13"/>
  <c r="C22" i="13"/>
  <c r="D22" i="13"/>
  <c r="E22" i="13"/>
  <c r="C23" i="13"/>
  <c r="D23" i="13"/>
  <c r="E23" i="13"/>
  <c r="C24" i="13"/>
  <c r="D24" i="13"/>
  <c r="E24" i="13"/>
  <c r="C25" i="13"/>
  <c r="D25" i="13"/>
  <c r="E25" i="13"/>
  <c r="C26" i="13"/>
  <c r="D26" i="13"/>
  <c r="E26" i="13"/>
  <c r="C27" i="13"/>
  <c r="D27" i="13"/>
  <c r="E27" i="13"/>
  <c r="C28" i="13"/>
  <c r="D28" i="13"/>
  <c r="E28" i="13"/>
  <c r="C29" i="13"/>
  <c r="D29" i="13"/>
  <c r="E29" i="13"/>
  <c r="C30" i="13"/>
  <c r="D30" i="13"/>
  <c r="E30" i="13"/>
  <c r="C31" i="13"/>
  <c r="D31" i="13"/>
  <c r="E31" i="13"/>
  <c r="C32" i="13"/>
  <c r="D32" i="13"/>
  <c r="E32" i="13"/>
  <c r="C33" i="13"/>
  <c r="D33" i="13"/>
  <c r="E33" i="13"/>
  <c r="C34" i="13"/>
  <c r="D34" i="13"/>
  <c r="E34" i="13"/>
  <c r="C35" i="13"/>
  <c r="D35" i="13"/>
  <c r="E35" i="13"/>
  <c r="C36" i="13"/>
  <c r="D36" i="13"/>
  <c r="E36" i="13"/>
  <c r="C37" i="13"/>
  <c r="D37" i="13"/>
  <c r="E37" i="13"/>
  <c r="C38" i="13"/>
  <c r="D38" i="13"/>
  <c r="E38" i="13"/>
  <c r="C39" i="13"/>
  <c r="D39" i="13"/>
  <c r="E39" i="13"/>
  <c r="C40" i="13"/>
  <c r="D40" i="13"/>
  <c r="E40" i="13"/>
  <c r="C41" i="13"/>
  <c r="D41" i="13"/>
  <c r="E41" i="13"/>
  <c r="C42" i="13"/>
  <c r="D42" i="13"/>
  <c r="E42" i="13"/>
  <c r="C43" i="13"/>
  <c r="D43" i="13"/>
  <c r="E43" i="13"/>
  <c r="C44" i="13"/>
  <c r="D44" i="13"/>
  <c r="E44" i="13"/>
  <c r="C45" i="13"/>
  <c r="D45" i="13"/>
  <c r="E45" i="13"/>
  <c r="C46" i="13"/>
  <c r="D46" i="13"/>
  <c r="E46" i="13"/>
  <c r="C47" i="13"/>
  <c r="D47" i="13"/>
  <c r="E47" i="13"/>
  <c r="C48" i="13"/>
  <c r="D48" i="13"/>
  <c r="E48" i="13"/>
  <c r="C49" i="13"/>
  <c r="D49" i="13"/>
  <c r="E49" i="13"/>
  <c r="C50" i="13"/>
  <c r="D50" i="13"/>
  <c r="E50" i="13"/>
  <c r="C51" i="13"/>
  <c r="D51" i="13"/>
  <c r="E51" i="13"/>
  <c r="C52" i="13"/>
  <c r="D52" i="13"/>
  <c r="E52" i="13"/>
  <c r="C53" i="13"/>
  <c r="D53" i="13"/>
  <c r="E53" i="13"/>
  <c r="C54" i="13"/>
  <c r="D54" i="13"/>
  <c r="E54" i="13"/>
  <c r="C55" i="13"/>
  <c r="D55" i="13"/>
  <c r="E55" i="13"/>
  <c r="C56" i="13"/>
  <c r="D56" i="13"/>
  <c r="E56" i="13"/>
  <c r="C57" i="13"/>
  <c r="D57" i="13"/>
  <c r="E57" i="13"/>
  <c r="C58" i="13"/>
  <c r="D58" i="13"/>
  <c r="E58" i="13"/>
  <c r="C59" i="13"/>
  <c r="D59" i="13"/>
  <c r="E59" i="13"/>
  <c r="C60" i="13"/>
  <c r="D60" i="13"/>
  <c r="E60" i="13"/>
  <c r="C61" i="13"/>
  <c r="D61" i="13"/>
  <c r="E61" i="13"/>
  <c r="N8" i="13"/>
  <c r="M8" i="13"/>
  <c r="L8" i="13"/>
  <c r="K8" i="13"/>
  <c r="I8" i="13"/>
  <c r="G8" i="13"/>
  <c r="E8" i="13"/>
  <c r="D8" i="13"/>
  <c r="C8" i="13"/>
  <c r="C83" i="11"/>
  <c r="D83" i="11"/>
  <c r="E83" i="11"/>
  <c r="F83" i="11"/>
  <c r="G83" i="11"/>
  <c r="H83" i="11"/>
  <c r="I83" i="11"/>
  <c r="J83" i="11"/>
  <c r="K83" i="11"/>
  <c r="L83" i="11"/>
  <c r="M83" i="11"/>
  <c r="N83" i="11"/>
  <c r="C84" i="11"/>
  <c r="D84" i="11"/>
  <c r="E84" i="11"/>
  <c r="F84" i="11"/>
  <c r="G84" i="11"/>
  <c r="H84" i="11"/>
  <c r="I84" i="11"/>
  <c r="J84" i="11"/>
  <c r="K84" i="11"/>
  <c r="L84" i="11"/>
  <c r="M84" i="11"/>
  <c r="N84" i="11"/>
  <c r="C85" i="11"/>
  <c r="D85" i="11"/>
  <c r="E85" i="11"/>
  <c r="F85" i="11"/>
  <c r="G85" i="11"/>
  <c r="H85" i="11"/>
  <c r="I85" i="11"/>
  <c r="J85" i="11"/>
  <c r="K85" i="11"/>
  <c r="L85" i="11"/>
  <c r="M85" i="11"/>
  <c r="N85" i="11"/>
  <c r="C86" i="11"/>
  <c r="D86" i="11"/>
  <c r="E86" i="11"/>
  <c r="F86" i="11"/>
  <c r="G86" i="11"/>
  <c r="H86" i="11"/>
  <c r="I86" i="11"/>
  <c r="J86" i="11"/>
  <c r="K86" i="11"/>
  <c r="L86" i="11"/>
  <c r="M86" i="11"/>
  <c r="N86" i="11"/>
  <c r="C87" i="11"/>
  <c r="D87" i="11"/>
  <c r="E87" i="11"/>
  <c r="F87" i="11"/>
  <c r="G87" i="11"/>
  <c r="H87" i="11"/>
  <c r="I87" i="11"/>
  <c r="J87" i="11"/>
  <c r="K87" i="11"/>
  <c r="L87" i="11"/>
  <c r="M87" i="11"/>
  <c r="N87" i="11"/>
  <c r="C88" i="11"/>
  <c r="D88" i="11"/>
  <c r="E88" i="11"/>
  <c r="F88" i="11"/>
  <c r="G88" i="11"/>
  <c r="H88" i="11"/>
  <c r="I88" i="11"/>
  <c r="J88" i="11"/>
  <c r="K88" i="11"/>
  <c r="L88" i="11"/>
  <c r="M88" i="11"/>
  <c r="N88" i="11"/>
  <c r="C89" i="11"/>
  <c r="D89" i="11"/>
  <c r="E89" i="11"/>
  <c r="F89" i="11"/>
  <c r="G89" i="11"/>
  <c r="H89" i="11"/>
  <c r="I89" i="11"/>
  <c r="J89" i="11"/>
  <c r="K89" i="11"/>
  <c r="L89" i="11"/>
  <c r="M89" i="11"/>
  <c r="N89" i="11"/>
  <c r="C90" i="11"/>
  <c r="D90" i="11"/>
  <c r="E90" i="11"/>
  <c r="F90" i="11"/>
  <c r="G90" i="11"/>
  <c r="H90" i="11"/>
  <c r="I90" i="11"/>
  <c r="J90" i="11"/>
  <c r="K90" i="11"/>
  <c r="L90" i="11"/>
  <c r="M90" i="11"/>
  <c r="N90" i="11"/>
  <c r="C91" i="11"/>
  <c r="D91" i="11"/>
  <c r="E91" i="11"/>
  <c r="F91" i="11"/>
  <c r="G91" i="11"/>
  <c r="H91" i="11"/>
  <c r="I91" i="11"/>
  <c r="J91" i="11"/>
  <c r="K91" i="11"/>
  <c r="L91" i="11"/>
  <c r="M91" i="11"/>
  <c r="N91" i="11"/>
  <c r="C92" i="11"/>
  <c r="D92" i="11"/>
  <c r="E92" i="11"/>
  <c r="F92" i="11"/>
  <c r="G92" i="11"/>
  <c r="H92" i="11"/>
  <c r="I92" i="11"/>
  <c r="J92" i="11"/>
  <c r="K92" i="11"/>
  <c r="L92" i="11"/>
  <c r="M92" i="11"/>
  <c r="N92" i="11"/>
  <c r="N82" i="11"/>
  <c r="M82" i="11"/>
  <c r="L82" i="11"/>
  <c r="K82" i="11"/>
  <c r="J82" i="11"/>
  <c r="I82" i="11"/>
  <c r="H82" i="11"/>
  <c r="G82" i="11"/>
  <c r="F82" i="11"/>
  <c r="E82" i="11"/>
  <c r="D82" i="11"/>
  <c r="C82" i="11"/>
  <c r="C69" i="11"/>
  <c r="D69" i="11"/>
  <c r="E69" i="11"/>
  <c r="F69" i="11"/>
  <c r="G69" i="11"/>
  <c r="H69" i="11"/>
  <c r="I69" i="11"/>
  <c r="J69" i="11"/>
  <c r="K69" i="11"/>
  <c r="L69" i="11"/>
  <c r="M69" i="11"/>
  <c r="N69" i="11"/>
  <c r="C70" i="11"/>
  <c r="D70" i="11"/>
  <c r="E70" i="11"/>
  <c r="F70" i="11"/>
  <c r="G70" i="11"/>
  <c r="H70" i="11"/>
  <c r="I70" i="11"/>
  <c r="J70" i="11"/>
  <c r="K70" i="11"/>
  <c r="L70" i="11"/>
  <c r="M70" i="11"/>
  <c r="N70" i="11"/>
  <c r="C71" i="11"/>
  <c r="D71" i="11"/>
  <c r="E71" i="11"/>
  <c r="F71" i="11"/>
  <c r="G71" i="11"/>
  <c r="H71" i="11"/>
  <c r="I71" i="11"/>
  <c r="J71" i="11"/>
  <c r="K71" i="11"/>
  <c r="L71" i="11"/>
  <c r="M71" i="11"/>
  <c r="N71" i="11"/>
  <c r="C72" i="11"/>
  <c r="D72" i="11"/>
  <c r="E72" i="11"/>
  <c r="F72" i="11"/>
  <c r="G72" i="11"/>
  <c r="H72" i="11"/>
  <c r="I72" i="11"/>
  <c r="J72" i="11"/>
  <c r="K72" i="11"/>
  <c r="L72" i="11"/>
  <c r="M72" i="11"/>
  <c r="N72" i="11"/>
  <c r="C73" i="11"/>
  <c r="D73" i="11"/>
  <c r="E73" i="11"/>
  <c r="F73" i="11"/>
  <c r="G73" i="11"/>
  <c r="H73" i="11"/>
  <c r="I73" i="11"/>
  <c r="J73" i="11"/>
  <c r="K73" i="11"/>
  <c r="L73" i="11"/>
  <c r="M73" i="11"/>
  <c r="N73" i="11"/>
  <c r="C74" i="11"/>
  <c r="D74" i="11"/>
  <c r="E74" i="11"/>
  <c r="F74" i="11"/>
  <c r="G74" i="11"/>
  <c r="H74" i="11"/>
  <c r="I74" i="11"/>
  <c r="J74" i="11"/>
  <c r="K74" i="11"/>
  <c r="L74" i="11"/>
  <c r="M74" i="11"/>
  <c r="N74" i="11"/>
  <c r="C75" i="11"/>
  <c r="D75" i="11"/>
  <c r="E75" i="11"/>
  <c r="F75" i="11"/>
  <c r="G75" i="11"/>
  <c r="H75" i="11"/>
  <c r="I75" i="11"/>
  <c r="J75" i="11"/>
  <c r="K75" i="11"/>
  <c r="L75" i="11"/>
  <c r="M75" i="11"/>
  <c r="N75" i="11"/>
  <c r="C76" i="11"/>
  <c r="D76" i="11"/>
  <c r="E76" i="11"/>
  <c r="F76" i="11"/>
  <c r="G76" i="11"/>
  <c r="H76" i="11"/>
  <c r="I76" i="11"/>
  <c r="J76" i="11"/>
  <c r="K76" i="11"/>
  <c r="L76" i="11"/>
  <c r="M76" i="11"/>
  <c r="N76" i="11"/>
  <c r="C77" i="11"/>
  <c r="D77" i="11"/>
  <c r="E77" i="11"/>
  <c r="F77" i="11"/>
  <c r="G77" i="11"/>
  <c r="H77" i="11"/>
  <c r="I77" i="11"/>
  <c r="J77" i="11"/>
  <c r="K77" i="11"/>
  <c r="L77" i="11"/>
  <c r="M77" i="11"/>
  <c r="N77" i="11"/>
  <c r="C78" i="11"/>
  <c r="D78" i="11"/>
  <c r="E78" i="11"/>
  <c r="F78" i="11"/>
  <c r="G78" i="11"/>
  <c r="H78" i="11"/>
  <c r="I78" i="11"/>
  <c r="J78" i="11"/>
  <c r="K78" i="11"/>
  <c r="L78" i="11"/>
  <c r="M78" i="11"/>
  <c r="N78" i="11"/>
  <c r="C79" i="11"/>
  <c r="D79" i="11"/>
  <c r="E79" i="11"/>
  <c r="F79" i="11"/>
  <c r="G79" i="11"/>
  <c r="H79" i="11"/>
  <c r="I79" i="11"/>
  <c r="J79" i="11"/>
  <c r="K79" i="11"/>
  <c r="L79" i="11"/>
  <c r="M79" i="11"/>
  <c r="N79" i="11"/>
  <c r="N68" i="11"/>
  <c r="M68" i="11"/>
  <c r="L68" i="11"/>
  <c r="K68" i="11"/>
  <c r="J68" i="11"/>
  <c r="I68" i="11"/>
  <c r="H68" i="11"/>
  <c r="G68" i="11"/>
  <c r="F68" i="11"/>
  <c r="E68" i="11"/>
  <c r="D68" i="11"/>
  <c r="C68" i="11"/>
  <c r="D63" i="11"/>
  <c r="E63" i="11"/>
  <c r="F63" i="11"/>
  <c r="G63" i="11"/>
  <c r="H63" i="11"/>
  <c r="I63" i="11"/>
  <c r="J63" i="11"/>
  <c r="K63" i="11"/>
  <c r="L63" i="11"/>
  <c r="M63" i="11"/>
  <c r="N63" i="11"/>
  <c r="C64" i="11"/>
  <c r="D64" i="11"/>
  <c r="E64" i="11"/>
  <c r="F64" i="11"/>
  <c r="G64" i="11"/>
  <c r="H64" i="11"/>
  <c r="I64" i="11"/>
  <c r="J64" i="11"/>
  <c r="K64" i="11"/>
  <c r="L64" i="11"/>
  <c r="M64" i="11"/>
  <c r="N64" i="11"/>
  <c r="C65" i="11"/>
  <c r="D65" i="11"/>
  <c r="E65" i="11"/>
  <c r="F65" i="11"/>
  <c r="G65" i="11"/>
  <c r="H65" i="11"/>
  <c r="I65" i="11"/>
  <c r="J65" i="11"/>
  <c r="K65" i="11"/>
  <c r="L65" i="11"/>
  <c r="M65" i="11"/>
  <c r="N65" i="11"/>
  <c r="N62" i="11"/>
  <c r="M62" i="11"/>
  <c r="L62" i="11"/>
  <c r="K62" i="11"/>
  <c r="J62" i="11"/>
  <c r="I62" i="11"/>
  <c r="H62" i="11"/>
  <c r="G62" i="11"/>
  <c r="F62" i="11"/>
  <c r="E62" i="11"/>
  <c r="D62" i="11"/>
  <c r="C62" i="11"/>
  <c r="C64" i="9"/>
  <c r="C9" i="11"/>
  <c r="D9" i="11"/>
  <c r="E9" i="11"/>
  <c r="F9" i="11"/>
  <c r="G9" i="11"/>
  <c r="H9" i="11"/>
  <c r="I9" i="11"/>
  <c r="J9" i="11"/>
  <c r="K9" i="11"/>
  <c r="L9" i="11"/>
  <c r="M9" i="11"/>
  <c r="N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C14" i="11"/>
  <c r="D14" i="11"/>
  <c r="E14" i="11"/>
  <c r="F14" i="11"/>
  <c r="G14" i="11"/>
  <c r="H14" i="11"/>
  <c r="I14" i="11"/>
  <c r="J14" i="11"/>
  <c r="K14" i="11"/>
  <c r="L14" i="11"/>
  <c r="M14" i="11"/>
  <c r="N14" i="11"/>
  <c r="C15" i="11"/>
  <c r="D15" i="11"/>
  <c r="E15" i="11"/>
  <c r="F15" i="11"/>
  <c r="G15" i="11"/>
  <c r="H15" i="11"/>
  <c r="I15" i="11"/>
  <c r="J15" i="11"/>
  <c r="K15" i="11"/>
  <c r="L15" i="11"/>
  <c r="M15" i="11"/>
  <c r="N15" i="11"/>
  <c r="C16" i="11"/>
  <c r="D16" i="11"/>
  <c r="E16" i="11"/>
  <c r="F16" i="11"/>
  <c r="G16" i="11"/>
  <c r="H16" i="11"/>
  <c r="I16" i="11"/>
  <c r="J16" i="11"/>
  <c r="K16" i="11"/>
  <c r="L16" i="11"/>
  <c r="M16" i="11"/>
  <c r="N16" i="11"/>
  <c r="C17" i="11"/>
  <c r="D17" i="11"/>
  <c r="E17" i="11"/>
  <c r="F17" i="11"/>
  <c r="G17" i="11"/>
  <c r="H17" i="11"/>
  <c r="I17" i="11"/>
  <c r="J17" i="11"/>
  <c r="K17" i="11"/>
  <c r="L17" i="11"/>
  <c r="M17" i="11"/>
  <c r="N17" i="11"/>
  <c r="C18" i="11"/>
  <c r="D18" i="11"/>
  <c r="E18" i="11"/>
  <c r="F18" i="11"/>
  <c r="G18" i="11"/>
  <c r="H18" i="11"/>
  <c r="I18" i="11"/>
  <c r="J18" i="11"/>
  <c r="K18" i="11"/>
  <c r="L18" i="11"/>
  <c r="M18" i="11"/>
  <c r="N18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C37" i="11"/>
  <c r="D37" i="11"/>
  <c r="E37" i="11"/>
  <c r="F37" i="11"/>
  <c r="G37" i="11"/>
  <c r="H37" i="11"/>
  <c r="I37" i="11"/>
  <c r="J37" i="11"/>
  <c r="K37" i="11"/>
  <c r="L37" i="11"/>
  <c r="M37" i="11"/>
  <c r="N37" i="11"/>
  <c r="C38" i="11"/>
  <c r="D38" i="11"/>
  <c r="E38" i="11"/>
  <c r="F38" i="11"/>
  <c r="G38" i="11"/>
  <c r="H38" i="11"/>
  <c r="I38" i="11"/>
  <c r="J38" i="11"/>
  <c r="K38" i="11"/>
  <c r="L38" i="11"/>
  <c r="M38" i="11"/>
  <c r="N38" i="11"/>
  <c r="C39" i="11"/>
  <c r="D39" i="11"/>
  <c r="E39" i="11"/>
  <c r="F39" i="11"/>
  <c r="G39" i="11"/>
  <c r="H39" i="11"/>
  <c r="I39" i="11"/>
  <c r="J39" i="11"/>
  <c r="K39" i="11"/>
  <c r="L39" i="11"/>
  <c r="M39" i="11"/>
  <c r="N39" i="11"/>
  <c r="C40" i="11"/>
  <c r="D40" i="11"/>
  <c r="E40" i="11"/>
  <c r="F40" i="11"/>
  <c r="G40" i="11"/>
  <c r="H40" i="11"/>
  <c r="I40" i="11"/>
  <c r="J40" i="11"/>
  <c r="K40" i="11"/>
  <c r="L40" i="11"/>
  <c r="M40" i="11"/>
  <c r="N40" i="11"/>
  <c r="C41" i="11"/>
  <c r="D41" i="11"/>
  <c r="E41" i="11"/>
  <c r="F41" i="11"/>
  <c r="G41" i="11"/>
  <c r="H41" i="11"/>
  <c r="I41" i="11"/>
  <c r="J41" i="11"/>
  <c r="K41" i="11"/>
  <c r="L41" i="11"/>
  <c r="M41" i="11"/>
  <c r="N41" i="11"/>
  <c r="C42" i="11"/>
  <c r="D42" i="11"/>
  <c r="E42" i="11"/>
  <c r="F42" i="11"/>
  <c r="G42" i="11"/>
  <c r="H42" i="11"/>
  <c r="I42" i="11"/>
  <c r="J42" i="11"/>
  <c r="K42" i="11"/>
  <c r="L42" i="11"/>
  <c r="M42" i="11"/>
  <c r="N42" i="11"/>
  <c r="C43" i="11"/>
  <c r="D43" i="11"/>
  <c r="E43" i="11"/>
  <c r="F43" i="11"/>
  <c r="G43" i="11"/>
  <c r="H43" i="11"/>
  <c r="I43" i="11"/>
  <c r="J43" i="11"/>
  <c r="K43" i="11"/>
  <c r="L43" i="11"/>
  <c r="M43" i="11"/>
  <c r="N43" i="11"/>
  <c r="C44" i="11"/>
  <c r="D44" i="11"/>
  <c r="E44" i="11"/>
  <c r="F44" i="11"/>
  <c r="G44" i="11"/>
  <c r="H44" i="11"/>
  <c r="I44" i="11"/>
  <c r="J44" i="11"/>
  <c r="K44" i="11"/>
  <c r="L44" i="11"/>
  <c r="M44" i="11"/>
  <c r="N44" i="11"/>
  <c r="C45" i="11"/>
  <c r="D45" i="11"/>
  <c r="E45" i="11"/>
  <c r="F45" i="11"/>
  <c r="G45" i="11"/>
  <c r="H45" i="11"/>
  <c r="I45" i="11"/>
  <c r="J45" i="11"/>
  <c r="K45" i="11"/>
  <c r="L45" i="11"/>
  <c r="M45" i="11"/>
  <c r="N45" i="11"/>
  <c r="C46" i="11"/>
  <c r="D46" i="11"/>
  <c r="E46" i="11"/>
  <c r="F46" i="11"/>
  <c r="G46" i="11"/>
  <c r="H46" i="11"/>
  <c r="I46" i="11"/>
  <c r="J46" i="11"/>
  <c r="K46" i="11"/>
  <c r="L46" i="11"/>
  <c r="M46" i="11"/>
  <c r="N46" i="11"/>
  <c r="C47" i="11"/>
  <c r="D47" i="11"/>
  <c r="E47" i="11"/>
  <c r="F47" i="11"/>
  <c r="G47" i="11"/>
  <c r="H47" i="11"/>
  <c r="I47" i="11"/>
  <c r="J47" i="11"/>
  <c r="K47" i="11"/>
  <c r="L47" i="11"/>
  <c r="M47" i="11"/>
  <c r="N47" i="11"/>
  <c r="C48" i="11"/>
  <c r="D48" i="11"/>
  <c r="E48" i="11"/>
  <c r="F48" i="11"/>
  <c r="G48" i="11"/>
  <c r="H48" i="11"/>
  <c r="I48" i="11"/>
  <c r="J48" i="11"/>
  <c r="K48" i="11"/>
  <c r="L48" i="11"/>
  <c r="M48" i="11"/>
  <c r="N48" i="11"/>
  <c r="C49" i="11"/>
  <c r="D49" i="11"/>
  <c r="E49" i="11"/>
  <c r="F49" i="11"/>
  <c r="G49" i="11"/>
  <c r="H49" i="11"/>
  <c r="I49" i="11"/>
  <c r="J49" i="11"/>
  <c r="K49" i="11"/>
  <c r="L49" i="11"/>
  <c r="M49" i="11"/>
  <c r="N49" i="11"/>
  <c r="C50" i="11"/>
  <c r="D50" i="11"/>
  <c r="E50" i="11"/>
  <c r="F50" i="11"/>
  <c r="G50" i="11"/>
  <c r="H50" i="11"/>
  <c r="I50" i="11"/>
  <c r="J50" i="11"/>
  <c r="K50" i="11"/>
  <c r="L50" i="11"/>
  <c r="M50" i="11"/>
  <c r="N50" i="11"/>
  <c r="C51" i="11"/>
  <c r="D51" i="11"/>
  <c r="E51" i="11"/>
  <c r="F51" i="11"/>
  <c r="G51" i="11"/>
  <c r="H51" i="11"/>
  <c r="I51" i="11"/>
  <c r="J51" i="11"/>
  <c r="K51" i="11"/>
  <c r="L51" i="11"/>
  <c r="M51" i="11"/>
  <c r="N51" i="11"/>
  <c r="C52" i="11"/>
  <c r="D52" i="11"/>
  <c r="E52" i="11"/>
  <c r="F52" i="11"/>
  <c r="G52" i="11"/>
  <c r="H52" i="11"/>
  <c r="I52" i="11"/>
  <c r="J52" i="11"/>
  <c r="K52" i="11"/>
  <c r="L52" i="11"/>
  <c r="M52" i="11"/>
  <c r="N52" i="11"/>
  <c r="C53" i="11"/>
  <c r="D53" i="11"/>
  <c r="E53" i="11"/>
  <c r="F53" i="11"/>
  <c r="G53" i="11"/>
  <c r="H53" i="11"/>
  <c r="I53" i="11"/>
  <c r="J53" i="11"/>
  <c r="K53" i="11"/>
  <c r="L53" i="11"/>
  <c r="M53" i="11"/>
  <c r="N53" i="11"/>
  <c r="C54" i="11"/>
  <c r="D54" i="11"/>
  <c r="E54" i="11"/>
  <c r="F54" i="11"/>
  <c r="G54" i="11"/>
  <c r="H54" i="11"/>
  <c r="I54" i="11"/>
  <c r="J54" i="11"/>
  <c r="K54" i="11"/>
  <c r="L54" i="11"/>
  <c r="M54" i="11"/>
  <c r="N54" i="11"/>
  <c r="C55" i="11"/>
  <c r="D55" i="11"/>
  <c r="E55" i="11"/>
  <c r="F55" i="11"/>
  <c r="G55" i="11"/>
  <c r="H55" i="11"/>
  <c r="I55" i="11"/>
  <c r="J55" i="11"/>
  <c r="K55" i="11"/>
  <c r="L55" i="11"/>
  <c r="M55" i="11"/>
  <c r="N55" i="11"/>
  <c r="C56" i="11"/>
  <c r="D56" i="11"/>
  <c r="E56" i="11"/>
  <c r="F56" i="11"/>
  <c r="G56" i="11"/>
  <c r="H56" i="11"/>
  <c r="I56" i="11"/>
  <c r="J56" i="11"/>
  <c r="K56" i="11"/>
  <c r="L56" i="11"/>
  <c r="M56" i="11"/>
  <c r="N56" i="11"/>
  <c r="C57" i="11"/>
  <c r="D57" i="11"/>
  <c r="E57" i="11"/>
  <c r="F57" i="11"/>
  <c r="G57" i="11"/>
  <c r="H57" i="11"/>
  <c r="I57" i="11"/>
  <c r="J57" i="11"/>
  <c r="K57" i="11"/>
  <c r="L57" i="11"/>
  <c r="M57" i="11"/>
  <c r="N57" i="11"/>
  <c r="C58" i="11"/>
  <c r="D58" i="11"/>
  <c r="E58" i="11"/>
  <c r="F58" i="11"/>
  <c r="G58" i="11"/>
  <c r="H58" i="11"/>
  <c r="I58" i="11"/>
  <c r="J58" i="11"/>
  <c r="K58" i="11"/>
  <c r="L58" i="11"/>
  <c r="M58" i="11"/>
  <c r="N58" i="11"/>
  <c r="C59" i="11"/>
  <c r="D59" i="11"/>
  <c r="E59" i="11"/>
  <c r="F59" i="11"/>
  <c r="G59" i="11"/>
  <c r="H59" i="11"/>
  <c r="I59" i="11"/>
  <c r="J59" i="11"/>
  <c r="K59" i="11"/>
  <c r="L59" i="11"/>
  <c r="M59" i="11"/>
  <c r="N59" i="11"/>
  <c r="C60" i="11"/>
  <c r="D60" i="11"/>
  <c r="E60" i="11"/>
  <c r="F60" i="11"/>
  <c r="G60" i="11"/>
  <c r="H60" i="11"/>
  <c r="I60" i="11"/>
  <c r="J60" i="11"/>
  <c r="K60" i="11"/>
  <c r="L60" i="11"/>
  <c r="M60" i="11"/>
  <c r="N60" i="11"/>
  <c r="C61" i="11"/>
  <c r="D61" i="11"/>
  <c r="E61" i="11"/>
  <c r="F61" i="11"/>
  <c r="G61" i="11"/>
  <c r="H61" i="11"/>
  <c r="I61" i="11"/>
  <c r="J61" i="11"/>
  <c r="K61" i="11"/>
  <c r="L61" i="11"/>
  <c r="M61" i="11"/>
  <c r="N61" i="11"/>
  <c r="N8" i="11"/>
  <c r="M8" i="11"/>
  <c r="L8" i="11"/>
  <c r="K8" i="11"/>
  <c r="J8" i="11"/>
  <c r="I8" i="11"/>
  <c r="H8" i="11"/>
  <c r="G8" i="11"/>
  <c r="F8" i="11"/>
  <c r="E8" i="11"/>
  <c r="D8" i="11"/>
  <c r="C8" i="11"/>
  <c r="C83" i="9"/>
  <c r="D83" i="9"/>
  <c r="E83" i="9"/>
  <c r="F83" i="9"/>
  <c r="G83" i="9"/>
  <c r="H83" i="9"/>
  <c r="I83" i="9"/>
  <c r="J83" i="9"/>
  <c r="K83" i="9"/>
  <c r="L83" i="9"/>
  <c r="C84" i="9"/>
  <c r="D84" i="9"/>
  <c r="E84" i="9"/>
  <c r="F84" i="9"/>
  <c r="G84" i="9"/>
  <c r="H84" i="9"/>
  <c r="I84" i="9"/>
  <c r="J84" i="9"/>
  <c r="K84" i="9"/>
  <c r="L84" i="9"/>
  <c r="C85" i="9"/>
  <c r="D85" i="9"/>
  <c r="E85" i="9"/>
  <c r="F85" i="9"/>
  <c r="G85" i="9"/>
  <c r="H85" i="9"/>
  <c r="I85" i="9"/>
  <c r="J85" i="9"/>
  <c r="K85" i="9"/>
  <c r="L85" i="9"/>
  <c r="C86" i="9"/>
  <c r="D86" i="9"/>
  <c r="E86" i="9"/>
  <c r="F86" i="9"/>
  <c r="G86" i="9"/>
  <c r="H86" i="9"/>
  <c r="I86" i="9"/>
  <c r="J86" i="9"/>
  <c r="K86" i="9"/>
  <c r="L86" i="9"/>
  <c r="C87" i="9"/>
  <c r="D87" i="9"/>
  <c r="E87" i="9"/>
  <c r="F87" i="9"/>
  <c r="G87" i="9"/>
  <c r="H87" i="9"/>
  <c r="I87" i="9"/>
  <c r="J87" i="9"/>
  <c r="K87" i="9"/>
  <c r="L87" i="9"/>
  <c r="C88" i="9"/>
  <c r="D88" i="9"/>
  <c r="E88" i="9"/>
  <c r="F88" i="9"/>
  <c r="G88" i="9"/>
  <c r="H88" i="9"/>
  <c r="I88" i="9"/>
  <c r="J88" i="9"/>
  <c r="K88" i="9"/>
  <c r="L88" i="9"/>
  <c r="C89" i="9"/>
  <c r="D89" i="9"/>
  <c r="E89" i="9"/>
  <c r="F89" i="9"/>
  <c r="G89" i="9"/>
  <c r="H89" i="9"/>
  <c r="I89" i="9"/>
  <c r="J89" i="9"/>
  <c r="K89" i="9"/>
  <c r="L89" i="9"/>
  <c r="C90" i="9"/>
  <c r="D90" i="9"/>
  <c r="E90" i="9"/>
  <c r="F90" i="9"/>
  <c r="G90" i="9"/>
  <c r="H90" i="9"/>
  <c r="I90" i="9"/>
  <c r="J90" i="9"/>
  <c r="K90" i="9"/>
  <c r="L90" i="9"/>
  <c r="C91" i="9"/>
  <c r="D91" i="9"/>
  <c r="E91" i="9"/>
  <c r="F91" i="9"/>
  <c r="G91" i="9"/>
  <c r="H91" i="9"/>
  <c r="I91" i="9"/>
  <c r="J91" i="9"/>
  <c r="K91" i="9"/>
  <c r="L91" i="9"/>
  <c r="C92" i="9"/>
  <c r="D92" i="9"/>
  <c r="E92" i="9"/>
  <c r="F92" i="9"/>
  <c r="G92" i="9"/>
  <c r="H92" i="9"/>
  <c r="I92" i="9"/>
  <c r="J92" i="9"/>
  <c r="K92" i="9"/>
  <c r="L92" i="9"/>
  <c r="L82" i="9"/>
  <c r="K82" i="9"/>
  <c r="J82" i="9"/>
  <c r="I82" i="9"/>
  <c r="H82" i="9"/>
  <c r="G82" i="9"/>
  <c r="F82" i="9"/>
  <c r="E82" i="9"/>
  <c r="D82" i="9"/>
  <c r="C82" i="9"/>
  <c r="C69" i="9"/>
  <c r="D69" i="9"/>
  <c r="E69" i="9"/>
  <c r="F69" i="9"/>
  <c r="G69" i="9"/>
  <c r="H69" i="9"/>
  <c r="I69" i="9"/>
  <c r="J69" i="9"/>
  <c r="K69" i="9"/>
  <c r="L69" i="9"/>
  <c r="C70" i="9"/>
  <c r="D70" i="9"/>
  <c r="E70" i="9"/>
  <c r="F70" i="9"/>
  <c r="G70" i="9"/>
  <c r="H70" i="9"/>
  <c r="I70" i="9"/>
  <c r="J70" i="9"/>
  <c r="K70" i="9"/>
  <c r="L70" i="9"/>
  <c r="C71" i="9"/>
  <c r="D71" i="9"/>
  <c r="E71" i="9"/>
  <c r="F71" i="9"/>
  <c r="G71" i="9"/>
  <c r="H71" i="9"/>
  <c r="I71" i="9"/>
  <c r="J71" i="9"/>
  <c r="K71" i="9"/>
  <c r="L71" i="9"/>
  <c r="C72" i="9"/>
  <c r="D72" i="9"/>
  <c r="E72" i="9"/>
  <c r="F72" i="9"/>
  <c r="G72" i="9"/>
  <c r="H72" i="9"/>
  <c r="I72" i="9"/>
  <c r="J72" i="9"/>
  <c r="K72" i="9"/>
  <c r="L72" i="9"/>
  <c r="C73" i="9"/>
  <c r="D73" i="9"/>
  <c r="E73" i="9"/>
  <c r="F73" i="9"/>
  <c r="G73" i="9"/>
  <c r="H73" i="9"/>
  <c r="I73" i="9"/>
  <c r="J73" i="9"/>
  <c r="K73" i="9"/>
  <c r="L73" i="9"/>
  <c r="C74" i="9"/>
  <c r="D74" i="9"/>
  <c r="E74" i="9"/>
  <c r="F74" i="9"/>
  <c r="G74" i="9"/>
  <c r="H74" i="9"/>
  <c r="I74" i="9"/>
  <c r="J74" i="9"/>
  <c r="K74" i="9"/>
  <c r="L74" i="9"/>
  <c r="C75" i="9"/>
  <c r="D75" i="9"/>
  <c r="E75" i="9"/>
  <c r="F75" i="9"/>
  <c r="G75" i="9"/>
  <c r="H75" i="9"/>
  <c r="I75" i="9"/>
  <c r="J75" i="9"/>
  <c r="K75" i="9"/>
  <c r="L75" i="9"/>
  <c r="C76" i="9"/>
  <c r="D76" i="9"/>
  <c r="E76" i="9"/>
  <c r="F76" i="9"/>
  <c r="G76" i="9"/>
  <c r="H76" i="9"/>
  <c r="I76" i="9"/>
  <c r="J76" i="9"/>
  <c r="K76" i="9"/>
  <c r="L76" i="9"/>
  <c r="C77" i="9"/>
  <c r="D77" i="9"/>
  <c r="E77" i="9"/>
  <c r="F77" i="9"/>
  <c r="G77" i="9"/>
  <c r="H77" i="9"/>
  <c r="I77" i="9"/>
  <c r="J77" i="9"/>
  <c r="K77" i="9"/>
  <c r="L77" i="9"/>
  <c r="C78" i="9"/>
  <c r="D78" i="9"/>
  <c r="E78" i="9"/>
  <c r="F78" i="9"/>
  <c r="G78" i="9"/>
  <c r="H78" i="9"/>
  <c r="I78" i="9"/>
  <c r="J78" i="9"/>
  <c r="K78" i="9"/>
  <c r="L78" i="9"/>
  <c r="C79" i="9"/>
  <c r="D79" i="9"/>
  <c r="E79" i="9"/>
  <c r="F79" i="9"/>
  <c r="G79" i="9"/>
  <c r="H79" i="9"/>
  <c r="I79" i="9"/>
  <c r="J79" i="9"/>
  <c r="K79" i="9"/>
  <c r="L79" i="9"/>
  <c r="L68" i="9"/>
  <c r="K68" i="9"/>
  <c r="J68" i="9"/>
  <c r="I68" i="9"/>
  <c r="H68" i="9"/>
  <c r="G68" i="9"/>
  <c r="F68" i="9"/>
  <c r="E68" i="9"/>
  <c r="D68" i="9"/>
  <c r="C68" i="9"/>
  <c r="C63" i="9"/>
  <c r="D63" i="9"/>
  <c r="E63" i="9"/>
  <c r="F63" i="9"/>
  <c r="G63" i="9"/>
  <c r="H63" i="9"/>
  <c r="I63" i="9"/>
  <c r="J63" i="9"/>
  <c r="K63" i="9"/>
  <c r="L63" i="9"/>
  <c r="D64" i="9"/>
  <c r="E64" i="9"/>
  <c r="F64" i="9"/>
  <c r="G64" i="9"/>
  <c r="H64" i="9"/>
  <c r="I64" i="9"/>
  <c r="J64" i="9"/>
  <c r="K64" i="9"/>
  <c r="L64" i="9"/>
  <c r="C65" i="9"/>
  <c r="D65" i="9"/>
  <c r="E65" i="9"/>
  <c r="F65" i="9"/>
  <c r="G65" i="9"/>
  <c r="H65" i="9"/>
  <c r="I65" i="9"/>
  <c r="J65" i="9"/>
  <c r="K65" i="9"/>
  <c r="L65" i="9"/>
  <c r="L62" i="9"/>
  <c r="K62" i="9"/>
  <c r="J62" i="9"/>
  <c r="I62" i="9"/>
  <c r="H62" i="9"/>
  <c r="G62" i="9"/>
  <c r="F62" i="9"/>
  <c r="E62" i="9"/>
  <c r="D62" i="9"/>
  <c r="C62" i="9"/>
  <c r="C64" i="8"/>
  <c r="C9" i="9"/>
  <c r="D9" i="9"/>
  <c r="E9" i="9"/>
  <c r="F9" i="9"/>
  <c r="G9" i="9"/>
  <c r="H9" i="9"/>
  <c r="I9" i="9"/>
  <c r="J9" i="9"/>
  <c r="K9" i="9"/>
  <c r="L9" i="9"/>
  <c r="C10" i="9"/>
  <c r="D10" i="9"/>
  <c r="E10" i="9"/>
  <c r="F10" i="9"/>
  <c r="G10" i="9"/>
  <c r="H10" i="9"/>
  <c r="I10" i="9"/>
  <c r="J10" i="9"/>
  <c r="K10" i="9"/>
  <c r="L10" i="9"/>
  <c r="C11" i="9"/>
  <c r="D11" i="9"/>
  <c r="E11" i="9"/>
  <c r="F11" i="9"/>
  <c r="G11" i="9"/>
  <c r="H11" i="9"/>
  <c r="I11" i="9"/>
  <c r="J11" i="9"/>
  <c r="K11" i="9"/>
  <c r="L11" i="9"/>
  <c r="C12" i="9"/>
  <c r="D12" i="9"/>
  <c r="E12" i="9"/>
  <c r="F12" i="9"/>
  <c r="G12" i="9"/>
  <c r="H12" i="9"/>
  <c r="I12" i="9"/>
  <c r="J12" i="9"/>
  <c r="K12" i="9"/>
  <c r="L12" i="9"/>
  <c r="C13" i="9"/>
  <c r="D13" i="9"/>
  <c r="E13" i="9"/>
  <c r="F13" i="9"/>
  <c r="G13" i="9"/>
  <c r="H13" i="9"/>
  <c r="I13" i="9"/>
  <c r="J13" i="9"/>
  <c r="K13" i="9"/>
  <c r="L13" i="9"/>
  <c r="C14" i="9"/>
  <c r="D14" i="9"/>
  <c r="E14" i="9"/>
  <c r="F14" i="9"/>
  <c r="G14" i="9"/>
  <c r="H14" i="9"/>
  <c r="I14" i="9"/>
  <c r="J14" i="9"/>
  <c r="K14" i="9"/>
  <c r="L14" i="9"/>
  <c r="C15" i="9"/>
  <c r="D15" i="9"/>
  <c r="E15" i="9"/>
  <c r="F15" i="9"/>
  <c r="G15" i="9"/>
  <c r="H15" i="9"/>
  <c r="I15" i="9"/>
  <c r="J15" i="9"/>
  <c r="K15" i="9"/>
  <c r="L15" i="9"/>
  <c r="C16" i="9"/>
  <c r="D16" i="9"/>
  <c r="E16" i="9"/>
  <c r="F16" i="9"/>
  <c r="G16" i="9"/>
  <c r="H16" i="9"/>
  <c r="I16" i="9"/>
  <c r="J16" i="9"/>
  <c r="K16" i="9"/>
  <c r="L16" i="9"/>
  <c r="C17" i="9"/>
  <c r="D17" i="9"/>
  <c r="E17" i="9"/>
  <c r="F17" i="9"/>
  <c r="G17" i="9"/>
  <c r="H17" i="9"/>
  <c r="I17" i="9"/>
  <c r="J17" i="9"/>
  <c r="K17" i="9"/>
  <c r="L17" i="9"/>
  <c r="C18" i="9"/>
  <c r="D18" i="9"/>
  <c r="E18" i="9"/>
  <c r="F18" i="9"/>
  <c r="G18" i="9"/>
  <c r="H18" i="9"/>
  <c r="I18" i="9"/>
  <c r="J18" i="9"/>
  <c r="K18" i="9"/>
  <c r="L18" i="9"/>
  <c r="C19" i="9"/>
  <c r="D19" i="9"/>
  <c r="E19" i="9"/>
  <c r="F19" i="9"/>
  <c r="G19" i="9"/>
  <c r="H19" i="9"/>
  <c r="I19" i="9"/>
  <c r="J19" i="9"/>
  <c r="K19" i="9"/>
  <c r="L19" i="9"/>
  <c r="C20" i="9"/>
  <c r="D20" i="9"/>
  <c r="E20" i="9"/>
  <c r="F20" i="9"/>
  <c r="G20" i="9"/>
  <c r="H20" i="9"/>
  <c r="I20" i="9"/>
  <c r="J20" i="9"/>
  <c r="K20" i="9"/>
  <c r="L20" i="9"/>
  <c r="C21" i="9"/>
  <c r="D21" i="9"/>
  <c r="E21" i="9"/>
  <c r="F21" i="9"/>
  <c r="G21" i="9"/>
  <c r="H21" i="9"/>
  <c r="I21" i="9"/>
  <c r="J21" i="9"/>
  <c r="K21" i="9"/>
  <c r="L21" i="9"/>
  <c r="C22" i="9"/>
  <c r="D22" i="9"/>
  <c r="E22" i="9"/>
  <c r="F22" i="9"/>
  <c r="G22" i="9"/>
  <c r="H22" i="9"/>
  <c r="I22" i="9"/>
  <c r="J22" i="9"/>
  <c r="K22" i="9"/>
  <c r="L22" i="9"/>
  <c r="C23" i="9"/>
  <c r="D23" i="9"/>
  <c r="E23" i="9"/>
  <c r="F23" i="9"/>
  <c r="G23" i="9"/>
  <c r="H23" i="9"/>
  <c r="I23" i="9"/>
  <c r="J23" i="9"/>
  <c r="K23" i="9"/>
  <c r="L23" i="9"/>
  <c r="C24" i="9"/>
  <c r="D24" i="9"/>
  <c r="E24" i="9"/>
  <c r="F24" i="9"/>
  <c r="G24" i="9"/>
  <c r="H24" i="9"/>
  <c r="I24" i="9"/>
  <c r="J24" i="9"/>
  <c r="K24" i="9"/>
  <c r="L24" i="9"/>
  <c r="C25" i="9"/>
  <c r="D25" i="9"/>
  <c r="E25" i="9"/>
  <c r="F25" i="9"/>
  <c r="G25" i="9"/>
  <c r="H25" i="9"/>
  <c r="I25" i="9"/>
  <c r="J25" i="9"/>
  <c r="K25" i="9"/>
  <c r="L25" i="9"/>
  <c r="C26" i="9"/>
  <c r="D26" i="9"/>
  <c r="E26" i="9"/>
  <c r="F26" i="9"/>
  <c r="G26" i="9"/>
  <c r="H26" i="9"/>
  <c r="I26" i="9"/>
  <c r="J26" i="9"/>
  <c r="K26" i="9"/>
  <c r="L26" i="9"/>
  <c r="C27" i="9"/>
  <c r="D27" i="9"/>
  <c r="E27" i="9"/>
  <c r="F27" i="9"/>
  <c r="G27" i="9"/>
  <c r="H27" i="9"/>
  <c r="I27" i="9"/>
  <c r="J27" i="9"/>
  <c r="K27" i="9"/>
  <c r="L27" i="9"/>
  <c r="C28" i="9"/>
  <c r="D28" i="9"/>
  <c r="E28" i="9"/>
  <c r="F28" i="9"/>
  <c r="G28" i="9"/>
  <c r="H28" i="9"/>
  <c r="I28" i="9"/>
  <c r="J28" i="9"/>
  <c r="K28" i="9"/>
  <c r="L28" i="9"/>
  <c r="C29" i="9"/>
  <c r="D29" i="9"/>
  <c r="E29" i="9"/>
  <c r="F29" i="9"/>
  <c r="G29" i="9"/>
  <c r="H29" i="9"/>
  <c r="I29" i="9"/>
  <c r="J29" i="9"/>
  <c r="K29" i="9"/>
  <c r="L29" i="9"/>
  <c r="C30" i="9"/>
  <c r="D30" i="9"/>
  <c r="E30" i="9"/>
  <c r="F30" i="9"/>
  <c r="G30" i="9"/>
  <c r="H30" i="9"/>
  <c r="I30" i="9"/>
  <c r="J30" i="9"/>
  <c r="K30" i="9"/>
  <c r="L30" i="9"/>
  <c r="C31" i="9"/>
  <c r="D31" i="9"/>
  <c r="E31" i="9"/>
  <c r="F31" i="9"/>
  <c r="G31" i="9"/>
  <c r="H31" i="9"/>
  <c r="I31" i="9"/>
  <c r="J31" i="9"/>
  <c r="K31" i="9"/>
  <c r="L31" i="9"/>
  <c r="C32" i="9"/>
  <c r="D32" i="9"/>
  <c r="E32" i="9"/>
  <c r="F32" i="9"/>
  <c r="G32" i="9"/>
  <c r="H32" i="9"/>
  <c r="I32" i="9"/>
  <c r="J32" i="9"/>
  <c r="K32" i="9"/>
  <c r="L32" i="9"/>
  <c r="C33" i="9"/>
  <c r="D33" i="9"/>
  <c r="E33" i="9"/>
  <c r="F33" i="9"/>
  <c r="G33" i="9"/>
  <c r="H33" i="9"/>
  <c r="I33" i="9"/>
  <c r="J33" i="9"/>
  <c r="K33" i="9"/>
  <c r="L33" i="9"/>
  <c r="C34" i="9"/>
  <c r="D34" i="9"/>
  <c r="E34" i="9"/>
  <c r="F34" i="9"/>
  <c r="G34" i="9"/>
  <c r="H34" i="9"/>
  <c r="I34" i="9"/>
  <c r="J34" i="9"/>
  <c r="K34" i="9"/>
  <c r="L34" i="9"/>
  <c r="C35" i="9"/>
  <c r="D35" i="9"/>
  <c r="E35" i="9"/>
  <c r="F35" i="9"/>
  <c r="G35" i="9"/>
  <c r="H35" i="9"/>
  <c r="I35" i="9"/>
  <c r="J35" i="9"/>
  <c r="K35" i="9"/>
  <c r="L35" i="9"/>
  <c r="C36" i="9"/>
  <c r="D36" i="9"/>
  <c r="E36" i="9"/>
  <c r="F36" i="9"/>
  <c r="G36" i="9"/>
  <c r="H36" i="9"/>
  <c r="I36" i="9"/>
  <c r="J36" i="9"/>
  <c r="K36" i="9"/>
  <c r="L36" i="9"/>
  <c r="C37" i="9"/>
  <c r="D37" i="9"/>
  <c r="E37" i="9"/>
  <c r="F37" i="9"/>
  <c r="G37" i="9"/>
  <c r="H37" i="9"/>
  <c r="I37" i="9"/>
  <c r="J37" i="9"/>
  <c r="K37" i="9"/>
  <c r="L37" i="9"/>
  <c r="C38" i="9"/>
  <c r="D38" i="9"/>
  <c r="E38" i="9"/>
  <c r="F38" i="9"/>
  <c r="G38" i="9"/>
  <c r="H38" i="9"/>
  <c r="I38" i="9"/>
  <c r="J38" i="9"/>
  <c r="K38" i="9"/>
  <c r="L38" i="9"/>
  <c r="C39" i="9"/>
  <c r="D39" i="9"/>
  <c r="E39" i="9"/>
  <c r="F39" i="9"/>
  <c r="G39" i="9"/>
  <c r="H39" i="9"/>
  <c r="I39" i="9"/>
  <c r="J39" i="9"/>
  <c r="K39" i="9"/>
  <c r="L39" i="9"/>
  <c r="C40" i="9"/>
  <c r="D40" i="9"/>
  <c r="E40" i="9"/>
  <c r="F40" i="9"/>
  <c r="G40" i="9"/>
  <c r="H40" i="9"/>
  <c r="I40" i="9"/>
  <c r="J40" i="9"/>
  <c r="K40" i="9"/>
  <c r="L40" i="9"/>
  <c r="C41" i="9"/>
  <c r="D41" i="9"/>
  <c r="E41" i="9"/>
  <c r="F41" i="9"/>
  <c r="G41" i="9"/>
  <c r="H41" i="9"/>
  <c r="I41" i="9"/>
  <c r="J41" i="9"/>
  <c r="K41" i="9"/>
  <c r="L41" i="9"/>
  <c r="C42" i="9"/>
  <c r="D42" i="9"/>
  <c r="E42" i="9"/>
  <c r="F42" i="9"/>
  <c r="G42" i="9"/>
  <c r="H42" i="9"/>
  <c r="I42" i="9"/>
  <c r="J42" i="9"/>
  <c r="K42" i="9"/>
  <c r="L42" i="9"/>
  <c r="C43" i="9"/>
  <c r="D43" i="9"/>
  <c r="E43" i="9"/>
  <c r="F43" i="9"/>
  <c r="G43" i="9"/>
  <c r="H43" i="9"/>
  <c r="I43" i="9"/>
  <c r="J43" i="9"/>
  <c r="K43" i="9"/>
  <c r="L43" i="9"/>
  <c r="C44" i="9"/>
  <c r="D44" i="9"/>
  <c r="E44" i="9"/>
  <c r="F44" i="9"/>
  <c r="G44" i="9"/>
  <c r="H44" i="9"/>
  <c r="I44" i="9"/>
  <c r="J44" i="9"/>
  <c r="K44" i="9"/>
  <c r="L44" i="9"/>
  <c r="C45" i="9"/>
  <c r="D45" i="9"/>
  <c r="E45" i="9"/>
  <c r="F45" i="9"/>
  <c r="G45" i="9"/>
  <c r="H45" i="9"/>
  <c r="I45" i="9"/>
  <c r="J45" i="9"/>
  <c r="K45" i="9"/>
  <c r="L45" i="9"/>
  <c r="C46" i="9"/>
  <c r="D46" i="9"/>
  <c r="E46" i="9"/>
  <c r="F46" i="9"/>
  <c r="G46" i="9"/>
  <c r="H46" i="9"/>
  <c r="I46" i="9"/>
  <c r="J46" i="9"/>
  <c r="K46" i="9"/>
  <c r="L46" i="9"/>
  <c r="C47" i="9"/>
  <c r="D47" i="9"/>
  <c r="E47" i="9"/>
  <c r="F47" i="9"/>
  <c r="G47" i="9"/>
  <c r="H47" i="9"/>
  <c r="I47" i="9"/>
  <c r="J47" i="9"/>
  <c r="K47" i="9"/>
  <c r="L47" i="9"/>
  <c r="C48" i="9"/>
  <c r="D48" i="9"/>
  <c r="E48" i="9"/>
  <c r="F48" i="9"/>
  <c r="G48" i="9"/>
  <c r="H48" i="9"/>
  <c r="I48" i="9"/>
  <c r="J48" i="9"/>
  <c r="K48" i="9"/>
  <c r="L48" i="9"/>
  <c r="C49" i="9"/>
  <c r="D49" i="9"/>
  <c r="E49" i="9"/>
  <c r="F49" i="9"/>
  <c r="G49" i="9"/>
  <c r="H49" i="9"/>
  <c r="I49" i="9"/>
  <c r="J49" i="9"/>
  <c r="K49" i="9"/>
  <c r="L49" i="9"/>
  <c r="C50" i="9"/>
  <c r="D50" i="9"/>
  <c r="E50" i="9"/>
  <c r="F50" i="9"/>
  <c r="G50" i="9"/>
  <c r="H50" i="9"/>
  <c r="I50" i="9"/>
  <c r="J50" i="9"/>
  <c r="K50" i="9"/>
  <c r="L50" i="9"/>
  <c r="C51" i="9"/>
  <c r="D51" i="9"/>
  <c r="E51" i="9"/>
  <c r="F51" i="9"/>
  <c r="G51" i="9"/>
  <c r="H51" i="9"/>
  <c r="I51" i="9"/>
  <c r="J51" i="9"/>
  <c r="K51" i="9"/>
  <c r="L51" i="9"/>
  <c r="C52" i="9"/>
  <c r="D52" i="9"/>
  <c r="E52" i="9"/>
  <c r="F52" i="9"/>
  <c r="G52" i="9"/>
  <c r="H52" i="9"/>
  <c r="I52" i="9"/>
  <c r="J52" i="9"/>
  <c r="K52" i="9"/>
  <c r="L52" i="9"/>
  <c r="C53" i="9"/>
  <c r="D53" i="9"/>
  <c r="E53" i="9"/>
  <c r="F53" i="9"/>
  <c r="G53" i="9"/>
  <c r="H53" i="9"/>
  <c r="I53" i="9"/>
  <c r="J53" i="9"/>
  <c r="K53" i="9"/>
  <c r="L53" i="9"/>
  <c r="C54" i="9"/>
  <c r="D54" i="9"/>
  <c r="E54" i="9"/>
  <c r="F54" i="9"/>
  <c r="G54" i="9"/>
  <c r="H54" i="9"/>
  <c r="I54" i="9"/>
  <c r="J54" i="9"/>
  <c r="K54" i="9"/>
  <c r="L54" i="9"/>
  <c r="C55" i="9"/>
  <c r="D55" i="9"/>
  <c r="E55" i="9"/>
  <c r="F55" i="9"/>
  <c r="G55" i="9"/>
  <c r="H55" i="9"/>
  <c r="I55" i="9"/>
  <c r="J55" i="9"/>
  <c r="K55" i="9"/>
  <c r="L55" i="9"/>
  <c r="C56" i="9"/>
  <c r="D56" i="9"/>
  <c r="E56" i="9"/>
  <c r="F56" i="9"/>
  <c r="G56" i="9"/>
  <c r="H56" i="9"/>
  <c r="I56" i="9"/>
  <c r="J56" i="9"/>
  <c r="K56" i="9"/>
  <c r="L56" i="9"/>
  <c r="C57" i="9"/>
  <c r="D57" i="9"/>
  <c r="E57" i="9"/>
  <c r="F57" i="9"/>
  <c r="G57" i="9"/>
  <c r="H57" i="9"/>
  <c r="I57" i="9"/>
  <c r="J57" i="9"/>
  <c r="K57" i="9"/>
  <c r="L57" i="9"/>
  <c r="C58" i="9"/>
  <c r="D58" i="9"/>
  <c r="E58" i="9"/>
  <c r="F58" i="9"/>
  <c r="G58" i="9"/>
  <c r="H58" i="9"/>
  <c r="I58" i="9"/>
  <c r="J58" i="9"/>
  <c r="K58" i="9"/>
  <c r="L58" i="9"/>
  <c r="C59" i="9"/>
  <c r="D59" i="9"/>
  <c r="E59" i="9"/>
  <c r="F59" i="9"/>
  <c r="G59" i="9"/>
  <c r="H59" i="9"/>
  <c r="I59" i="9"/>
  <c r="J59" i="9"/>
  <c r="K59" i="9"/>
  <c r="L59" i="9"/>
  <c r="C60" i="9"/>
  <c r="D60" i="9"/>
  <c r="E60" i="9"/>
  <c r="F60" i="9"/>
  <c r="G60" i="9"/>
  <c r="H60" i="9"/>
  <c r="I60" i="9"/>
  <c r="J60" i="9"/>
  <c r="K60" i="9"/>
  <c r="L60" i="9"/>
  <c r="C61" i="9"/>
  <c r="D61" i="9"/>
  <c r="E61" i="9"/>
  <c r="F61" i="9"/>
  <c r="G61" i="9"/>
  <c r="H61" i="9"/>
  <c r="I61" i="9"/>
  <c r="J61" i="9"/>
  <c r="K61" i="9"/>
  <c r="L61" i="9"/>
  <c r="L8" i="9"/>
  <c r="K8" i="9"/>
  <c r="J8" i="9"/>
  <c r="I8" i="9"/>
  <c r="H8" i="9"/>
  <c r="G8" i="9"/>
  <c r="F8" i="9"/>
  <c r="E8" i="9"/>
  <c r="D8" i="9"/>
  <c r="C8" i="9"/>
  <c r="C83" i="6"/>
  <c r="D83" i="6"/>
  <c r="E83" i="6"/>
  <c r="F83" i="6"/>
  <c r="G83" i="6"/>
  <c r="H83" i="6"/>
  <c r="I83" i="6"/>
  <c r="J83" i="6"/>
  <c r="K83" i="6"/>
  <c r="L83" i="6"/>
  <c r="M83" i="6"/>
  <c r="C84" i="6"/>
  <c r="D84" i="6"/>
  <c r="E84" i="6"/>
  <c r="F84" i="6"/>
  <c r="G84" i="6"/>
  <c r="H84" i="6"/>
  <c r="I84" i="6"/>
  <c r="J84" i="6"/>
  <c r="K84" i="6"/>
  <c r="L84" i="6"/>
  <c r="M84" i="6"/>
  <c r="F84" i="8"/>
  <c r="G84" i="8"/>
  <c r="C85" i="6"/>
  <c r="D85" i="6"/>
  <c r="E85" i="6"/>
  <c r="F85" i="6"/>
  <c r="G85" i="6"/>
  <c r="H85" i="6"/>
  <c r="I85" i="6"/>
  <c r="J85" i="6"/>
  <c r="K85" i="6"/>
  <c r="L85" i="6"/>
  <c r="M85" i="6"/>
  <c r="I85" i="8"/>
  <c r="J85" i="8"/>
  <c r="C86" i="6"/>
  <c r="D86" i="6"/>
  <c r="E86" i="6"/>
  <c r="F86" i="6"/>
  <c r="G86" i="6"/>
  <c r="H86" i="6"/>
  <c r="I86" i="6"/>
  <c r="J86" i="6"/>
  <c r="K86" i="6"/>
  <c r="L86" i="6"/>
  <c r="M86" i="6"/>
  <c r="F86" i="8"/>
  <c r="G86" i="8"/>
  <c r="C87" i="6"/>
  <c r="D87" i="6"/>
  <c r="E87" i="6"/>
  <c r="F87" i="6"/>
  <c r="G87" i="6"/>
  <c r="H87" i="6"/>
  <c r="I87" i="6"/>
  <c r="J87" i="6"/>
  <c r="K87" i="6"/>
  <c r="L87" i="6"/>
  <c r="M87" i="6"/>
  <c r="C88" i="6"/>
  <c r="D88" i="6"/>
  <c r="E88" i="6"/>
  <c r="F88" i="6"/>
  <c r="G88" i="6"/>
  <c r="H88" i="6"/>
  <c r="I88" i="6"/>
  <c r="J88" i="6"/>
  <c r="K88" i="6"/>
  <c r="L88" i="6"/>
  <c r="M88" i="6"/>
  <c r="F88" i="8"/>
  <c r="G88" i="8"/>
  <c r="C89" i="6"/>
  <c r="D89" i="6"/>
  <c r="E89" i="6"/>
  <c r="F89" i="6"/>
  <c r="G89" i="6"/>
  <c r="H89" i="6"/>
  <c r="I89" i="6"/>
  <c r="J89" i="6"/>
  <c r="K89" i="6"/>
  <c r="L89" i="6"/>
  <c r="M89" i="6"/>
  <c r="C90" i="6"/>
  <c r="D90" i="6"/>
  <c r="E90" i="6"/>
  <c r="F90" i="6"/>
  <c r="G90" i="6"/>
  <c r="H90" i="6"/>
  <c r="I90" i="6"/>
  <c r="J90" i="6"/>
  <c r="K90" i="6"/>
  <c r="L90" i="6"/>
  <c r="M90" i="6"/>
  <c r="C91" i="6"/>
  <c r="D91" i="6"/>
  <c r="E91" i="6"/>
  <c r="F91" i="6"/>
  <c r="G91" i="6"/>
  <c r="H91" i="6"/>
  <c r="I91" i="6"/>
  <c r="J91" i="6"/>
  <c r="K91" i="6"/>
  <c r="L91" i="6"/>
  <c r="M91" i="6"/>
  <c r="C92" i="6"/>
  <c r="D92" i="6"/>
  <c r="E92" i="6"/>
  <c r="F92" i="6"/>
  <c r="G92" i="6"/>
  <c r="H92" i="6"/>
  <c r="I92" i="6"/>
  <c r="J92" i="6"/>
  <c r="K92" i="6"/>
  <c r="L92" i="6"/>
  <c r="M92" i="6"/>
  <c r="F92" i="8"/>
  <c r="G92" i="8"/>
  <c r="F83" i="8"/>
  <c r="G83" i="8"/>
  <c r="C83" i="8"/>
  <c r="E83" i="8"/>
  <c r="D83" i="8"/>
  <c r="I83" i="8"/>
  <c r="J83" i="8"/>
  <c r="K83" i="8"/>
  <c r="L83" i="8"/>
  <c r="M83" i="8"/>
  <c r="C84" i="8"/>
  <c r="H84" i="8"/>
  <c r="I84" i="8"/>
  <c r="K84" i="8"/>
  <c r="L84" i="8"/>
  <c r="M84" i="8"/>
  <c r="C85" i="8"/>
  <c r="E85" i="8"/>
  <c r="F85" i="8"/>
  <c r="G85" i="8"/>
  <c r="K85" i="8"/>
  <c r="L85" i="8"/>
  <c r="M85" i="8"/>
  <c r="C86" i="8"/>
  <c r="D86" i="8"/>
  <c r="H86" i="8"/>
  <c r="I86" i="8"/>
  <c r="J86" i="8"/>
  <c r="L86" i="8"/>
  <c r="M86" i="8"/>
  <c r="C87" i="8"/>
  <c r="E87" i="8"/>
  <c r="D87" i="8"/>
  <c r="F87" i="8"/>
  <c r="G87" i="8"/>
  <c r="I87" i="8"/>
  <c r="J87" i="8"/>
  <c r="K87" i="8"/>
  <c r="L87" i="8"/>
  <c r="M87" i="8"/>
  <c r="C88" i="8"/>
  <c r="D88" i="8"/>
  <c r="H88" i="8"/>
  <c r="I88" i="8"/>
  <c r="K88" i="8"/>
  <c r="L88" i="8"/>
  <c r="M88" i="8"/>
  <c r="C89" i="8"/>
  <c r="E89" i="8"/>
  <c r="D89" i="8"/>
  <c r="F89" i="8"/>
  <c r="I89" i="8"/>
  <c r="J89" i="8"/>
  <c r="K89" i="8"/>
  <c r="L89" i="8"/>
  <c r="M89" i="8"/>
  <c r="C90" i="8"/>
  <c r="D90" i="8"/>
  <c r="F90" i="8"/>
  <c r="H90" i="8"/>
  <c r="G90" i="8"/>
  <c r="I90" i="8"/>
  <c r="L90" i="8"/>
  <c r="M90" i="8"/>
  <c r="C91" i="8"/>
  <c r="E91" i="8"/>
  <c r="D91" i="8"/>
  <c r="F91" i="8"/>
  <c r="G91" i="8"/>
  <c r="I91" i="8"/>
  <c r="J91" i="8"/>
  <c r="K91" i="8"/>
  <c r="L91" i="8"/>
  <c r="M91" i="8"/>
  <c r="C92" i="8"/>
  <c r="H92" i="8"/>
  <c r="I92" i="8"/>
  <c r="K92" i="8"/>
  <c r="L92" i="8"/>
  <c r="M92" i="8"/>
  <c r="L82" i="8"/>
  <c r="M82" i="8"/>
  <c r="I82" i="8"/>
  <c r="M82" i="6"/>
  <c r="J82" i="8"/>
  <c r="K82" i="8"/>
  <c r="F82" i="8"/>
  <c r="H82" i="8"/>
  <c r="G82" i="8"/>
  <c r="C82" i="8"/>
  <c r="E82" i="8"/>
  <c r="D82" i="8"/>
  <c r="C69" i="8"/>
  <c r="M69" i="6"/>
  <c r="D69" i="8"/>
  <c r="E69" i="8"/>
  <c r="F69" i="8"/>
  <c r="G69" i="8"/>
  <c r="I69" i="8"/>
  <c r="K69" i="8"/>
  <c r="J69" i="8"/>
  <c r="L69" i="8"/>
  <c r="M69" i="8"/>
  <c r="C70" i="8"/>
  <c r="M70" i="6"/>
  <c r="D70" i="8"/>
  <c r="F70" i="8"/>
  <c r="H70" i="8"/>
  <c r="G70" i="8"/>
  <c r="I70" i="8"/>
  <c r="J70" i="8"/>
  <c r="K70" i="8"/>
  <c r="L70" i="8"/>
  <c r="M70" i="8"/>
  <c r="C71" i="8"/>
  <c r="E71" i="8"/>
  <c r="M71" i="6"/>
  <c r="D71" i="8"/>
  <c r="F71" i="8"/>
  <c r="G71" i="8"/>
  <c r="H71" i="8"/>
  <c r="I71" i="8"/>
  <c r="J71" i="8"/>
  <c r="K71" i="8"/>
  <c r="L71" i="8"/>
  <c r="M71" i="8"/>
  <c r="C72" i="8"/>
  <c r="M72" i="6"/>
  <c r="D72" i="8"/>
  <c r="E72" i="8"/>
  <c r="F72" i="8"/>
  <c r="G72" i="8"/>
  <c r="H72" i="8"/>
  <c r="I72" i="8"/>
  <c r="J72" i="8"/>
  <c r="L72" i="8"/>
  <c r="M72" i="8"/>
  <c r="C73" i="8"/>
  <c r="M73" i="6"/>
  <c r="D73" i="8"/>
  <c r="E73" i="8"/>
  <c r="F73" i="8"/>
  <c r="G73" i="8"/>
  <c r="I73" i="8"/>
  <c r="K73" i="8"/>
  <c r="J73" i="8"/>
  <c r="L73" i="8"/>
  <c r="M73" i="8"/>
  <c r="C74" i="8"/>
  <c r="M74" i="6"/>
  <c r="D74" i="8"/>
  <c r="F74" i="8"/>
  <c r="H74" i="8"/>
  <c r="G74" i="8"/>
  <c r="I74" i="8"/>
  <c r="J74" i="8"/>
  <c r="K74" i="8"/>
  <c r="L74" i="8"/>
  <c r="M74" i="8"/>
  <c r="C75" i="8"/>
  <c r="E75" i="8"/>
  <c r="M75" i="6"/>
  <c r="D75" i="8"/>
  <c r="F75" i="8"/>
  <c r="G75" i="8"/>
  <c r="H75" i="8"/>
  <c r="I75" i="8"/>
  <c r="J75" i="8"/>
  <c r="K75" i="8"/>
  <c r="L75" i="8"/>
  <c r="M75" i="8"/>
  <c r="C76" i="8"/>
  <c r="M76" i="6"/>
  <c r="D76" i="8"/>
  <c r="E76" i="8"/>
  <c r="F76" i="8"/>
  <c r="G76" i="8"/>
  <c r="H76" i="8"/>
  <c r="I76" i="8"/>
  <c r="J76" i="8"/>
  <c r="L76" i="8"/>
  <c r="M76" i="8"/>
  <c r="C77" i="8"/>
  <c r="M77" i="6"/>
  <c r="D77" i="8"/>
  <c r="E77" i="8"/>
  <c r="F77" i="8"/>
  <c r="G77" i="8"/>
  <c r="I77" i="8"/>
  <c r="K77" i="8"/>
  <c r="J77" i="8"/>
  <c r="L77" i="8"/>
  <c r="M77" i="8"/>
  <c r="C78" i="8"/>
  <c r="M78" i="6"/>
  <c r="D78" i="8"/>
  <c r="F78" i="8"/>
  <c r="H78" i="8"/>
  <c r="G78" i="8"/>
  <c r="I78" i="8"/>
  <c r="J78" i="8"/>
  <c r="K78" i="8"/>
  <c r="L78" i="8"/>
  <c r="M78" i="8"/>
  <c r="C79" i="8"/>
  <c r="E79" i="8"/>
  <c r="M79" i="6"/>
  <c r="D79" i="8"/>
  <c r="F79" i="8"/>
  <c r="G79" i="8"/>
  <c r="H79" i="8"/>
  <c r="I79" i="8"/>
  <c r="J79" i="8"/>
  <c r="K79" i="8"/>
  <c r="L79" i="8"/>
  <c r="M79" i="8"/>
  <c r="L68" i="8"/>
  <c r="M68" i="8"/>
  <c r="I68" i="8"/>
  <c r="K68" i="8"/>
  <c r="F68" i="8"/>
  <c r="H68" i="8"/>
  <c r="M68" i="6"/>
  <c r="G68" i="8"/>
  <c r="C68" i="8"/>
  <c r="E68" i="8"/>
  <c r="D68" i="8"/>
  <c r="L63" i="8"/>
  <c r="L64" i="8"/>
  <c r="L65" i="8"/>
  <c r="I63" i="8"/>
  <c r="I64" i="8"/>
  <c r="I65" i="8"/>
  <c r="F63" i="8"/>
  <c r="F64" i="8"/>
  <c r="F65" i="8"/>
  <c r="C65" i="8"/>
  <c r="L62" i="8"/>
  <c r="I62" i="8"/>
  <c r="F62" i="8"/>
  <c r="C63" i="8"/>
  <c r="C62" i="8"/>
  <c r="D62" i="6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L8" i="8"/>
  <c r="I8" i="8"/>
  <c r="F8" i="8"/>
  <c r="C8" i="8"/>
  <c r="C63" i="6"/>
  <c r="D63" i="6"/>
  <c r="E63" i="6"/>
  <c r="F63" i="6"/>
  <c r="G63" i="6"/>
  <c r="H63" i="6"/>
  <c r="I63" i="6"/>
  <c r="J63" i="6"/>
  <c r="K63" i="6"/>
  <c r="L63" i="6"/>
  <c r="M63" i="6"/>
  <c r="C64" i="6"/>
  <c r="D64" i="6"/>
  <c r="E64" i="6"/>
  <c r="F64" i="6"/>
  <c r="G64" i="6"/>
  <c r="H64" i="6"/>
  <c r="I64" i="6"/>
  <c r="J64" i="6"/>
  <c r="K64" i="6"/>
  <c r="L64" i="6"/>
  <c r="M64" i="6"/>
  <c r="C65" i="6"/>
  <c r="D65" i="6"/>
  <c r="E65" i="6"/>
  <c r="F65" i="6"/>
  <c r="G65" i="6"/>
  <c r="H65" i="6"/>
  <c r="I65" i="6"/>
  <c r="J65" i="6"/>
  <c r="K65" i="6"/>
  <c r="L65" i="6"/>
  <c r="M65" i="6"/>
  <c r="M62" i="6"/>
  <c r="L62" i="6"/>
  <c r="K62" i="6"/>
  <c r="J62" i="6"/>
  <c r="I62" i="6"/>
  <c r="H62" i="6"/>
  <c r="G62" i="6"/>
  <c r="F62" i="6"/>
  <c r="E62" i="6"/>
  <c r="C62" i="6"/>
  <c r="D63" i="4"/>
  <c r="C64" i="4"/>
  <c r="L82" i="6"/>
  <c r="K82" i="6"/>
  <c r="J82" i="6"/>
  <c r="I82" i="6"/>
  <c r="H82" i="6"/>
  <c r="G82" i="6"/>
  <c r="F82" i="6"/>
  <c r="E82" i="6"/>
  <c r="D82" i="6"/>
  <c r="C82" i="6"/>
  <c r="C69" i="6"/>
  <c r="D69" i="6"/>
  <c r="E69" i="6"/>
  <c r="F69" i="6"/>
  <c r="G69" i="6"/>
  <c r="H69" i="6"/>
  <c r="I69" i="6"/>
  <c r="J69" i="6"/>
  <c r="K69" i="6"/>
  <c r="L69" i="6"/>
  <c r="C70" i="6"/>
  <c r="D70" i="6"/>
  <c r="E70" i="6"/>
  <c r="F70" i="6"/>
  <c r="G70" i="6"/>
  <c r="H70" i="6"/>
  <c r="I70" i="6"/>
  <c r="J70" i="6"/>
  <c r="K70" i="6"/>
  <c r="L70" i="6"/>
  <c r="C71" i="6"/>
  <c r="D71" i="6"/>
  <c r="E71" i="6"/>
  <c r="F71" i="6"/>
  <c r="G71" i="6"/>
  <c r="H71" i="6"/>
  <c r="I71" i="6"/>
  <c r="J71" i="6"/>
  <c r="K71" i="6"/>
  <c r="L71" i="6"/>
  <c r="C72" i="6"/>
  <c r="D72" i="6"/>
  <c r="E72" i="6"/>
  <c r="F72" i="6"/>
  <c r="G72" i="6"/>
  <c r="H72" i="6"/>
  <c r="I72" i="6"/>
  <c r="J72" i="6"/>
  <c r="K72" i="6"/>
  <c r="L72" i="6"/>
  <c r="C73" i="6"/>
  <c r="D73" i="6"/>
  <c r="E73" i="6"/>
  <c r="F73" i="6"/>
  <c r="G73" i="6"/>
  <c r="H73" i="6"/>
  <c r="I73" i="6"/>
  <c r="J73" i="6"/>
  <c r="K73" i="6"/>
  <c r="L73" i="6"/>
  <c r="C74" i="6"/>
  <c r="D74" i="6"/>
  <c r="E74" i="6"/>
  <c r="F74" i="6"/>
  <c r="G74" i="6"/>
  <c r="H74" i="6"/>
  <c r="I74" i="6"/>
  <c r="J74" i="6"/>
  <c r="K74" i="6"/>
  <c r="L74" i="6"/>
  <c r="C75" i="6"/>
  <c r="D75" i="6"/>
  <c r="E75" i="6"/>
  <c r="F75" i="6"/>
  <c r="G75" i="6"/>
  <c r="H75" i="6"/>
  <c r="I75" i="6"/>
  <c r="J75" i="6"/>
  <c r="K75" i="6"/>
  <c r="L75" i="6"/>
  <c r="C76" i="6"/>
  <c r="D76" i="6"/>
  <c r="E76" i="6"/>
  <c r="F76" i="6"/>
  <c r="G76" i="6"/>
  <c r="H76" i="6"/>
  <c r="I76" i="6"/>
  <c r="J76" i="6"/>
  <c r="K76" i="6"/>
  <c r="L76" i="6"/>
  <c r="C77" i="6"/>
  <c r="D77" i="6"/>
  <c r="E77" i="6"/>
  <c r="F77" i="6"/>
  <c r="G77" i="6"/>
  <c r="H77" i="6"/>
  <c r="I77" i="6"/>
  <c r="J77" i="6"/>
  <c r="K77" i="6"/>
  <c r="L77" i="6"/>
  <c r="C78" i="6"/>
  <c r="D78" i="6"/>
  <c r="E78" i="6"/>
  <c r="F78" i="6"/>
  <c r="G78" i="6"/>
  <c r="H78" i="6"/>
  <c r="I78" i="6"/>
  <c r="J78" i="6"/>
  <c r="K78" i="6"/>
  <c r="L78" i="6"/>
  <c r="C79" i="6"/>
  <c r="D79" i="6"/>
  <c r="E79" i="6"/>
  <c r="F79" i="6"/>
  <c r="G79" i="6"/>
  <c r="H79" i="6"/>
  <c r="I79" i="6"/>
  <c r="J79" i="6"/>
  <c r="K79" i="6"/>
  <c r="L79" i="6"/>
  <c r="L68" i="6"/>
  <c r="K68" i="6"/>
  <c r="J68" i="6"/>
  <c r="I68" i="6"/>
  <c r="H68" i="6"/>
  <c r="G68" i="6"/>
  <c r="F68" i="6"/>
  <c r="E68" i="6"/>
  <c r="D68" i="6"/>
  <c r="C68" i="6"/>
  <c r="C9" i="6"/>
  <c r="D9" i="6"/>
  <c r="E9" i="6"/>
  <c r="F9" i="6"/>
  <c r="G9" i="6"/>
  <c r="H9" i="6"/>
  <c r="I9" i="6"/>
  <c r="J9" i="6"/>
  <c r="K9" i="6"/>
  <c r="L9" i="6"/>
  <c r="M9" i="6"/>
  <c r="C10" i="6"/>
  <c r="D10" i="6"/>
  <c r="E10" i="6"/>
  <c r="F10" i="6"/>
  <c r="G10" i="6"/>
  <c r="H10" i="6"/>
  <c r="I10" i="6"/>
  <c r="J10" i="6"/>
  <c r="K10" i="6"/>
  <c r="L10" i="6"/>
  <c r="M10" i="6"/>
  <c r="C11" i="6"/>
  <c r="D11" i="6"/>
  <c r="E11" i="6"/>
  <c r="F11" i="6"/>
  <c r="G11" i="6"/>
  <c r="H11" i="6"/>
  <c r="I11" i="6"/>
  <c r="J11" i="6"/>
  <c r="K11" i="6"/>
  <c r="L11" i="6"/>
  <c r="M11" i="6"/>
  <c r="C12" i="6"/>
  <c r="D12" i="6"/>
  <c r="E12" i="6"/>
  <c r="F12" i="6"/>
  <c r="G12" i="6"/>
  <c r="H12" i="6"/>
  <c r="I12" i="6"/>
  <c r="J12" i="6"/>
  <c r="K12" i="6"/>
  <c r="L12" i="6"/>
  <c r="M12" i="6"/>
  <c r="C13" i="6"/>
  <c r="D13" i="6"/>
  <c r="E13" i="6"/>
  <c r="F13" i="6"/>
  <c r="G13" i="6"/>
  <c r="H13" i="6"/>
  <c r="I13" i="6"/>
  <c r="J13" i="6"/>
  <c r="K13" i="6"/>
  <c r="L13" i="6"/>
  <c r="M13" i="6"/>
  <c r="C14" i="6"/>
  <c r="D14" i="6"/>
  <c r="E14" i="6"/>
  <c r="F14" i="6"/>
  <c r="G14" i="6"/>
  <c r="H14" i="6"/>
  <c r="I14" i="6"/>
  <c r="J14" i="6"/>
  <c r="K14" i="6"/>
  <c r="L14" i="6"/>
  <c r="M14" i="6"/>
  <c r="C15" i="6"/>
  <c r="D15" i="6"/>
  <c r="E15" i="6"/>
  <c r="F15" i="6"/>
  <c r="G15" i="6"/>
  <c r="H15" i="6"/>
  <c r="I15" i="6"/>
  <c r="J15" i="6"/>
  <c r="K15" i="6"/>
  <c r="L15" i="6"/>
  <c r="M15" i="6"/>
  <c r="C16" i="6"/>
  <c r="D16" i="6"/>
  <c r="E16" i="6"/>
  <c r="F16" i="6"/>
  <c r="G16" i="6"/>
  <c r="H16" i="6"/>
  <c r="I16" i="6"/>
  <c r="J16" i="6"/>
  <c r="K16" i="6"/>
  <c r="L16" i="6"/>
  <c r="M16" i="6"/>
  <c r="C17" i="6"/>
  <c r="D17" i="6"/>
  <c r="E17" i="6"/>
  <c r="F17" i="6"/>
  <c r="G17" i="6"/>
  <c r="H17" i="6"/>
  <c r="I17" i="6"/>
  <c r="J17" i="6"/>
  <c r="K17" i="6"/>
  <c r="L17" i="6"/>
  <c r="M17" i="6"/>
  <c r="C18" i="6"/>
  <c r="D18" i="6"/>
  <c r="E18" i="6"/>
  <c r="F18" i="6"/>
  <c r="G18" i="6"/>
  <c r="H18" i="6"/>
  <c r="I18" i="6"/>
  <c r="J18" i="6"/>
  <c r="K18" i="6"/>
  <c r="L18" i="6"/>
  <c r="M18" i="6"/>
  <c r="C19" i="6"/>
  <c r="D19" i="6"/>
  <c r="E19" i="6"/>
  <c r="F19" i="6"/>
  <c r="G19" i="6"/>
  <c r="H19" i="6"/>
  <c r="I19" i="6"/>
  <c r="J19" i="6"/>
  <c r="K19" i="6"/>
  <c r="L19" i="6"/>
  <c r="M19" i="6"/>
  <c r="C20" i="6"/>
  <c r="D20" i="6"/>
  <c r="E20" i="6"/>
  <c r="F20" i="6"/>
  <c r="G20" i="6"/>
  <c r="H20" i="6"/>
  <c r="I20" i="6"/>
  <c r="J20" i="6"/>
  <c r="K20" i="6"/>
  <c r="L20" i="6"/>
  <c r="M20" i="6"/>
  <c r="C21" i="6"/>
  <c r="D21" i="6"/>
  <c r="E21" i="6"/>
  <c r="F21" i="6"/>
  <c r="G21" i="6"/>
  <c r="H21" i="6"/>
  <c r="I21" i="6"/>
  <c r="J21" i="6"/>
  <c r="K21" i="6"/>
  <c r="L21" i="6"/>
  <c r="M21" i="6"/>
  <c r="C22" i="6"/>
  <c r="D22" i="6"/>
  <c r="E22" i="6"/>
  <c r="F22" i="6"/>
  <c r="G22" i="6"/>
  <c r="H22" i="6"/>
  <c r="I22" i="6"/>
  <c r="J22" i="6"/>
  <c r="K22" i="6"/>
  <c r="L22" i="6"/>
  <c r="M22" i="6"/>
  <c r="C23" i="6"/>
  <c r="D23" i="6"/>
  <c r="E23" i="6"/>
  <c r="F23" i="6"/>
  <c r="G23" i="6"/>
  <c r="H23" i="6"/>
  <c r="I23" i="6"/>
  <c r="J23" i="6"/>
  <c r="K23" i="6"/>
  <c r="L23" i="6"/>
  <c r="M23" i="6"/>
  <c r="C24" i="6"/>
  <c r="D24" i="6"/>
  <c r="E24" i="6"/>
  <c r="F24" i="6"/>
  <c r="G24" i="6"/>
  <c r="H24" i="6"/>
  <c r="I24" i="6"/>
  <c r="J24" i="6"/>
  <c r="K24" i="6"/>
  <c r="L24" i="6"/>
  <c r="M24" i="6"/>
  <c r="C25" i="6"/>
  <c r="D25" i="6"/>
  <c r="E25" i="6"/>
  <c r="F25" i="6"/>
  <c r="G25" i="6"/>
  <c r="H25" i="6"/>
  <c r="I25" i="6"/>
  <c r="J25" i="6"/>
  <c r="K25" i="6"/>
  <c r="L25" i="6"/>
  <c r="M25" i="6"/>
  <c r="C26" i="6"/>
  <c r="D26" i="6"/>
  <c r="E26" i="6"/>
  <c r="F26" i="6"/>
  <c r="G26" i="6"/>
  <c r="H26" i="6"/>
  <c r="I26" i="6"/>
  <c r="J26" i="6"/>
  <c r="K26" i="6"/>
  <c r="L26" i="6"/>
  <c r="M26" i="6"/>
  <c r="C27" i="6"/>
  <c r="D27" i="6"/>
  <c r="E27" i="6"/>
  <c r="F27" i="6"/>
  <c r="G27" i="6"/>
  <c r="H27" i="6"/>
  <c r="I27" i="6"/>
  <c r="J27" i="6"/>
  <c r="K27" i="6"/>
  <c r="L27" i="6"/>
  <c r="M27" i="6"/>
  <c r="C28" i="6"/>
  <c r="D28" i="6"/>
  <c r="E28" i="6"/>
  <c r="F28" i="6"/>
  <c r="G28" i="6"/>
  <c r="H28" i="6"/>
  <c r="I28" i="6"/>
  <c r="J28" i="6"/>
  <c r="K28" i="6"/>
  <c r="L28" i="6"/>
  <c r="M28" i="6"/>
  <c r="C29" i="6"/>
  <c r="D29" i="6"/>
  <c r="E29" i="6"/>
  <c r="F29" i="6"/>
  <c r="G29" i="6"/>
  <c r="H29" i="6"/>
  <c r="I29" i="6"/>
  <c r="J29" i="6"/>
  <c r="K29" i="6"/>
  <c r="L29" i="6"/>
  <c r="M29" i="6"/>
  <c r="C30" i="6"/>
  <c r="D30" i="6"/>
  <c r="E30" i="6"/>
  <c r="F30" i="6"/>
  <c r="G30" i="6"/>
  <c r="H30" i="6"/>
  <c r="I30" i="6"/>
  <c r="J30" i="6"/>
  <c r="K30" i="6"/>
  <c r="L30" i="6"/>
  <c r="M30" i="6"/>
  <c r="C31" i="6"/>
  <c r="D31" i="6"/>
  <c r="E31" i="6"/>
  <c r="F31" i="6"/>
  <c r="G31" i="6"/>
  <c r="H31" i="6"/>
  <c r="I31" i="6"/>
  <c r="J31" i="6"/>
  <c r="K31" i="6"/>
  <c r="L31" i="6"/>
  <c r="M31" i="6"/>
  <c r="C32" i="6"/>
  <c r="D32" i="6"/>
  <c r="E32" i="6"/>
  <c r="F32" i="6"/>
  <c r="G32" i="6"/>
  <c r="H32" i="6"/>
  <c r="I32" i="6"/>
  <c r="J32" i="6"/>
  <c r="K32" i="6"/>
  <c r="L32" i="6"/>
  <c r="M32" i="6"/>
  <c r="C33" i="6"/>
  <c r="D33" i="6"/>
  <c r="E33" i="6"/>
  <c r="F33" i="6"/>
  <c r="G33" i="6"/>
  <c r="H33" i="6"/>
  <c r="I33" i="6"/>
  <c r="J33" i="6"/>
  <c r="K33" i="6"/>
  <c r="L33" i="6"/>
  <c r="M33" i="6"/>
  <c r="C34" i="6"/>
  <c r="D34" i="6"/>
  <c r="E34" i="6"/>
  <c r="F34" i="6"/>
  <c r="G34" i="6"/>
  <c r="H34" i="6"/>
  <c r="I34" i="6"/>
  <c r="J34" i="6"/>
  <c r="K34" i="6"/>
  <c r="L34" i="6"/>
  <c r="M34" i="6"/>
  <c r="C35" i="6"/>
  <c r="D35" i="6"/>
  <c r="E35" i="6"/>
  <c r="F35" i="6"/>
  <c r="G35" i="6"/>
  <c r="H35" i="6"/>
  <c r="I35" i="6"/>
  <c r="J35" i="6"/>
  <c r="K35" i="6"/>
  <c r="L35" i="6"/>
  <c r="M35" i="6"/>
  <c r="C36" i="6"/>
  <c r="D36" i="6"/>
  <c r="E36" i="6"/>
  <c r="F36" i="6"/>
  <c r="G36" i="6"/>
  <c r="H36" i="6"/>
  <c r="I36" i="6"/>
  <c r="J36" i="6"/>
  <c r="K36" i="6"/>
  <c r="L36" i="6"/>
  <c r="M36" i="6"/>
  <c r="C37" i="6"/>
  <c r="D37" i="6"/>
  <c r="E37" i="6"/>
  <c r="F37" i="6"/>
  <c r="G37" i="6"/>
  <c r="H37" i="6"/>
  <c r="I37" i="6"/>
  <c r="J37" i="6"/>
  <c r="K37" i="6"/>
  <c r="L37" i="6"/>
  <c r="M37" i="6"/>
  <c r="C38" i="6"/>
  <c r="D38" i="6"/>
  <c r="E38" i="6"/>
  <c r="F38" i="6"/>
  <c r="G38" i="6"/>
  <c r="H38" i="6"/>
  <c r="I38" i="6"/>
  <c r="J38" i="6"/>
  <c r="K38" i="6"/>
  <c r="L38" i="6"/>
  <c r="M38" i="6"/>
  <c r="C39" i="6"/>
  <c r="D39" i="6"/>
  <c r="E39" i="6"/>
  <c r="F39" i="6"/>
  <c r="G39" i="6"/>
  <c r="H39" i="6"/>
  <c r="I39" i="6"/>
  <c r="J39" i="6"/>
  <c r="K39" i="6"/>
  <c r="L39" i="6"/>
  <c r="M39" i="6"/>
  <c r="C40" i="6"/>
  <c r="D40" i="6"/>
  <c r="E40" i="6"/>
  <c r="F40" i="6"/>
  <c r="G40" i="6"/>
  <c r="H40" i="6"/>
  <c r="I40" i="6"/>
  <c r="J40" i="6"/>
  <c r="K40" i="6"/>
  <c r="L40" i="6"/>
  <c r="M40" i="6"/>
  <c r="C41" i="6"/>
  <c r="D41" i="6"/>
  <c r="E41" i="6"/>
  <c r="F41" i="6"/>
  <c r="G41" i="6"/>
  <c r="H41" i="6"/>
  <c r="I41" i="6"/>
  <c r="J41" i="6"/>
  <c r="K41" i="6"/>
  <c r="L41" i="6"/>
  <c r="M41" i="6"/>
  <c r="C42" i="6"/>
  <c r="D42" i="6"/>
  <c r="E42" i="6"/>
  <c r="F42" i="6"/>
  <c r="G42" i="6"/>
  <c r="H42" i="6"/>
  <c r="I42" i="6"/>
  <c r="J42" i="6"/>
  <c r="K42" i="6"/>
  <c r="L42" i="6"/>
  <c r="M42" i="6"/>
  <c r="C43" i="6"/>
  <c r="D43" i="6"/>
  <c r="E43" i="6"/>
  <c r="F43" i="6"/>
  <c r="G43" i="6"/>
  <c r="H43" i="6"/>
  <c r="I43" i="6"/>
  <c r="J43" i="6"/>
  <c r="K43" i="6"/>
  <c r="L43" i="6"/>
  <c r="M43" i="6"/>
  <c r="C44" i="6"/>
  <c r="D44" i="6"/>
  <c r="E44" i="6"/>
  <c r="F44" i="6"/>
  <c r="G44" i="6"/>
  <c r="H44" i="6"/>
  <c r="I44" i="6"/>
  <c r="J44" i="6"/>
  <c r="K44" i="6"/>
  <c r="L44" i="6"/>
  <c r="M44" i="6"/>
  <c r="C45" i="6"/>
  <c r="D45" i="6"/>
  <c r="E45" i="6"/>
  <c r="F45" i="6"/>
  <c r="G45" i="6"/>
  <c r="H45" i="6"/>
  <c r="I45" i="6"/>
  <c r="J45" i="6"/>
  <c r="K45" i="6"/>
  <c r="L45" i="6"/>
  <c r="M45" i="6"/>
  <c r="C46" i="6"/>
  <c r="D46" i="6"/>
  <c r="E46" i="6"/>
  <c r="F46" i="6"/>
  <c r="G46" i="6"/>
  <c r="H46" i="6"/>
  <c r="I46" i="6"/>
  <c r="J46" i="6"/>
  <c r="K46" i="6"/>
  <c r="L46" i="6"/>
  <c r="M46" i="6"/>
  <c r="C47" i="6"/>
  <c r="D47" i="6"/>
  <c r="E47" i="6"/>
  <c r="F47" i="6"/>
  <c r="G47" i="6"/>
  <c r="H47" i="6"/>
  <c r="I47" i="6"/>
  <c r="J47" i="6"/>
  <c r="K47" i="6"/>
  <c r="L47" i="6"/>
  <c r="M47" i="6"/>
  <c r="C48" i="6"/>
  <c r="D48" i="6"/>
  <c r="E48" i="6"/>
  <c r="F48" i="6"/>
  <c r="G48" i="6"/>
  <c r="H48" i="6"/>
  <c r="I48" i="6"/>
  <c r="J48" i="6"/>
  <c r="K48" i="6"/>
  <c r="L48" i="6"/>
  <c r="M48" i="6"/>
  <c r="C49" i="6"/>
  <c r="D49" i="6"/>
  <c r="E49" i="6"/>
  <c r="F49" i="6"/>
  <c r="G49" i="6"/>
  <c r="H49" i="6"/>
  <c r="I49" i="6"/>
  <c r="J49" i="6"/>
  <c r="K49" i="6"/>
  <c r="L49" i="6"/>
  <c r="M49" i="6"/>
  <c r="C50" i="6"/>
  <c r="D50" i="6"/>
  <c r="E50" i="6"/>
  <c r="F50" i="6"/>
  <c r="G50" i="6"/>
  <c r="H50" i="6"/>
  <c r="I50" i="6"/>
  <c r="J50" i="6"/>
  <c r="K50" i="6"/>
  <c r="L50" i="6"/>
  <c r="M50" i="6"/>
  <c r="C51" i="6"/>
  <c r="D51" i="6"/>
  <c r="E51" i="6"/>
  <c r="F51" i="6"/>
  <c r="G51" i="6"/>
  <c r="H51" i="6"/>
  <c r="I51" i="6"/>
  <c r="J51" i="6"/>
  <c r="K51" i="6"/>
  <c r="L51" i="6"/>
  <c r="M51" i="6"/>
  <c r="C52" i="6"/>
  <c r="D52" i="6"/>
  <c r="E52" i="6"/>
  <c r="F52" i="6"/>
  <c r="G52" i="6"/>
  <c r="H52" i="6"/>
  <c r="I52" i="6"/>
  <c r="J52" i="6"/>
  <c r="K52" i="6"/>
  <c r="L52" i="6"/>
  <c r="M52" i="6"/>
  <c r="C53" i="6"/>
  <c r="D53" i="6"/>
  <c r="E53" i="6"/>
  <c r="F53" i="6"/>
  <c r="G53" i="6"/>
  <c r="H53" i="6"/>
  <c r="I53" i="6"/>
  <c r="J53" i="6"/>
  <c r="K53" i="6"/>
  <c r="L53" i="6"/>
  <c r="M53" i="6"/>
  <c r="C54" i="6"/>
  <c r="D54" i="6"/>
  <c r="E54" i="6"/>
  <c r="F54" i="6"/>
  <c r="G54" i="6"/>
  <c r="H54" i="6"/>
  <c r="I54" i="6"/>
  <c r="J54" i="6"/>
  <c r="K54" i="6"/>
  <c r="L54" i="6"/>
  <c r="M54" i="6"/>
  <c r="C55" i="6"/>
  <c r="D55" i="6"/>
  <c r="E55" i="6"/>
  <c r="F55" i="6"/>
  <c r="G55" i="6"/>
  <c r="H55" i="6"/>
  <c r="I55" i="6"/>
  <c r="J55" i="6"/>
  <c r="K55" i="6"/>
  <c r="L55" i="6"/>
  <c r="M55" i="6"/>
  <c r="C56" i="6"/>
  <c r="D56" i="6"/>
  <c r="E56" i="6"/>
  <c r="F56" i="6"/>
  <c r="G56" i="6"/>
  <c r="H56" i="6"/>
  <c r="I56" i="6"/>
  <c r="J56" i="6"/>
  <c r="K56" i="6"/>
  <c r="L56" i="6"/>
  <c r="M56" i="6"/>
  <c r="C57" i="6"/>
  <c r="D57" i="6"/>
  <c r="E57" i="6"/>
  <c r="F57" i="6"/>
  <c r="G57" i="6"/>
  <c r="H57" i="6"/>
  <c r="I57" i="6"/>
  <c r="J57" i="6"/>
  <c r="K57" i="6"/>
  <c r="L57" i="6"/>
  <c r="M57" i="6"/>
  <c r="C58" i="6"/>
  <c r="D58" i="6"/>
  <c r="E58" i="6"/>
  <c r="F58" i="6"/>
  <c r="G58" i="6"/>
  <c r="H58" i="6"/>
  <c r="I58" i="6"/>
  <c r="J58" i="6"/>
  <c r="K58" i="6"/>
  <c r="L58" i="6"/>
  <c r="M58" i="6"/>
  <c r="C59" i="6"/>
  <c r="D59" i="6"/>
  <c r="E59" i="6"/>
  <c r="F59" i="6"/>
  <c r="G59" i="6"/>
  <c r="H59" i="6"/>
  <c r="I59" i="6"/>
  <c r="J59" i="6"/>
  <c r="K59" i="6"/>
  <c r="L59" i="6"/>
  <c r="M59" i="6"/>
  <c r="C60" i="6"/>
  <c r="D60" i="6"/>
  <c r="E60" i="6"/>
  <c r="F60" i="6"/>
  <c r="G60" i="6"/>
  <c r="H60" i="6"/>
  <c r="I60" i="6"/>
  <c r="J60" i="6"/>
  <c r="K60" i="6"/>
  <c r="L60" i="6"/>
  <c r="M60" i="6"/>
  <c r="C61" i="6"/>
  <c r="D61" i="6"/>
  <c r="E61" i="6"/>
  <c r="F61" i="6"/>
  <c r="G61" i="6"/>
  <c r="H61" i="6"/>
  <c r="I61" i="6"/>
  <c r="J61" i="6"/>
  <c r="K61" i="6"/>
  <c r="L61" i="6"/>
  <c r="M61" i="6"/>
  <c r="M8" i="6"/>
  <c r="L8" i="6"/>
  <c r="K8" i="6"/>
  <c r="J8" i="6"/>
  <c r="I8" i="6"/>
  <c r="H8" i="6"/>
  <c r="G8" i="6"/>
  <c r="F8" i="6"/>
  <c r="E8" i="6"/>
  <c r="D8" i="6"/>
  <c r="C8" i="6"/>
  <c r="C83" i="4"/>
  <c r="D83" i="4"/>
  <c r="E83" i="4"/>
  <c r="F83" i="4"/>
  <c r="C84" i="4"/>
  <c r="D84" i="4"/>
  <c r="E84" i="4"/>
  <c r="F84" i="4"/>
  <c r="C85" i="4"/>
  <c r="D85" i="4"/>
  <c r="E85" i="4"/>
  <c r="F85" i="4"/>
  <c r="C86" i="4"/>
  <c r="D86" i="4"/>
  <c r="E86" i="4"/>
  <c r="F86" i="4"/>
  <c r="C87" i="4"/>
  <c r="D87" i="4"/>
  <c r="E87" i="4"/>
  <c r="F87" i="4"/>
  <c r="C88" i="4"/>
  <c r="D88" i="4"/>
  <c r="E88" i="4"/>
  <c r="F88" i="4"/>
  <c r="C89" i="4"/>
  <c r="D89" i="4"/>
  <c r="E89" i="4"/>
  <c r="F89" i="4"/>
  <c r="C90" i="4"/>
  <c r="D90" i="4"/>
  <c r="E90" i="4"/>
  <c r="F90" i="4"/>
  <c r="C91" i="4"/>
  <c r="D91" i="4"/>
  <c r="F91" i="4"/>
  <c r="C92" i="4"/>
  <c r="D92" i="4"/>
  <c r="E92" i="4"/>
  <c r="F92" i="4"/>
  <c r="F82" i="4"/>
  <c r="E82" i="4"/>
  <c r="D82" i="4"/>
  <c r="C82" i="4"/>
  <c r="C69" i="4"/>
  <c r="D69" i="4"/>
  <c r="E69" i="4"/>
  <c r="F69" i="4"/>
  <c r="C70" i="4"/>
  <c r="D70" i="4"/>
  <c r="E70" i="4"/>
  <c r="F70" i="4"/>
  <c r="C71" i="4"/>
  <c r="D71" i="4"/>
  <c r="E71" i="4"/>
  <c r="F71" i="4"/>
  <c r="C72" i="4"/>
  <c r="D72" i="4"/>
  <c r="E72" i="4"/>
  <c r="F72" i="4"/>
  <c r="C73" i="4"/>
  <c r="D73" i="4"/>
  <c r="E73" i="4"/>
  <c r="F73" i="4"/>
  <c r="C74" i="4"/>
  <c r="D74" i="4"/>
  <c r="E74" i="4"/>
  <c r="F74" i="4"/>
  <c r="C75" i="4"/>
  <c r="D75" i="4"/>
  <c r="E75" i="4"/>
  <c r="F75" i="4"/>
  <c r="C76" i="4"/>
  <c r="D76" i="4"/>
  <c r="E76" i="4"/>
  <c r="F76" i="4"/>
  <c r="C77" i="4"/>
  <c r="D77" i="4"/>
  <c r="E77" i="4"/>
  <c r="F77" i="4"/>
  <c r="C78" i="4"/>
  <c r="D78" i="4"/>
  <c r="E78" i="4"/>
  <c r="F78" i="4"/>
  <c r="C79" i="4"/>
  <c r="D79" i="4"/>
  <c r="E79" i="4"/>
  <c r="F79" i="4"/>
  <c r="F68" i="4"/>
  <c r="E68" i="4"/>
  <c r="D68" i="4"/>
  <c r="C68" i="4"/>
  <c r="F63" i="4"/>
  <c r="F64" i="4"/>
  <c r="F65" i="4"/>
  <c r="F62" i="4"/>
  <c r="E63" i="4"/>
  <c r="E64" i="4"/>
  <c r="E65" i="4"/>
  <c r="E62" i="4"/>
  <c r="D64" i="4"/>
  <c r="D65" i="4"/>
  <c r="D62" i="4"/>
  <c r="C62" i="4"/>
  <c r="D9" i="4"/>
  <c r="E9" i="4"/>
  <c r="F9" i="4"/>
  <c r="D10" i="4"/>
  <c r="E10" i="4"/>
  <c r="F10" i="4"/>
  <c r="D11" i="4"/>
  <c r="E11" i="4"/>
  <c r="F11" i="4"/>
  <c r="D12" i="4"/>
  <c r="E12" i="4"/>
  <c r="F12" i="4"/>
  <c r="D13" i="4"/>
  <c r="E13" i="4"/>
  <c r="F13" i="4"/>
  <c r="D14" i="4"/>
  <c r="E14" i="4"/>
  <c r="F14" i="4"/>
  <c r="D15" i="4"/>
  <c r="E15" i="4"/>
  <c r="F15" i="4"/>
  <c r="D16" i="4"/>
  <c r="E16" i="4"/>
  <c r="F16" i="4"/>
  <c r="D17" i="4"/>
  <c r="E17" i="4"/>
  <c r="F17" i="4"/>
  <c r="D18" i="4"/>
  <c r="E18" i="4"/>
  <c r="F18" i="4"/>
  <c r="D19" i="4"/>
  <c r="E19" i="4"/>
  <c r="F19" i="4"/>
  <c r="D20" i="4"/>
  <c r="E20" i="4"/>
  <c r="F20" i="4"/>
  <c r="D21" i="4"/>
  <c r="E21" i="4"/>
  <c r="F21" i="4"/>
  <c r="D22" i="4"/>
  <c r="E22" i="4"/>
  <c r="F22" i="4"/>
  <c r="D23" i="4"/>
  <c r="E23" i="4"/>
  <c r="F23" i="4"/>
  <c r="D24" i="4"/>
  <c r="E24" i="4"/>
  <c r="F24" i="4"/>
  <c r="D25" i="4"/>
  <c r="E25" i="4"/>
  <c r="F25" i="4"/>
  <c r="D26" i="4"/>
  <c r="E26" i="4"/>
  <c r="F26" i="4"/>
  <c r="D27" i="4"/>
  <c r="E27" i="4"/>
  <c r="F27" i="4"/>
  <c r="D28" i="4"/>
  <c r="E28" i="4"/>
  <c r="F28" i="4"/>
  <c r="D29" i="4"/>
  <c r="E29" i="4"/>
  <c r="F29" i="4"/>
  <c r="D30" i="4"/>
  <c r="E30" i="4"/>
  <c r="F30" i="4"/>
  <c r="D31" i="4"/>
  <c r="E31" i="4"/>
  <c r="F31" i="4"/>
  <c r="D32" i="4"/>
  <c r="E32" i="4"/>
  <c r="F32" i="4"/>
  <c r="D33" i="4"/>
  <c r="E33" i="4"/>
  <c r="F33" i="4"/>
  <c r="D34" i="4"/>
  <c r="E34" i="4"/>
  <c r="F34" i="4"/>
  <c r="D35" i="4"/>
  <c r="E35" i="4"/>
  <c r="F35" i="4"/>
  <c r="D36" i="4"/>
  <c r="E36" i="4"/>
  <c r="F36" i="4"/>
  <c r="D37" i="4"/>
  <c r="E37" i="4"/>
  <c r="F37" i="4"/>
  <c r="D38" i="4"/>
  <c r="E38" i="4"/>
  <c r="F38" i="4"/>
  <c r="D39" i="4"/>
  <c r="E39" i="4"/>
  <c r="F39" i="4"/>
  <c r="D40" i="4"/>
  <c r="E40" i="4"/>
  <c r="F40" i="4"/>
  <c r="D41" i="4"/>
  <c r="E41" i="4"/>
  <c r="F41" i="4"/>
  <c r="D42" i="4"/>
  <c r="E42" i="4"/>
  <c r="F42" i="4"/>
  <c r="D43" i="4"/>
  <c r="E43" i="4"/>
  <c r="F43" i="4"/>
  <c r="D44" i="4"/>
  <c r="E44" i="4"/>
  <c r="F44" i="4"/>
  <c r="D45" i="4"/>
  <c r="E45" i="4"/>
  <c r="F45" i="4"/>
  <c r="D46" i="4"/>
  <c r="E46" i="4"/>
  <c r="F46" i="4"/>
  <c r="D47" i="4"/>
  <c r="E47" i="4"/>
  <c r="F47" i="4"/>
  <c r="D48" i="4"/>
  <c r="E48" i="4"/>
  <c r="F48" i="4"/>
  <c r="D49" i="4"/>
  <c r="E49" i="4"/>
  <c r="F49" i="4"/>
  <c r="D50" i="4"/>
  <c r="E50" i="4"/>
  <c r="F50" i="4"/>
  <c r="D51" i="4"/>
  <c r="E51" i="4"/>
  <c r="F51" i="4"/>
  <c r="D52" i="4"/>
  <c r="E52" i="4"/>
  <c r="F52" i="4"/>
  <c r="D53" i="4"/>
  <c r="E53" i="4"/>
  <c r="F53" i="4"/>
  <c r="D54" i="4"/>
  <c r="E54" i="4"/>
  <c r="F54" i="4"/>
  <c r="D55" i="4"/>
  <c r="E55" i="4"/>
  <c r="F55" i="4"/>
  <c r="D56" i="4"/>
  <c r="E56" i="4"/>
  <c r="F56" i="4"/>
  <c r="D57" i="4"/>
  <c r="E57" i="4"/>
  <c r="F57" i="4"/>
  <c r="D58" i="4"/>
  <c r="E58" i="4"/>
  <c r="F58" i="4"/>
  <c r="D59" i="4"/>
  <c r="E59" i="4"/>
  <c r="F59" i="4"/>
  <c r="D60" i="4"/>
  <c r="E60" i="4"/>
  <c r="F60" i="4"/>
  <c r="D61" i="4"/>
  <c r="E61" i="4"/>
  <c r="F61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3" i="4"/>
  <c r="C65" i="4"/>
  <c r="F8" i="4"/>
  <c r="E8" i="4"/>
  <c r="D8" i="4"/>
  <c r="C8" i="4"/>
  <c r="F51" i="3"/>
  <c r="D66" i="2"/>
  <c r="D93" i="2"/>
  <c r="D80" i="2"/>
  <c r="D95" i="2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I82" i="3"/>
  <c r="I83" i="3"/>
  <c r="I84" i="3"/>
  <c r="I93" i="3"/>
  <c r="H85" i="3"/>
  <c r="G85" i="3"/>
  <c r="F85" i="3"/>
  <c r="E85" i="3"/>
  <c r="E82" i="3"/>
  <c r="E83" i="3"/>
  <c r="E84" i="3"/>
  <c r="E93" i="3"/>
  <c r="D85" i="3"/>
  <c r="C85" i="3"/>
  <c r="H84" i="3"/>
  <c r="G84" i="3"/>
  <c r="F84" i="3"/>
  <c r="D84" i="3"/>
  <c r="C84" i="3"/>
  <c r="H83" i="3"/>
  <c r="G83" i="3"/>
  <c r="F83" i="3"/>
  <c r="D83" i="3"/>
  <c r="C83" i="3"/>
  <c r="I68" i="3"/>
  <c r="I69" i="3"/>
  <c r="I70" i="3"/>
  <c r="I71" i="3"/>
  <c r="I72" i="3"/>
  <c r="I73" i="3"/>
  <c r="I74" i="3"/>
  <c r="I75" i="3"/>
  <c r="I76" i="3"/>
  <c r="I77" i="3"/>
  <c r="I78" i="3"/>
  <c r="I79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95" i="3"/>
  <c r="H82" i="3"/>
  <c r="H93" i="3"/>
  <c r="G82" i="3"/>
  <c r="G93" i="3"/>
  <c r="F82" i="3"/>
  <c r="F93" i="3"/>
  <c r="E68" i="3"/>
  <c r="E69" i="3"/>
  <c r="E70" i="3"/>
  <c r="E71" i="3"/>
  <c r="E72" i="3"/>
  <c r="E73" i="3"/>
  <c r="E74" i="3"/>
  <c r="E75" i="3"/>
  <c r="E76" i="3"/>
  <c r="E77" i="3"/>
  <c r="E78" i="3"/>
  <c r="E79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95" i="3"/>
  <c r="D82" i="3"/>
  <c r="D93" i="3"/>
  <c r="C82" i="3"/>
  <c r="C93" i="3"/>
  <c r="H79" i="3"/>
  <c r="G79" i="3"/>
  <c r="F79" i="3"/>
  <c r="D79" i="3"/>
  <c r="C79" i="3"/>
  <c r="H78" i="3"/>
  <c r="G78" i="3"/>
  <c r="F78" i="3"/>
  <c r="D78" i="3"/>
  <c r="C78" i="3"/>
  <c r="H77" i="3"/>
  <c r="G77" i="3"/>
  <c r="F77" i="3"/>
  <c r="D77" i="3"/>
  <c r="C77" i="3"/>
  <c r="H76" i="3"/>
  <c r="G76" i="3"/>
  <c r="F76" i="3"/>
  <c r="D76" i="3"/>
  <c r="C76" i="3"/>
  <c r="H75" i="3"/>
  <c r="G75" i="3"/>
  <c r="F75" i="3"/>
  <c r="D75" i="3"/>
  <c r="C75" i="3"/>
  <c r="H74" i="3"/>
  <c r="G74" i="3"/>
  <c r="F74" i="3"/>
  <c r="D74" i="3"/>
  <c r="C74" i="3"/>
  <c r="H73" i="3"/>
  <c r="G73" i="3"/>
  <c r="F73" i="3"/>
  <c r="D73" i="3"/>
  <c r="C73" i="3"/>
  <c r="H72" i="3"/>
  <c r="G72" i="3"/>
  <c r="F72" i="3"/>
  <c r="D72" i="3"/>
  <c r="C72" i="3"/>
  <c r="H71" i="3"/>
  <c r="G71" i="3"/>
  <c r="F71" i="3"/>
  <c r="D71" i="3"/>
  <c r="C71" i="3"/>
  <c r="H70" i="3"/>
  <c r="G70" i="3"/>
  <c r="F70" i="3"/>
  <c r="D70" i="3"/>
  <c r="C70" i="3"/>
  <c r="H69" i="3"/>
  <c r="G69" i="3"/>
  <c r="F69" i="3"/>
  <c r="D69" i="3"/>
  <c r="C69" i="3"/>
  <c r="I80" i="3"/>
  <c r="H68" i="3"/>
  <c r="H80" i="3"/>
  <c r="G68" i="3"/>
  <c r="G80" i="3"/>
  <c r="F68" i="3"/>
  <c r="F80" i="3"/>
  <c r="E80" i="3"/>
  <c r="D68" i="3"/>
  <c r="D80" i="3"/>
  <c r="C68" i="3"/>
  <c r="C80" i="3"/>
  <c r="H65" i="3"/>
  <c r="G65" i="3"/>
  <c r="F65" i="3"/>
  <c r="D65" i="3"/>
  <c r="C65" i="3"/>
  <c r="H64" i="3"/>
  <c r="G64" i="3"/>
  <c r="F64" i="3"/>
  <c r="D64" i="3"/>
  <c r="C64" i="3"/>
  <c r="H63" i="3"/>
  <c r="G63" i="3"/>
  <c r="F63" i="3"/>
  <c r="D63" i="3"/>
  <c r="C63" i="3"/>
  <c r="H62" i="3"/>
  <c r="G62" i="3"/>
  <c r="F62" i="3"/>
  <c r="D62" i="3"/>
  <c r="C62" i="3"/>
  <c r="H61" i="3"/>
  <c r="G61" i="3"/>
  <c r="F61" i="3"/>
  <c r="D61" i="3"/>
  <c r="C61" i="3"/>
  <c r="H60" i="3"/>
  <c r="G60" i="3"/>
  <c r="F60" i="3"/>
  <c r="D60" i="3"/>
  <c r="C60" i="3"/>
  <c r="H59" i="3"/>
  <c r="G59" i="3"/>
  <c r="F59" i="3"/>
  <c r="D59" i="3"/>
  <c r="C59" i="3"/>
  <c r="H58" i="3"/>
  <c r="G58" i="3"/>
  <c r="F58" i="3"/>
  <c r="D58" i="3"/>
  <c r="C58" i="3"/>
  <c r="H57" i="3"/>
  <c r="G57" i="3"/>
  <c r="F57" i="3"/>
  <c r="D57" i="3"/>
  <c r="C57" i="3"/>
  <c r="H56" i="3"/>
  <c r="G56" i="3"/>
  <c r="F56" i="3"/>
  <c r="D56" i="3"/>
  <c r="C56" i="3"/>
  <c r="H55" i="3"/>
  <c r="G55" i="3"/>
  <c r="F55" i="3"/>
  <c r="D55" i="3"/>
  <c r="C55" i="3"/>
  <c r="H54" i="3"/>
  <c r="G54" i="3"/>
  <c r="F54" i="3"/>
  <c r="D54" i="3"/>
  <c r="C54" i="3"/>
  <c r="H53" i="3"/>
  <c r="G53" i="3"/>
  <c r="F53" i="3"/>
  <c r="D53" i="3"/>
  <c r="C53" i="3"/>
  <c r="H52" i="3"/>
  <c r="G52" i="3"/>
  <c r="F52" i="3"/>
  <c r="D52" i="3"/>
  <c r="C52" i="3"/>
  <c r="H51" i="3"/>
  <c r="G51" i="3"/>
  <c r="D51" i="3"/>
  <c r="C51" i="3"/>
  <c r="H50" i="3"/>
  <c r="G50" i="3"/>
  <c r="F50" i="3"/>
  <c r="D50" i="3"/>
  <c r="C50" i="3"/>
  <c r="H49" i="3"/>
  <c r="G49" i="3"/>
  <c r="F49" i="3"/>
  <c r="D49" i="3"/>
  <c r="C49" i="3"/>
  <c r="H48" i="3"/>
  <c r="G48" i="3"/>
  <c r="F48" i="3"/>
  <c r="D48" i="3"/>
  <c r="C48" i="3"/>
  <c r="H47" i="3"/>
  <c r="G47" i="3"/>
  <c r="F47" i="3"/>
  <c r="D47" i="3"/>
  <c r="C47" i="3"/>
  <c r="H46" i="3"/>
  <c r="G46" i="3"/>
  <c r="F46" i="3"/>
  <c r="D46" i="3"/>
  <c r="C46" i="3"/>
  <c r="H45" i="3"/>
  <c r="G45" i="3"/>
  <c r="F45" i="3"/>
  <c r="D45" i="3"/>
  <c r="C45" i="3"/>
  <c r="H44" i="3"/>
  <c r="G44" i="3"/>
  <c r="F44" i="3"/>
  <c r="D44" i="3"/>
  <c r="C44" i="3"/>
  <c r="H43" i="3"/>
  <c r="G43" i="3"/>
  <c r="F43" i="3"/>
  <c r="D43" i="3"/>
  <c r="C43" i="3"/>
  <c r="H42" i="3"/>
  <c r="G42" i="3"/>
  <c r="F42" i="3"/>
  <c r="D42" i="3"/>
  <c r="C42" i="3"/>
  <c r="H41" i="3"/>
  <c r="G41" i="3"/>
  <c r="F41" i="3"/>
  <c r="D41" i="3"/>
  <c r="C41" i="3"/>
  <c r="H40" i="3"/>
  <c r="G40" i="3"/>
  <c r="F40" i="3"/>
  <c r="D40" i="3"/>
  <c r="C40" i="3"/>
  <c r="H39" i="3"/>
  <c r="G39" i="3"/>
  <c r="F39" i="3"/>
  <c r="D39" i="3"/>
  <c r="C39" i="3"/>
  <c r="H38" i="3"/>
  <c r="G38" i="3"/>
  <c r="F38" i="3"/>
  <c r="D38" i="3"/>
  <c r="C38" i="3"/>
  <c r="H37" i="3"/>
  <c r="G37" i="3"/>
  <c r="F37" i="3"/>
  <c r="D37" i="3"/>
  <c r="C37" i="3"/>
  <c r="H36" i="3"/>
  <c r="G36" i="3"/>
  <c r="F36" i="3"/>
  <c r="D36" i="3"/>
  <c r="C36" i="3"/>
  <c r="H35" i="3"/>
  <c r="G35" i="3"/>
  <c r="F35" i="3"/>
  <c r="D35" i="3"/>
  <c r="C35" i="3"/>
  <c r="H34" i="3"/>
  <c r="G34" i="3"/>
  <c r="F34" i="3"/>
  <c r="D34" i="3"/>
  <c r="C34" i="3"/>
  <c r="H33" i="3"/>
  <c r="G33" i="3"/>
  <c r="F33" i="3"/>
  <c r="D33" i="3"/>
  <c r="C33" i="3"/>
  <c r="H32" i="3"/>
  <c r="G32" i="3"/>
  <c r="F32" i="3"/>
  <c r="D32" i="3"/>
  <c r="C32" i="3"/>
  <c r="H31" i="3"/>
  <c r="G31" i="3"/>
  <c r="F31" i="3"/>
  <c r="D31" i="3"/>
  <c r="C31" i="3"/>
  <c r="H30" i="3"/>
  <c r="G30" i="3"/>
  <c r="F30" i="3"/>
  <c r="D30" i="3"/>
  <c r="C30" i="3"/>
  <c r="H29" i="3"/>
  <c r="G29" i="3"/>
  <c r="F29" i="3"/>
  <c r="D29" i="3"/>
  <c r="C29" i="3"/>
  <c r="H28" i="3"/>
  <c r="G28" i="3"/>
  <c r="F28" i="3"/>
  <c r="D28" i="3"/>
  <c r="C28" i="3"/>
  <c r="H27" i="3"/>
  <c r="G27" i="3"/>
  <c r="F27" i="3"/>
  <c r="D27" i="3"/>
  <c r="C27" i="3"/>
  <c r="H26" i="3"/>
  <c r="G26" i="3"/>
  <c r="F26" i="3"/>
  <c r="D26" i="3"/>
  <c r="C26" i="3"/>
  <c r="H25" i="3"/>
  <c r="G25" i="3"/>
  <c r="F25" i="3"/>
  <c r="D25" i="3"/>
  <c r="C25" i="3"/>
  <c r="H24" i="3"/>
  <c r="G24" i="3"/>
  <c r="F24" i="3"/>
  <c r="D24" i="3"/>
  <c r="C24" i="3"/>
  <c r="H23" i="3"/>
  <c r="G23" i="3"/>
  <c r="F23" i="3"/>
  <c r="D23" i="3"/>
  <c r="C23" i="3"/>
  <c r="H22" i="3"/>
  <c r="G22" i="3"/>
  <c r="F22" i="3"/>
  <c r="D22" i="3"/>
  <c r="C22" i="3"/>
  <c r="H21" i="3"/>
  <c r="G21" i="3"/>
  <c r="F21" i="3"/>
  <c r="D21" i="3"/>
  <c r="C21" i="3"/>
  <c r="H20" i="3"/>
  <c r="G20" i="3"/>
  <c r="F20" i="3"/>
  <c r="D20" i="3"/>
  <c r="C20" i="3"/>
  <c r="H19" i="3"/>
  <c r="G19" i="3"/>
  <c r="F19" i="3"/>
  <c r="D19" i="3"/>
  <c r="C19" i="3"/>
  <c r="H18" i="3"/>
  <c r="G18" i="3"/>
  <c r="F18" i="3"/>
  <c r="D18" i="3"/>
  <c r="C18" i="3"/>
  <c r="H17" i="3"/>
  <c r="G17" i="3"/>
  <c r="F17" i="3"/>
  <c r="D17" i="3"/>
  <c r="C17" i="3"/>
  <c r="H16" i="3"/>
  <c r="G16" i="3"/>
  <c r="F16" i="3"/>
  <c r="D16" i="3"/>
  <c r="C16" i="3"/>
  <c r="H15" i="3"/>
  <c r="G15" i="3"/>
  <c r="F15" i="3"/>
  <c r="D15" i="3"/>
  <c r="C15" i="3"/>
  <c r="H14" i="3"/>
  <c r="G14" i="3"/>
  <c r="F14" i="3"/>
  <c r="D14" i="3"/>
  <c r="C14" i="3"/>
  <c r="H13" i="3"/>
  <c r="G13" i="3"/>
  <c r="F13" i="3"/>
  <c r="D13" i="3"/>
  <c r="C13" i="3"/>
  <c r="H12" i="3"/>
  <c r="G12" i="3"/>
  <c r="F12" i="3"/>
  <c r="D12" i="3"/>
  <c r="C12" i="3"/>
  <c r="H11" i="3"/>
  <c r="G11" i="3"/>
  <c r="F11" i="3"/>
  <c r="D11" i="3"/>
  <c r="C11" i="3"/>
  <c r="H10" i="3"/>
  <c r="H8" i="3"/>
  <c r="H9" i="3"/>
  <c r="H66" i="3"/>
  <c r="G10" i="3"/>
  <c r="F10" i="3"/>
  <c r="D10" i="3"/>
  <c r="D8" i="3"/>
  <c r="D9" i="3"/>
  <c r="D66" i="3"/>
  <c r="C10" i="3"/>
  <c r="G9" i="3"/>
  <c r="F9" i="3"/>
  <c r="C9" i="3"/>
  <c r="I66" i="3"/>
  <c r="G8" i="3"/>
  <c r="G66" i="3"/>
  <c r="F8" i="3"/>
  <c r="F66" i="3"/>
  <c r="E66" i="3"/>
  <c r="C8" i="3"/>
  <c r="C66" i="3"/>
  <c r="I92" i="2"/>
  <c r="H92" i="2"/>
  <c r="G92" i="2"/>
  <c r="F92" i="2"/>
  <c r="E92" i="2"/>
  <c r="I91" i="2"/>
  <c r="H91" i="2"/>
  <c r="G91" i="2"/>
  <c r="F91" i="2"/>
  <c r="E91" i="2"/>
  <c r="I90" i="2"/>
  <c r="H90" i="2"/>
  <c r="G90" i="2"/>
  <c r="F90" i="2"/>
  <c r="E90" i="2"/>
  <c r="I89" i="2"/>
  <c r="H89" i="2"/>
  <c r="G89" i="2"/>
  <c r="F89" i="2"/>
  <c r="E89" i="2"/>
  <c r="I88" i="2"/>
  <c r="H88" i="2"/>
  <c r="G88" i="2"/>
  <c r="F88" i="2"/>
  <c r="E88" i="2"/>
  <c r="I87" i="2"/>
  <c r="H87" i="2"/>
  <c r="G87" i="2"/>
  <c r="F87" i="2"/>
  <c r="E87" i="2"/>
  <c r="I86" i="2"/>
  <c r="H86" i="2"/>
  <c r="G86" i="2"/>
  <c r="F86" i="2"/>
  <c r="E86" i="2"/>
  <c r="I85" i="2"/>
  <c r="H85" i="2"/>
  <c r="G85" i="2"/>
  <c r="F85" i="2"/>
  <c r="E85" i="2"/>
  <c r="I84" i="2"/>
  <c r="H84" i="2"/>
  <c r="G84" i="2"/>
  <c r="F84" i="2"/>
  <c r="E84" i="2"/>
  <c r="I83" i="2"/>
  <c r="H83" i="2"/>
  <c r="G83" i="2"/>
  <c r="F83" i="2"/>
  <c r="E83" i="2"/>
  <c r="I82" i="2"/>
  <c r="I68" i="2"/>
  <c r="I69" i="2"/>
  <c r="I70" i="2"/>
  <c r="I71" i="2"/>
  <c r="I72" i="2"/>
  <c r="I73" i="2"/>
  <c r="I74" i="2"/>
  <c r="I75" i="2"/>
  <c r="I76" i="2"/>
  <c r="I77" i="2"/>
  <c r="I78" i="2"/>
  <c r="I79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95" i="2"/>
  <c r="H82" i="2"/>
  <c r="G82" i="2"/>
  <c r="F82" i="2"/>
  <c r="E82" i="2"/>
  <c r="H79" i="2"/>
  <c r="G79" i="2"/>
  <c r="F79" i="2"/>
  <c r="E79" i="2"/>
  <c r="H78" i="2"/>
  <c r="G78" i="2"/>
  <c r="F78" i="2"/>
  <c r="E78" i="2"/>
  <c r="H77" i="2"/>
  <c r="G77" i="2"/>
  <c r="F77" i="2"/>
  <c r="E77" i="2"/>
  <c r="H76" i="2"/>
  <c r="G76" i="2"/>
  <c r="F76" i="2"/>
  <c r="E76" i="2"/>
  <c r="H75" i="2"/>
  <c r="G75" i="2"/>
  <c r="F75" i="2"/>
  <c r="E75" i="2"/>
  <c r="H74" i="2"/>
  <c r="G74" i="2"/>
  <c r="F74" i="2"/>
  <c r="E74" i="2"/>
  <c r="H73" i="2"/>
  <c r="G73" i="2"/>
  <c r="F73" i="2"/>
  <c r="E73" i="2"/>
  <c r="H72" i="2"/>
  <c r="G72" i="2"/>
  <c r="F72" i="2"/>
  <c r="E72" i="2"/>
  <c r="H71" i="2"/>
  <c r="G71" i="2"/>
  <c r="F71" i="2"/>
  <c r="E71" i="2"/>
  <c r="H70" i="2"/>
  <c r="G70" i="2"/>
  <c r="F70" i="2"/>
  <c r="E70" i="2"/>
  <c r="H69" i="2"/>
  <c r="G69" i="2"/>
  <c r="F69" i="2"/>
  <c r="E69" i="2"/>
  <c r="I80" i="2"/>
  <c r="H68" i="2"/>
  <c r="G68" i="2"/>
  <c r="F68" i="2"/>
  <c r="E68" i="2"/>
  <c r="H65" i="2"/>
  <c r="G65" i="2"/>
  <c r="F65" i="2"/>
  <c r="E65" i="2"/>
  <c r="H64" i="2"/>
  <c r="G64" i="2"/>
  <c r="F64" i="2"/>
  <c r="E64" i="2"/>
  <c r="H63" i="2"/>
  <c r="G63" i="2"/>
  <c r="F63" i="2"/>
  <c r="E63" i="2"/>
  <c r="H62" i="2"/>
  <c r="G62" i="2"/>
  <c r="F62" i="2"/>
  <c r="E62" i="2"/>
  <c r="H61" i="2"/>
  <c r="G61" i="2"/>
  <c r="F61" i="2"/>
  <c r="E61" i="2"/>
  <c r="H60" i="2"/>
  <c r="G60" i="2"/>
  <c r="F60" i="2"/>
  <c r="E60" i="2"/>
  <c r="H59" i="2"/>
  <c r="G59" i="2"/>
  <c r="F59" i="2"/>
  <c r="E59" i="2"/>
  <c r="H58" i="2"/>
  <c r="G58" i="2"/>
  <c r="F58" i="2"/>
  <c r="E58" i="2"/>
  <c r="H57" i="2"/>
  <c r="G57" i="2"/>
  <c r="F57" i="2"/>
  <c r="E57" i="2"/>
  <c r="H56" i="2"/>
  <c r="G56" i="2"/>
  <c r="F56" i="2"/>
  <c r="E56" i="2"/>
  <c r="H55" i="2"/>
  <c r="G55" i="2"/>
  <c r="F55" i="2"/>
  <c r="E55" i="2"/>
  <c r="H54" i="2"/>
  <c r="G54" i="2"/>
  <c r="F54" i="2"/>
  <c r="E54" i="2"/>
  <c r="H53" i="2"/>
  <c r="G53" i="2"/>
  <c r="F53" i="2"/>
  <c r="E53" i="2"/>
  <c r="H52" i="2"/>
  <c r="G52" i="2"/>
  <c r="F52" i="2"/>
  <c r="E52" i="2"/>
  <c r="H51" i="2"/>
  <c r="G51" i="2"/>
  <c r="F51" i="2"/>
  <c r="E51" i="2"/>
  <c r="H50" i="2"/>
  <c r="G50" i="2"/>
  <c r="F50" i="2"/>
  <c r="E50" i="2"/>
  <c r="H49" i="2"/>
  <c r="G49" i="2"/>
  <c r="F49" i="2"/>
  <c r="E49" i="2"/>
  <c r="H48" i="2"/>
  <c r="G48" i="2"/>
  <c r="F48" i="2"/>
  <c r="E48" i="2"/>
  <c r="H47" i="2"/>
  <c r="G47" i="2"/>
  <c r="F47" i="2"/>
  <c r="E47" i="2"/>
  <c r="H46" i="2"/>
  <c r="G46" i="2"/>
  <c r="F46" i="2"/>
  <c r="E46" i="2"/>
  <c r="H45" i="2"/>
  <c r="G45" i="2"/>
  <c r="F45" i="2"/>
  <c r="E45" i="2"/>
  <c r="H44" i="2"/>
  <c r="G44" i="2"/>
  <c r="F44" i="2"/>
  <c r="E44" i="2"/>
  <c r="H43" i="2"/>
  <c r="G43" i="2"/>
  <c r="F43" i="2"/>
  <c r="E43" i="2"/>
  <c r="H42" i="2"/>
  <c r="G42" i="2"/>
  <c r="F42" i="2"/>
  <c r="E42" i="2"/>
  <c r="H41" i="2"/>
  <c r="G41" i="2"/>
  <c r="F41" i="2"/>
  <c r="E41" i="2"/>
  <c r="H40" i="2"/>
  <c r="G40" i="2"/>
  <c r="F40" i="2"/>
  <c r="E40" i="2"/>
  <c r="H39" i="2"/>
  <c r="G39" i="2"/>
  <c r="F39" i="2"/>
  <c r="E39" i="2"/>
  <c r="H38" i="2"/>
  <c r="G38" i="2"/>
  <c r="F38" i="2"/>
  <c r="E38" i="2"/>
  <c r="H37" i="2"/>
  <c r="G37" i="2"/>
  <c r="F37" i="2"/>
  <c r="E37" i="2"/>
  <c r="H36" i="2"/>
  <c r="G36" i="2"/>
  <c r="F36" i="2"/>
  <c r="E36" i="2"/>
  <c r="H35" i="2"/>
  <c r="G35" i="2"/>
  <c r="F35" i="2"/>
  <c r="E35" i="2"/>
  <c r="H34" i="2"/>
  <c r="G34" i="2"/>
  <c r="F34" i="2"/>
  <c r="E34" i="2"/>
  <c r="H33" i="2"/>
  <c r="G33" i="2"/>
  <c r="F33" i="2"/>
  <c r="E33" i="2"/>
  <c r="H32" i="2"/>
  <c r="G32" i="2"/>
  <c r="F32" i="2"/>
  <c r="E32" i="2"/>
  <c r="H31" i="2"/>
  <c r="G31" i="2"/>
  <c r="F31" i="2"/>
  <c r="E31" i="2"/>
  <c r="H30" i="2"/>
  <c r="G30" i="2"/>
  <c r="F30" i="2"/>
  <c r="E30" i="2"/>
  <c r="H29" i="2"/>
  <c r="G29" i="2"/>
  <c r="F29" i="2"/>
  <c r="E29" i="2"/>
  <c r="H28" i="2"/>
  <c r="G28" i="2"/>
  <c r="F28" i="2"/>
  <c r="E28" i="2"/>
  <c r="H27" i="2"/>
  <c r="G27" i="2"/>
  <c r="F27" i="2"/>
  <c r="E27" i="2"/>
  <c r="H26" i="2"/>
  <c r="G26" i="2"/>
  <c r="F26" i="2"/>
  <c r="E26" i="2"/>
  <c r="H25" i="2"/>
  <c r="G25" i="2"/>
  <c r="F25" i="2"/>
  <c r="E25" i="2"/>
  <c r="H24" i="2"/>
  <c r="G24" i="2"/>
  <c r="F24" i="2"/>
  <c r="E24" i="2"/>
  <c r="H23" i="2"/>
  <c r="G23" i="2"/>
  <c r="F23" i="2"/>
  <c r="E23" i="2"/>
  <c r="H22" i="2"/>
  <c r="G22" i="2"/>
  <c r="F22" i="2"/>
  <c r="E22" i="2"/>
  <c r="H21" i="2"/>
  <c r="G21" i="2"/>
  <c r="F21" i="2"/>
  <c r="E21" i="2"/>
  <c r="H20" i="2"/>
  <c r="G20" i="2"/>
  <c r="F20" i="2"/>
  <c r="E20" i="2"/>
  <c r="H19" i="2"/>
  <c r="G19" i="2"/>
  <c r="F19" i="2"/>
  <c r="E19" i="2"/>
  <c r="H18" i="2"/>
  <c r="G18" i="2"/>
  <c r="F18" i="2"/>
  <c r="E18" i="2"/>
  <c r="H17" i="2"/>
  <c r="G17" i="2"/>
  <c r="F17" i="2"/>
  <c r="E17" i="2"/>
  <c r="H16" i="2"/>
  <c r="G16" i="2"/>
  <c r="F16" i="2"/>
  <c r="E16" i="2"/>
  <c r="H15" i="2"/>
  <c r="G15" i="2"/>
  <c r="F15" i="2"/>
  <c r="E15" i="2"/>
  <c r="H14" i="2"/>
  <c r="G14" i="2"/>
  <c r="F14" i="2"/>
  <c r="E14" i="2"/>
  <c r="H13" i="2"/>
  <c r="G13" i="2"/>
  <c r="F13" i="2"/>
  <c r="E13" i="2"/>
  <c r="H12" i="2"/>
  <c r="G12" i="2"/>
  <c r="F12" i="2"/>
  <c r="E12" i="2"/>
  <c r="H11" i="2"/>
  <c r="G11" i="2"/>
  <c r="F11" i="2"/>
  <c r="E11" i="2"/>
  <c r="H10" i="2"/>
  <c r="G10" i="2"/>
  <c r="F10" i="2"/>
  <c r="E10" i="2"/>
  <c r="H9" i="2"/>
  <c r="G9" i="2"/>
  <c r="F9" i="2"/>
  <c r="E9" i="2"/>
  <c r="I66" i="2"/>
  <c r="H8" i="2"/>
  <c r="G8" i="2"/>
  <c r="F8" i="2"/>
  <c r="E8" i="2"/>
  <c r="D92" i="8"/>
  <c r="J88" i="8"/>
  <c r="J92" i="8"/>
  <c r="D85" i="8"/>
  <c r="J90" i="8"/>
  <c r="G89" i="8"/>
  <c r="J84" i="8"/>
  <c r="D84" i="8"/>
  <c r="E90" i="8"/>
  <c r="H89" i="8"/>
  <c r="E86" i="8"/>
  <c r="H85" i="8"/>
  <c r="E92" i="8"/>
  <c r="H91" i="8"/>
  <c r="K90" i="8"/>
  <c r="E88" i="8"/>
  <c r="H87" i="8"/>
  <c r="K86" i="8"/>
  <c r="E84" i="8"/>
  <c r="H83" i="8"/>
  <c r="E78" i="8"/>
  <c r="H77" i="8"/>
  <c r="K76" i="8"/>
  <c r="E74" i="8"/>
  <c r="H73" i="8"/>
  <c r="K72" i="8"/>
  <c r="E70" i="8"/>
  <c r="H69" i="8"/>
  <c r="J68" i="8"/>
  <c r="F95" i="3"/>
  <c r="C95" i="3"/>
  <c r="G95" i="3"/>
  <c r="D95" i="3"/>
  <c r="H95" i="3"/>
  <c r="I93" i="2"/>
  <c r="B92" i="16"/>
  <c r="B91" i="16"/>
  <c r="B90" i="16"/>
  <c r="B89" i="16"/>
  <c r="B88" i="16"/>
  <c r="B87" i="16"/>
  <c r="B86" i="16"/>
  <c r="B85" i="16"/>
  <c r="B84" i="16"/>
  <c r="B83" i="16"/>
  <c r="B82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93" i="15"/>
  <c r="B92" i="15"/>
  <c r="B91" i="15"/>
  <c r="B90" i="15"/>
  <c r="B89" i="15"/>
  <c r="B88" i="15"/>
  <c r="B87" i="15"/>
  <c r="B86" i="15"/>
  <c r="B85" i="15"/>
  <c r="B84" i="15"/>
  <c r="B83" i="15"/>
  <c r="B80" i="15"/>
  <c r="B79" i="15"/>
  <c r="B78" i="15"/>
  <c r="B77" i="15"/>
  <c r="B76" i="15"/>
  <c r="B75" i="15"/>
  <c r="B74" i="15"/>
  <c r="B73" i="15"/>
  <c r="B72" i="15"/>
  <c r="B71" i="15"/>
  <c r="B70" i="15"/>
  <c r="B69" i="15"/>
  <c r="B66" i="15"/>
  <c r="B65" i="15"/>
  <c r="B64" i="15"/>
  <c r="B63" i="15"/>
  <c r="B62" i="15"/>
  <c r="B61" i="15"/>
  <c r="B60" i="15"/>
  <c r="B59" i="15"/>
  <c r="B58" i="15"/>
  <c r="B57" i="15"/>
  <c r="B56" i="15"/>
  <c r="B55" i="15"/>
  <c r="B54" i="15"/>
  <c r="B53" i="15"/>
  <c r="B52" i="15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O9" i="14"/>
  <c r="O10" i="14"/>
  <c r="O11" i="14"/>
  <c r="O12" i="14"/>
  <c r="O13" i="14"/>
  <c r="O14" i="14"/>
  <c r="O15" i="14"/>
  <c r="O16" i="14"/>
  <c r="O17" i="14"/>
  <c r="O18" i="14"/>
  <c r="O19" i="14"/>
  <c r="O20" i="14"/>
  <c r="O21" i="14"/>
  <c r="O22" i="14"/>
  <c r="O23" i="14"/>
  <c r="O24" i="14"/>
  <c r="O25" i="14"/>
  <c r="O26" i="14"/>
  <c r="O27" i="14"/>
  <c r="O28" i="14"/>
  <c r="O29" i="14"/>
  <c r="O30" i="14"/>
  <c r="O31" i="14"/>
  <c r="O32" i="14"/>
  <c r="O33" i="14"/>
  <c r="O34" i="14"/>
  <c r="O35" i="14"/>
  <c r="O36" i="14"/>
  <c r="O37" i="14"/>
  <c r="O38" i="14"/>
  <c r="O39" i="14"/>
  <c r="O40" i="14"/>
  <c r="O41" i="14"/>
  <c r="O42" i="14"/>
  <c r="O43" i="14"/>
  <c r="O44" i="14"/>
  <c r="O45" i="14"/>
  <c r="O46" i="14"/>
  <c r="O47" i="14"/>
  <c r="O48" i="14"/>
  <c r="O49" i="14"/>
  <c r="O50" i="14"/>
  <c r="O51" i="14"/>
  <c r="O52" i="14"/>
  <c r="O53" i="14"/>
  <c r="O54" i="14"/>
  <c r="O55" i="14"/>
  <c r="O56" i="14"/>
  <c r="O57" i="14"/>
  <c r="O58" i="14"/>
  <c r="O59" i="14"/>
  <c r="O60" i="14"/>
  <c r="O61" i="14"/>
  <c r="O62" i="14"/>
  <c r="O63" i="14"/>
  <c r="O64" i="14"/>
  <c r="O65" i="14"/>
  <c r="O8" i="14"/>
  <c r="F9" i="13"/>
  <c r="H9" i="13"/>
  <c r="J9" i="13"/>
  <c r="F10" i="13"/>
  <c r="H10" i="13"/>
  <c r="J10" i="13"/>
  <c r="F11" i="13"/>
  <c r="H11" i="13"/>
  <c r="J11" i="13"/>
  <c r="F12" i="13"/>
  <c r="H12" i="13"/>
  <c r="J12" i="13"/>
  <c r="F13" i="13"/>
  <c r="H13" i="13"/>
  <c r="J13" i="13"/>
  <c r="F14" i="13"/>
  <c r="H14" i="13"/>
  <c r="J14" i="13"/>
  <c r="F15" i="13"/>
  <c r="H15" i="13"/>
  <c r="J15" i="13"/>
  <c r="F16" i="13"/>
  <c r="H16" i="13"/>
  <c r="J16" i="13"/>
  <c r="F17" i="13"/>
  <c r="H17" i="13"/>
  <c r="J17" i="13"/>
  <c r="F18" i="13"/>
  <c r="H18" i="13"/>
  <c r="J18" i="13"/>
  <c r="F19" i="13"/>
  <c r="H19" i="13"/>
  <c r="J19" i="13"/>
  <c r="F20" i="13"/>
  <c r="H20" i="13"/>
  <c r="J20" i="13"/>
  <c r="F21" i="13"/>
  <c r="H21" i="13"/>
  <c r="J21" i="13"/>
  <c r="F22" i="13"/>
  <c r="H22" i="13"/>
  <c r="J22" i="13"/>
  <c r="F23" i="13"/>
  <c r="H23" i="13"/>
  <c r="J23" i="13"/>
  <c r="F24" i="13"/>
  <c r="H24" i="13"/>
  <c r="J24" i="13"/>
  <c r="F25" i="13"/>
  <c r="H25" i="13"/>
  <c r="J25" i="13"/>
  <c r="F26" i="13"/>
  <c r="H26" i="13"/>
  <c r="J26" i="13"/>
  <c r="F27" i="13"/>
  <c r="H27" i="13"/>
  <c r="J27" i="13"/>
  <c r="F28" i="13"/>
  <c r="H28" i="13"/>
  <c r="J28" i="13"/>
  <c r="F29" i="13"/>
  <c r="H29" i="13"/>
  <c r="J29" i="13"/>
  <c r="F30" i="13"/>
  <c r="H30" i="13"/>
  <c r="J30" i="13"/>
  <c r="F31" i="13"/>
  <c r="H31" i="13"/>
  <c r="J31" i="13"/>
  <c r="F32" i="13"/>
  <c r="H32" i="13"/>
  <c r="J32" i="13"/>
  <c r="F33" i="13"/>
  <c r="H33" i="13"/>
  <c r="J33" i="13"/>
  <c r="F34" i="13"/>
  <c r="H34" i="13"/>
  <c r="J34" i="13"/>
  <c r="F35" i="13"/>
  <c r="H35" i="13"/>
  <c r="J35" i="13"/>
  <c r="F36" i="13"/>
  <c r="H36" i="13"/>
  <c r="J36" i="13"/>
  <c r="F37" i="13"/>
  <c r="H37" i="13"/>
  <c r="J37" i="13"/>
  <c r="F38" i="13"/>
  <c r="H38" i="13"/>
  <c r="J38" i="13"/>
  <c r="F39" i="13"/>
  <c r="H39" i="13"/>
  <c r="J39" i="13"/>
  <c r="F40" i="13"/>
  <c r="H40" i="13"/>
  <c r="J40" i="13"/>
  <c r="F41" i="13"/>
  <c r="H41" i="13"/>
  <c r="J41" i="13"/>
  <c r="F42" i="13"/>
  <c r="H42" i="13"/>
  <c r="J42" i="13"/>
  <c r="F43" i="13"/>
  <c r="H43" i="13"/>
  <c r="J43" i="13"/>
  <c r="F44" i="13"/>
  <c r="H44" i="13"/>
  <c r="J44" i="13"/>
  <c r="F45" i="13"/>
  <c r="H45" i="13"/>
  <c r="J45" i="13"/>
  <c r="F46" i="13"/>
  <c r="H46" i="13"/>
  <c r="J46" i="13"/>
  <c r="F47" i="13"/>
  <c r="H47" i="13"/>
  <c r="J47" i="13"/>
  <c r="F48" i="13"/>
  <c r="H48" i="13"/>
  <c r="J48" i="13"/>
  <c r="F49" i="13"/>
  <c r="H49" i="13"/>
  <c r="J49" i="13"/>
  <c r="F50" i="13"/>
  <c r="H50" i="13"/>
  <c r="J50" i="13"/>
  <c r="F51" i="13"/>
  <c r="H51" i="13"/>
  <c r="J51" i="13"/>
  <c r="F52" i="13"/>
  <c r="H52" i="13"/>
  <c r="J52" i="13"/>
  <c r="F53" i="13"/>
  <c r="H53" i="13"/>
  <c r="J53" i="13"/>
  <c r="F54" i="13"/>
  <c r="H54" i="13"/>
  <c r="J54" i="13"/>
  <c r="F55" i="13"/>
  <c r="H55" i="13"/>
  <c r="J55" i="13"/>
  <c r="F56" i="13"/>
  <c r="H56" i="13"/>
  <c r="J56" i="13"/>
  <c r="F57" i="13"/>
  <c r="H57" i="13"/>
  <c r="J57" i="13"/>
  <c r="F58" i="13"/>
  <c r="H58" i="13"/>
  <c r="J58" i="13"/>
  <c r="F59" i="13"/>
  <c r="H59" i="13"/>
  <c r="J59" i="13"/>
  <c r="F60" i="13"/>
  <c r="H60" i="13"/>
  <c r="J60" i="13"/>
  <c r="F61" i="13"/>
  <c r="H61" i="13"/>
  <c r="J61" i="13"/>
  <c r="F62" i="13"/>
  <c r="H62" i="13"/>
  <c r="J62" i="13"/>
  <c r="J8" i="13"/>
  <c r="H8" i="13"/>
  <c r="F8" i="13"/>
  <c r="I83" i="12"/>
  <c r="E83" i="12"/>
  <c r="I84" i="12"/>
  <c r="I85" i="12"/>
  <c r="I86" i="12"/>
  <c r="I87" i="12"/>
  <c r="E87" i="12"/>
  <c r="I88" i="12"/>
  <c r="I89" i="12"/>
  <c r="I90" i="12"/>
  <c r="I91" i="12"/>
  <c r="E91" i="12"/>
  <c r="I92" i="12"/>
  <c r="H82" i="12"/>
  <c r="I82" i="12"/>
  <c r="I70" i="12"/>
  <c r="E70" i="12"/>
  <c r="I71" i="12"/>
  <c r="I72" i="12"/>
  <c r="I73" i="12"/>
  <c r="H73" i="12"/>
  <c r="I74" i="12"/>
  <c r="I75" i="12"/>
  <c r="H75" i="12"/>
  <c r="I76" i="12"/>
  <c r="I77" i="12"/>
  <c r="H77" i="12"/>
  <c r="I78" i="12"/>
  <c r="I79" i="12"/>
  <c r="H79" i="12"/>
  <c r="E68" i="12"/>
  <c r="I68" i="12"/>
  <c r="I9" i="12"/>
  <c r="H9" i="12"/>
  <c r="I10" i="12"/>
  <c r="I11" i="12"/>
  <c r="H11" i="12"/>
  <c r="I13" i="12"/>
  <c r="G13" i="12"/>
  <c r="I14" i="12"/>
  <c r="I15" i="12"/>
  <c r="G15" i="12"/>
  <c r="I16" i="12"/>
  <c r="I17" i="12"/>
  <c r="G17" i="12"/>
  <c r="I18" i="12"/>
  <c r="I19" i="12"/>
  <c r="G19" i="12"/>
  <c r="I20" i="12"/>
  <c r="I21" i="12"/>
  <c r="G21" i="12"/>
  <c r="I22" i="12"/>
  <c r="I23" i="12"/>
  <c r="G23" i="12"/>
  <c r="I24" i="12"/>
  <c r="I25" i="12"/>
  <c r="G25" i="12"/>
  <c r="I26" i="12"/>
  <c r="I27" i="12"/>
  <c r="G27" i="12"/>
  <c r="I28" i="12"/>
  <c r="I29" i="12"/>
  <c r="G29" i="12"/>
  <c r="I30" i="12"/>
  <c r="G30" i="12"/>
  <c r="I31" i="12"/>
  <c r="G31" i="12"/>
  <c r="I32" i="12"/>
  <c r="G32" i="12"/>
  <c r="I33" i="12"/>
  <c r="G33" i="12"/>
  <c r="I34" i="12"/>
  <c r="G34" i="12"/>
  <c r="I35" i="12"/>
  <c r="G35" i="12"/>
  <c r="I36" i="12"/>
  <c r="G36" i="12"/>
  <c r="I37" i="12"/>
  <c r="G37" i="12"/>
  <c r="I38" i="12"/>
  <c r="G38" i="12"/>
  <c r="I39" i="12"/>
  <c r="D39" i="12"/>
  <c r="I40" i="12"/>
  <c r="G40" i="12"/>
  <c r="I41" i="12"/>
  <c r="D41" i="12"/>
  <c r="I42" i="12"/>
  <c r="G42" i="12"/>
  <c r="I43" i="12"/>
  <c r="D43" i="12"/>
  <c r="I44" i="12"/>
  <c r="G44" i="12"/>
  <c r="I45" i="12"/>
  <c r="D45" i="12"/>
  <c r="I46" i="12"/>
  <c r="G46" i="12"/>
  <c r="I47" i="12"/>
  <c r="D47" i="12"/>
  <c r="I48" i="12"/>
  <c r="G48" i="12"/>
  <c r="I49" i="12"/>
  <c r="D49" i="12"/>
  <c r="I50" i="12"/>
  <c r="G50" i="12"/>
  <c r="I51" i="12"/>
  <c r="D51" i="12"/>
  <c r="I52" i="12"/>
  <c r="G52" i="12"/>
  <c r="I53" i="12"/>
  <c r="D53" i="12"/>
  <c r="I54" i="12"/>
  <c r="D54" i="12"/>
  <c r="I55" i="12"/>
  <c r="D55" i="12"/>
  <c r="I56" i="12"/>
  <c r="D56" i="12"/>
  <c r="I57" i="12"/>
  <c r="D57" i="12"/>
  <c r="I58" i="12"/>
  <c r="H58" i="12"/>
  <c r="I59" i="12"/>
  <c r="D59" i="12"/>
  <c r="I60" i="12"/>
  <c r="H60" i="12"/>
  <c r="I61" i="12"/>
  <c r="D61" i="12"/>
  <c r="I62" i="12"/>
  <c r="D62" i="12"/>
  <c r="I63" i="12"/>
  <c r="D63" i="12"/>
  <c r="I64" i="12"/>
  <c r="D64" i="12"/>
  <c r="I65" i="12"/>
  <c r="D65" i="12"/>
  <c r="I8" i="12"/>
  <c r="F83" i="10"/>
  <c r="H83" i="10"/>
  <c r="G83" i="10"/>
  <c r="F84" i="10"/>
  <c r="G84" i="10"/>
  <c r="F85" i="10"/>
  <c r="H85" i="10"/>
  <c r="G85" i="10"/>
  <c r="F86" i="10"/>
  <c r="H86" i="10"/>
  <c r="G86" i="10"/>
  <c r="F87" i="10"/>
  <c r="H87" i="10"/>
  <c r="G87" i="10"/>
  <c r="F88" i="10"/>
  <c r="H88" i="10"/>
  <c r="G88" i="10"/>
  <c r="F89" i="10"/>
  <c r="H89" i="10"/>
  <c r="G89" i="10"/>
  <c r="F90" i="10"/>
  <c r="H90" i="10"/>
  <c r="G90" i="10"/>
  <c r="F91" i="10"/>
  <c r="H91" i="10"/>
  <c r="G91" i="10"/>
  <c r="F92" i="10"/>
  <c r="H92" i="10"/>
  <c r="G92" i="10"/>
  <c r="G82" i="10"/>
  <c r="H82" i="10"/>
  <c r="F82" i="10"/>
  <c r="F70" i="10"/>
  <c r="H70" i="10"/>
  <c r="G70" i="10"/>
  <c r="F71" i="10"/>
  <c r="H71" i="10"/>
  <c r="G71" i="10"/>
  <c r="F72" i="10"/>
  <c r="H72" i="10"/>
  <c r="G72" i="10"/>
  <c r="F73" i="10"/>
  <c r="H73" i="10"/>
  <c r="G73" i="10"/>
  <c r="F74" i="10"/>
  <c r="H74" i="10"/>
  <c r="G74" i="10"/>
  <c r="F75" i="10"/>
  <c r="H75" i="10"/>
  <c r="G75" i="10"/>
  <c r="F76" i="10"/>
  <c r="H76" i="10"/>
  <c r="G76" i="10"/>
  <c r="F77" i="10"/>
  <c r="H77" i="10"/>
  <c r="G77" i="10"/>
  <c r="F78" i="10"/>
  <c r="H78" i="10"/>
  <c r="G78" i="10"/>
  <c r="C69" i="10"/>
  <c r="C71" i="10"/>
  <c r="C73" i="10"/>
  <c r="C75" i="10"/>
  <c r="C77" i="10"/>
  <c r="H79" i="10"/>
  <c r="G79" i="10"/>
  <c r="G68" i="10"/>
  <c r="H68" i="10"/>
  <c r="F6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D9" i="10"/>
  <c r="D10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9" i="10"/>
  <c r="D60" i="10"/>
  <c r="D61" i="10"/>
  <c r="D62" i="10"/>
  <c r="D63" i="10"/>
  <c r="D64" i="10"/>
  <c r="D65" i="10"/>
  <c r="M9" i="8"/>
  <c r="M13" i="8"/>
  <c r="M17" i="8"/>
  <c r="M21" i="8"/>
  <c r="M25" i="8"/>
  <c r="M29" i="8"/>
  <c r="M33" i="8"/>
  <c r="M37" i="8"/>
  <c r="M41" i="8"/>
  <c r="M45" i="8"/>
  <c r="M49" i="8"/>
  <c r="M53" i="8"/>
  <c r="M57" i="8"/>
  <c r="K9" i="8"/>
  <c r="K11" i="8"/>
  <c r="K13" i="8"/>
  <c r="K15" i="8"/>
  <c r="K17" i="8"/>
  <c r="K19" i="8"/>
  <c r="K21" i="8"/>
  <c r="K23" i="8"/>
  <c r="K25" i="8"/>
  <c r="K27" i="8"/>
  <c r="K29" i="8"/>
  <c r="K31" i="8"/>
  <c r="K33" i="8"/>
  <c r="K35" i="8"/>
  <c r="K37" i="8"/>
  <c r="K39" i="8"/>
  <c r="K41" i="8"/>
  <c r="K43" i="8"/>
  <c r="K45" i="8"/>
  <c r="K47" i="8"/>
  <c r="K49" i="8"/>
  <c r="K51" i="8"/>
  <c r="K53" i="8"/>
  <c r="K55" i="8"/>
  <c r="K57" i="8"/>
  <c r="K59" i="8"/>
  <c r="K61" i="8"/>
  <c r="K63" i="8"/>
  <c r="K65" i="8"/>
  <c r="H10" i="8"/>
  <c r="H12" i="8"/>
  <c r="H14" i="8"/>
  <c r="H16" i="8"/>
  <c r="H18" i="8"/>
  <c r="H20" i="8"/>
  <c r="H22" i="8"/>
  <c r="H24" i="8"/>
  <c r="H26" i="8"/>
  <c r="H28" i="8"/>
  <c r="H30" i="8"/>
  <c r="H32" i="8"/>
  <c r="H34" i="8"/>
  <c r="H36" i="8"/>
  <c r="H38" i="8"/>
  <c r="H40" i="8"/>
  <c r="H42" i="8"/>
  <c r="H44" i="8"/>
  <c r="H46" i="8"/>
  <c r="H48" i="8"/>
  <c r="H50" i="8"/>
  <c r="H52" i="8"/>
  <c r="H54" i="8"/>
  <c r="H56" i="8"/>
  <c r="H58" i="8"/>
  <c r="H60" i="8"/>
  <c r="H62" i="8"/>
  <c r="H64" i="8"/>
  <c r="H8" i="8"/>
  <c r="E10" i="8"/>
  <c r="E12" i="8"/>
  <c r="E14" i="8"/>
  <c r="E16" i="8"/>
  <c r="E18" i="8"/>
  <c r="E20" i="8"/>
  <c r="E22" i="8"/>
  <c r="E24" i="8"/>
  <c r="E26" i="8"/>
  <c r="E28" i="8"/>
  <c r="E30" i="8"/>
  <c r="E32" i="8"/>
  <c r="E34" i="8"/>
  <c r="E36" i="8"/>
  <c r="E38" i="8"/>
  <c r="E40" i="8"/>
  <c r="E42" i="8"/>
  <c r="E44" i="8"/>
  <c r="E46" i="8"/>
  <c r="E48" i="8"/>
  <c r="E50" i="8"/>
  <c r="E52" i="8"/>
  <c r="E54" i="8"/>
  <c r="E56" i="8"/>
  <c r="E58" i="8"/>
  <c r="E60" i="8"/>
  <c r="E62" i="8"/>
  <c r="E64" i="8"/>
  <c r="E8" i="8"/>
  <c r="D58" i="10"/>
  <c r="O90" i="16"/>
  <c r="P86" i="16"/>
  <c r="O85" i="16"/>
  <c r="E66" i="11"/>
  <c r="I66" i="11"/>
  <c r="E80" i="11"/>
  <c r="K63" i="12"/>
  <c r="K55" i="12"/>
  <c r="K51" i="12"/>
  <c r="K47" i="12"/>
  <c r="K43" i="12"/>
  <c r="K39" i="12"/>
  <c r="K35" i="12"/>
  <c r="K31" i="12"/>
  <c r="K23" i="12"/>
  <c r="K19" i="12"/>
  <c r="K15" i="12"/>
  <c r="K11" i="12"/>
  <c r="K79" i="12"/>
  <c r="K75" i="12"/>
  <c r="K71" i="12"/>
  <c r="K92" i="12"/>
  <c r="K88" i="12"/>
  <c r="K84" i="12"/>
  <c r="C89" i="10"/>
  <c r="E87" i="10"/>
  <c r="C85" i="10"/>
  <c r="K65" i="12"/>
  <c r="K61" i="12"/>
  <c r="Q90" i="16"/>
  <c r="H80" i="11"/>
  <c r="Q88" i="16"/>
  <c r="P87" i="16"/>
  <c r="F93" i="14"/>
  <c r="K91" i="12"/>
  <c r="K87" i="12"/>
  <c r="O83" i="16"/>
  <c r="D60" i="12"/>
  <c r="K64" i="12"/>
  <c r="K60" i="12"/>
  <c r="K56" i="12"/>
  <c r="K52" i="12"/>
  <c r="K48" i="12"/>
  <c r="K44" i="12"/>
  <c r="K40" i="12"/>
  <c r="K36" i="12"/>
  <c r="K32" i="12"/>
  <c r="K28" i="12"/>
  <c r="K24" i="12"/>
  <c r="K20" i="12"/>
  <c r="K16" i="12"/>
  <c r="K12" i="12"/>
  <c r="K76" i="12"/>
  <c r="K72" i="12"/>
  <c r="K89" i="12"/>
  <c r="K85" i="12"/>
  <c r="K66" i="13"/>
  <c r="P91" i="16"/>
  <c r="O89" i="16"/>
  <c r="P89" i="16"/>
  <c r="Q85" i="16"/>
  <c r="P83" i="16"/>
  <c r="M43" i="8"/>
  <c r="C56" i="10"/>
  <c r="C48" i="10"/>
  <c r="C36" i="10"/>
  <c r="C28" i="10"/>
  <c r="C16" i="10"/>
  <c r="E64" i="10"/>
  <c r="E52" i="10"/>
  <c r="E44" i="10"/>
  <c r="E32" i="10"/>
  <c r="E24" i="10"/>
  <c r="E78" i="10"/>
  <c r="H65" i="12"/>
  <c r="H54" i="12"/>
  <c r="C64" i="10"/>
  <c r="C60" i="10"/>
  <c r="C52" i="10"/>
  <c r="C44" i="10"/>
  <c r="C40" i="10"/>
  <c r="C32" i="10"/>
  <c r="C24" i="10"/>
  <c r="C20" i="10"/>
  <c r="C12" i="10"/>
  <c r="E60" i="10"/>
  <c r="E56" i="10"/>
  <c r="E48" i="10"/>
  <c r="E40" i="10"/>
  <c r="E36" i="10"/>
  <c r="E28" i="10"/>
  <c r="E20" i="10"/>
  <c r="E16" i="10"/>
  <c r="E12" i="10"/>
  <c r="H62" i="12"/>
  <c r="C66" i="13"/>
  <c r="L80" i="13"/>
  <c r="Q83" i="16"/>
  <c r="M93" i="11"/>
  <c r="N80" i="11"/>
  <c r="H57" i="12"/>
  <c r="D8" i="12"/>
  <c r="G8" i="12"/>
  <c r="C8" i="12"/>
  <c r="M51" i="8"/>
  <c r="M35" i="8"/>
  <c r="M61" i="8"/>
  <c r="M19" i="8"/>
  <c r="M11" i="8"/>
  <c r="K59" i="12"/>
  <c r="M59" i="8"/>
  <c r="K27" i="12"/>
  <c r="M27" i="8"/>
  <c r="E66" i="13"/>
  <c r="H63" i="12"/>
  <c r="D58" i="12"/>
  <c r="H55" i="12"/>
  <c r="M66" i="13"/>
  <c r="C59" i="10"/>
  <c r="C43" i="10"/>
  <c r="C66" i="11"/>
  <c r="K66" i="11"/>
  <c r="G80" i="11"/>
  <c r="H64" i="12"/>
  <c r="H59" i="12"/>
  <c r="H56" i="12"/>
  <c r="D93" i="13"/>
  <c r="C51" i="10"/>
  <c r="C35" i="10"/>
  <c r="C27" i="10"/>
  <c r="C19" i="10"/>
  <c r="K68" i="12"/>
  <c r="K82" i="12"/>
  <c r="E66" i="9"/>
  <c r="E58" i="10"/>
  <c r="E50" i="10"/>
  <c r="E42" i="10"/>
  <c r="E34" i="10"/>
  <c r="E26" i="10"/>
  <c r="E18" i="10"/>
  <c r="E14" i="10"/>
  <c r="G66" i="9"/>
  <c r="J66" i="9"/>
  <c r="L66" i="9"/>
  <c r="E76" i="10"/>
  <c r="D75" i="10"/>
  <c r="E72" i="10"/>
  <c r="D71" i="10"/>
  <c r="E82" i="10"/>
  <c r="C91" i="10"/>
  <c r="D90" i="10"/>
  <c r="E89" i="10"/>
  <c r="C87" i="10"/>
  <c r="D86" i="10"/>
  <c r="E85" i="10"/>
  <c r="C83" i="10"/>
  <c r="H61" i="12"/>
  <c r="H53" i="12"/>
  <c r="K93" i="16"/>
  <c r="P84" i="16"/>
  <c r="P90" i="16"/>
  <c r="O88" i="16"/>
  <c r="O86" i="16"/>
  <c r="Q84" i="16"/>
  <c r="K93" i="13"/>
  <c r="P92" i="16"/>
  <c r="Q91" i="16"/>
  <c r="O91" i="16"/>
  <c r="Q89" i="16"/>
  <c r="Q87" i="16"/>
  <c r="E63" i="8"/>
  <c r="E55" i="8"/>
  <c r="E47" i="8"/>
  <c r="E43" i="8"/>
  <c r="E35" i="8"/>
  <c r="E27" i="8"/>
  <c r="E19" i="8"/>
  <c r="H59" i="8"/>
  <c r="H51" i="8"/>
  <c r="H39" i="8"/>
  <c r="H31" i="8"/>
  <c r="H23" i="8"/>
  <c r="H15" i="8"/>
  <c r="H11" i="8"/>
  <c r="K62" i="8"/>
  <c r="K54" i="8"/>
  <c r="K46" i="8"/>
  <c r="K42" i="8"/>
  <c r="K34" i="8"/>
  <c r="K26" i="8"/>
  <c r="K18" i="8"/>
  <c r="K14" i="8"/>
  <c r="K10" i="8"/>
  <c r="E61" i="8"/>
  <c r="E53" i="8"/>
  <c r="E45" i="8"/>
  <c r="E41" i="8"/>
  <c r="E33" i="8"/>
  <c r="E25" i="8"/>
  <c r="E21" i="8"/>
  <c r="E17" i="8"/>
  <c r="E13" i="8"/>
  <c r="E9" i="8"/>
  <c r="H65" i="8"/>
  <c r="H61" i="8"/>
  <c r="H57" i="8"/>
  <c r="H53" i="8"/>
  <c r="H49" i="8"/>
  <c r="H45" i="8"/>
  <c r="H41" i="8"/>
  <c r="H37" i="8"/>
  <c r="H33" i="8"/>
  <c r="H29" i="8"/>
  <c r="H25" i="8"/>
  <c r="H21" i="8"/>
  <c r="H17" i="8"/>
  <c r="H13" i="8"/>
  <c r="H9" i="8"/>
  <c r="E59" i="8"/>
  <c r="E51" i="8"/>
  <c r="E39" i="8"/>
  <c r="E31" i="8"/>
  <c r="E23" i="8"/>
  <c r="E15" i="8"/>
  <c r="E11" i="8"/>
  <c r="H63" i="8"/>
  <c r="H55" i="8"/>
  <c r="H47" i="8"/>
  <c r="H43" i="8"/>
  <c r="H35" i="8"/>
  <c r="H27" i="8"/>
  <c r="H19" i="8"/>
  <c r="I66" i="8"/>
  <c r="K8" i="8"/>
  <c r="K58" i="8"/>
  <c r="K50" i="8"/>
  <c r="K38" i="8"/>
  <c r="K30" i="8"/>
  <c r="K22" i="8"/>
  <c r="E65" i="8"/>
  <c r="E57" i="8"/>
  <c r="E49" i="8"/>
  <c r="E37" i="8"/>
  <c r="E29" i="8"/>
  <c r="K64" i="8"/>
  <c r="K60" i="8"/>
  <c r="K56" i="8"/>
  <c r="K52" i="8"/>
  <c r="K48" i="8"/>
  <c r="K44" i="8"/>
  <c r="K40" i="8"/>
  <c r="K36" i="8"/>
  <c r="K32" i="8"/>
  <c r="K28" i="8"/>
  <c r="K24" i="8"/>
  <c r="K20" i="8"/>
  <c r="K16" i="8"/>
  <c r="K12" i="8"/>
  <c r="K8" i="12"/>
  <c r="M8" i="8"/>
  <c r="K62" i="12"/>
  <c r="M62" i="8"/>
  <c r="K58" i="12"/>
  <c r="M58" i="8"/>
  <c r="K54" i="12"/>
  <c r="M54" i="8"/>
  <c r="K50" i="12"/>
  <c r="M50" i="8"/>
  <c r="K46" i="12"/>
  <c r="M46" i="8"/>
  <c r="K42" i="12"/>
  <c r="M42" i="8"/>
  <c r="K38" i="12"/>
  <c r="M38" i="8"/>
  <c r="K34" i="12"/>
  <c r="M34" i="8"/>
  <c r="K30" i="12"/>
  <c r="M30" i="8"/>
  <c r="K26" i="12"/>
  <c r="M26" i="8"/>
  <c r="K22" i="12"/>
  <c r="M22" i="8"/>
  <c r="K18" i="12"/>
  <c r="M18" i="8"/>
  <c r="K14" i="12"/>
  <c r="M14" i="8"/>
  <c r="K10" i="12"/>
  <c r="M10" i="8"/>
  <c r="K78" i="12"/>
  <c r="K74" i="12"/>
  <c r="K70" i="12"/>
  <c r="K83" i="12"/>
  <c r="M56" i="8"/>
  <c r="M40" i="8"/>
  <c r="M24" i="8"/>
  <c r="D8" i="10"/>
  <c r="D66" i="9"/>
  <c r="F8" i="10"/>
  <c r="F66" i="10"/>
  <c r="F66" i="9"/>
  <c r="I66" i="9"/>
  <c r="K66" i="9"/>
  <c r="G8" i="10"/>
  <c r="G66" i="10"/>
  <c r="H8" i="10"/>
  <c r="H66" i="10"/>
  <c r="M80" i="13"/>
  <c r="O82" i="16"/>
  <c r="E93" i="16"/>
  <c r="J93" i="16"/>
  <c r="C66" i="8"/>
  <c r="M65" i="8"/>
  <c r="M60" i="8"/>
  <c r="M55" i="8"/>
  <c r="M44" i="8"/>
  <c r="M39" i="8"/>
  <c r="M28" i="8"/>
  <c r="M23" i="8"/>
  <c r="M12" i="8"/>
  <c r="G66" i="11"/>
  <c r="E65" i="12"/>
  <c r="C65" i="12"/>
  <c r="G65" i="12"/>
  <c r="E64" i="12"/>
  <c r="C64" i="12"/>
  <c r="G64" i="12"/>
  <c r="E63" i="12"/>
  <c r="C63" i="12"/>
  <c r="G63" i="12"/>
  <c r="E62" i="12"/>
  <c r="C62" i="12"/>
  <c r="G62" i="12"/>
  <c r="E61" i="12"/>
  <c r="C61" i="12"/>
  <c r="G61" i="12"/>
  <c r="E60" i="12"/>
  <c r="C60" i="12"/>
  <c r="G60" i="12"/>
  <c r="E59" i="12"/>
  <c r="C59" i="12"/>
  <c r="G59" i="12"/>
  <c r="E58" i="12"/>
  <c r="C58" i="12"/>
  <c r="G58" i="12"/>
  <c r="E57" i="12"/>
  <c r="C57" i="12"/>
  <c r="G57" i="12"/>
  <c r="E56" i="12"/>
  <c r="C56" i="12"/>
  <c r="G56" i="12"/>
  <c r="E55" i="12"/>
  <c r="C55" i="12"/>
  <c r="G55" i="12"/>
  <c r="E54" i="12"/>
  <c r="C54" i="12"/>
  <c r="G54" i="12"/>
  <c r="E53" i="12"/>
  <c r="C53" i="12"/>
  <c r="G53" i="12"/>
  <c r="F52" i="12"/>
  <c r="J52" i="12"/>
  <c r="C52" i="12"/>
  <c r="H52" i="12"/>
  <c r="E52" i="12"/>
  <c r="F51" i="12"/>
  <c r="J51" i="12"/>
  <c r="E51" i="12"/>
  <c r="C51" i="12"/>
  <c r="H51" i="12"/>
  <c r="F50" i="12"/>
  <c r="J50" i="12"/>
  <c r="C50" i="12"/>
  <c r="H50" i="12"/>
  <c r="E50" i="12"/>
  <c r="F49" i="12"/>
  <c r="J49" i="12"/>
  <c r="E49" i="12"/>
  <c r="C49" i="12"/>
  <c r="H49" i="12"/>
  <c r="F48" i="12"/>
  <c r="J48" i="12"/>
  <c r="C48" i="12"/>
  <c r="H48" i="12"/>
  <c r="E48" i="12"/>
  <c r="F47" i="12"/>
  <c r="J47" i="12"/>
  <c r="E47" i="12"/>
  <c r="C47" i="12"/>
  <c r="H47" i="12"/>
  <c r="F46" i="12"/>
  <c r="J46" i="12"/>
  <c r="C46" i="12"/>
  <c r="H46" i="12"/>
  <c r="E46" i="12"/>
  <c r="F45" i="12"/>
  <c r="J45" i="12"/>
  <c r="E45" i="12"/>
  <c r="C45" i="12"/>
  <c r="H45" i="12"/>
  <c r="F44" i="12"/>
  <c r="J44" i="12"/>
  <c r="C44" i="12"/>
  <c r="H44" i="12"/>
  <c r="E44" i="12"/>
  <c r="F43" i="12"/>
  <c r="J43" i="12"/>
  <c r="E43" i="12"/>
  <c r="C43" i="12"/>
  <c r="H43" i="12"/>
  <c r="F42" i="12"/>
  <c r="J42" i="12"/>
  <c r="C42" i="12"/>
  <c r="H42" i="12"/>
  <c r="E42" i="12"/>
  <c r="F41" i="12"/>
  <c r="J41" i="12"/>
  <c r="E41" i="12"/>
  <c r="C41" i="12"/>
  <c r="H41" i="12"/>
  <c r="F40" i="12"/>
  <c r="J40" i="12"/>
  <c r="C40" i="12"/>
  <c r="H40" i="12"/>
  <c r="E40" i="12"/>
  <c r="F39" i="12"/>
  <c r="J39" i="12"/>
  <c r="E39" i="12"/>
  <c r="C39" i="12"/>
  <c r="H39" i="12"/>
  <c r="D38" i="12"/>
  <c r="F38" i="12"/>
  <c r="J38" i="12"/>
  <c r="H38" i="12"/>
  <c r="E38" i="12"/>
  <c r="D37" i="12"/>
  <c r="H37" i="12"/>
  <c r="F37" i="12"/>
  <c r="J37" i="12"/>
  <c r="E37" i="12"/>
  <c r="D36" i="12"/>
  <c r="H36" i="12"/>
  <c r="F36" i="12"/>
  <c r="J36" i="12"/>
  <c r="E36" i="12"/>
  <c r="D35" i="12"/>
  <c r="H35" i="12"/>
  <c r="F35" i="12"/>
  <c r="J35" i="12"/>
  <c r="E35" i="12"/>
  <c r="D34" i="12"/>
  <c r="H34" i="12"/>
  <c r="F34" i="12"/>
  <c r="J34" i="12"/>
  <c r="E34" i="12"/>
  <c r="D33" i="12"/>
  <c r="H33" i="12"/>
  <c r="F33" i="12"/>
  <c r="J33" i="12"/>
  <c r="E33" i="12"/>
  <c r="D32" i="12"/>
  <c r="H32" i="12"/>
  <c r="F32" i="12"/>
  <c r="J32" i="12"/>
  <c r="E32" i="12"/>
  <c r="D31" i="12"/>
  <c r="H31" i="12"/>
  <c r="F31" i="12"/>
  <c r="J31" i="12"/>
  <c r="E31" i="12"/>
  <c r="D30" i="12"/>
  <c r="H30" i="12"/>
  <c r="F30" i="12"/>
  <c r="J30" i="12"/>
  <c r="E30" i="12"/>
  <c r="F29" i="12"/>
  <c r="D29" i="12"/>
  <c r="H29" i="12"/>
  <c r="E29" i="12"/>
  <c r="J29" i="12"/>
  <c r="C29" i="12"/>
  <c r="F28" i="12"/>
  <c r="J28" i="12"/>
  <c r="D28" i="12"/>
  <c r="H28" i="12"/>
  <c r="E28" i="12"/>
  <c r="C28" i="12"/>
  <c r="F27" i="12"/>
  <c r="J27" i="12"/>
  <c r="D27" i="12"/>
  <c r="H27" i="12"/>
  <c r="E27" i="12"/>
  <c r="C27" i="12"/>
  <c r="F26" i="12"/>
  <c r="J26" i="12"/>
  <c r="D26" i="12"/>
  <c r="H26" i="12"/>
  <c r="E26" i="12"/>
  <c r="C26" i="12"/>
  <c r="F25" i="12"/>
  <c r="J25" i="12"/>
  <c r="D25" i="12"/>
  <c r="H25" i="12"/>
  <c r="E25" i="12"/>
  <c r="C25" i="12"/>
  <c r="F24" i="12"/>
  <c r="J24" i="12"/>
  <c r="D24" i="12"/>
  <c r="H24" i="12"/>
  <c r="E24" i="12"/>
  <c r="C24" i="12"/>
  <c r="F23" i="12"/>
  <c r="J23" i="12"/>
  <c r="D23" i="12"/>
  <c r="H23" i="12"/>
  <c r="E23" i="12"/>
  <c r="C23" i="12"/>
  <c r="F22" i="12"/>
  <c r="J22" i="12"/>
  <c r="D22" i="12"/>
  <c r="H22" i="12"/>
  <c r="E22" i="12"/>
  <c r="C22" i="12"/>
  <c r="F21" i="12"/>
  <c r="J21" i="12"/>
  <c r="D21" i="12"/>
  <c r="H21" i="12"/>
  <c r="E21" i="12"/>
  <c r="C21" i="12"/>
  <c r="F20" i="12"/>
  <c r="J20" i="12"/>
  <c r="D20" i="12"/>
  <c r="H20" i="12"/>
  <c r="E20" i="12"/>
  <c r="C20" i="12"/>
  <c r="F19" i="12"/>
  <c r="J19" i="12"/>
  <c r="D19" i="12"/>
  <c r="H19" i="12"/>
  <c r="E19" i="12"/>
  <c r="C19" i="12"/>
  <c r="F18" i="12"/>
  <c r="J18" i="12"/>
  <c r="D18" i="12"/>
  <c r="H18" i="12"/>
  <c r="E18" i="12"/>
  <c r="C18" i="12"/>
  <c r="F17" i="12"/>
  <c r="J17" i="12"/>
  <c r="D17" i="12"/>
  <c r="H17" i="12"/>
  <c r="E17" i="12"/>
  <c r="C17" i="12"/>
  <c r="F16" i="12"/>
  <c r="J16" i="12"/>
  <c r="D16" i="12"/>
  <c r="H16" i="12"/>
  <c r="E16" i="12"/>
  <c r="C16" i="12"/>
  <c r="F15" i="12"/>
  <c r="J15" i="12"/>
  <c r="D15" i="12"/>
  <c r="H15" i="12"/>
  <c r="E15" i="12"/>
  <c r="C15" i="12"/>
  <c r="F14" i="12"/>
  <c r="J14" i="12"/>
  <c r="D14" i="12"/>
  <c r="H14" i="12"/>
  <c r="E14" i="12"/>
  <c r="C14" i="12"/>
  <c r="F13" i="12"/>
  <c r="J13" i="12"/>
  <c r="D13" i="12"/>
  <c r="H13" i="12"/>
  <c r="E13" i="12"/>
  <c r="C13" i="12"/>
  <c r="F12" i="12"/>
  <c r="J12" i="12"/>
  <c r="D12" i="12"/>
  <c r="H12" i="12"/>
  <c r="E12" i="12"/>
  <c r="C12" i="12"/>
  <c r="C11" i="12"/>
  <c r="G11" i="12"/>
  <c r="E11" i="12"/>
  <c r="J11" i="12"/>
  <c r="F11" i="12"/>
  <c r="D11" i="12"/>
  <c r="C10" i="12"/>
  <c r="G10" i="12"/>
  <c r="E10" i="12"/>
  <c r="J10" i="12"/>
  <c r="F10" i="12"/>
  <c r="D10" i="12"/>
  <c r="C9" i="12"/>
  <c r="G9" i="12"/>
  <c r="E9" i="12"/>
  <c r="J9" i="12"/>
  <c r="F9" i="12"/>
  <c r="D9" i="12"/>
  <c r="C79" i="12"/>
  <c r="G79" i="12"/>
  <c r="E79" i="12"/>
  <c r="J79" i="12"/>
  <c r="F79" i="12"/>
  <c r="D79" i="12"/>
  <c r="C78" i="12"/>
  <c r="G78" i="12"/>
  <c r="E78" i="12"/>
  <c r="J78" i="12"/>
  <c r="F78" i="12"/>
  <c r="D78" i="12"/>
  <c r="C77" i="12"/>
  <c r="G77" i="12"/>
  <c r="E77" i="12"/>
  <c r="J77" i="12"/>
  <c r="F77" i="12"/>
  <c r="D77" i="12"/>
  <c r="C76" i="12"/>
  <c r="G76" i="12"/>
  <c r="E76" i="12"/>
  <c r="J76" i="12"/>
  <c r="F76" i="12"/>
  <c r="D76" i="12"/>
  <c r="C75" i="12"/>
  <c r="G75" i="12"/>
  <c r="E75" i="12"/>
  <c r="J75" i="12"/>
  <c r="F75" i="12"/>
  <c r="D75" i="12"/>
  <c r="C74" i="12"/>
  <c r="G74" i="12"/>
  <c r="E74" i="12"/>
  <c r="J74" i="12"/>
  <c r="F74" i="12"/>
  <c r="D74" i="12"/>
  <c r="C73" i="12"/>
  <c r="G73" i="12"/>
  <c r="E73" i="12"/>
  <c r="J73" i="12"/>
  <c r="F73" i="12"/>
  <c r="D73" i="12"/>
  <c r="F72" i="12"/>
  <c r="J72" i="12"/>
  <c r="D72" i="12"/>
  <c r="H72" i="12"/>
  <c r="C72" i="12"/>
  <c r="G72" i="12"/>
  <c r="F71" i="12"/>
  <c r="J71" i="12"/>
  <c r="D71" i="12"/>
  <c r="H71" i="12"/>
  <c r="C71" i="12"/>
  <c r="G71" i="12"/>
  <c r="E71" i="12"/>
  <c r="F70" i="12"/>
  <c r="J70" i="12"/>
  <c r="D70" i="12"/>
  <c r="H70" i="12"/>
  <c r="C70" i="12"/>
  <c r="G70" i="12"/>
  <c r="F69" i="12"/>
  <c r="J69" i="12"/>
  <c r="D69" i="12"/>
  <c r="H69" i="12"/>
  <c r="C69" i="12"/>
  <c r="G69" i="12"/>
  <c r="E69" i="12"/>
  <c r="J80" i="11"/>
  <c r="F80" i="11"/>
  <c r="F92" i="12"/>
  <c r="J92" i="12"/>
  <c r="D92" i="12"/>
  <c r="H92" i="12"/>
  <c r="C92" i="12"/>
  <c r="G92" i="12"/>
  <c r="E92" i="12"/>
  <c r="F91" i="12"/>
  <c r="J91" i="12"/>
  <c r="D91" i="12"/>
  <c r="H91" i="12"/>
  <c r="C91" i="12"/>
  <c r="G91" i="12"/>
  <c r="F90" i="12"/>
  <c r="J90" i="12"/>
  <c r="D90" i="12"/>
  <c r="H90" i="12"/>
  <c r="C90" i="12"/>
  <c r="G90" i="12"/>
  <c r="E90" i="12"/>
  <c r="F89" i="12"/>
  <c r="J89" i="12"/>
  <c r="D89" i="12"/>
  <c r="H89" i="12"/>
  <c r="C89" i="12"/>
  <c r="G89" i="12"/>
  <c r="F88" i="12"/>
  <c r="J88" i="12"/>
  <c r="D88" i="12"/>
  <c r="H88" i="12"/>
  <c r="C88" i="12"/>
  <c r="G88" i="12"/>
  <c r="E88" i="12"/>
  <c r="F87" i="12"/>
  <c r="J87" i="12"/>
  <c r="D87" i="12"/>
  <c r="H87" i="12"/>
  <c r="C87" i="12"/>
  <c r="G87" i="12"/>
  <c r="F86" i="12"/>
  <c r="J86" i="12"/>
  <c r="D86" i="12"/>
  <c r="H86" i="12"/>
  <c r="C86" i="12"/>
  <c r="G86" i="12"/>
  <c r="E86" i="12"/>
  <c r="F85" i="12"/>
  <c r="J85" i="12"/>
  <c r="D85" i="12"/>
  <c r="H85" i="12"/>
  <c r="C85" i="12"/>
  <c r="G85" i="12"/>
  <c r="F84" i="12"/>
  <c r="J84" i="12"/>
  <c r="D84" i="12"/>
  <c r="H84" i="12"/>
  <c r="C84" i="12"/>
  <c r="G84" i="12"/>
  <c r="E84" i="12"/>
  <c r="F83" i="12"/>
  <c r="J83" i="12"/>
  <c r="D83" i="12"/>
  <c r="H83" i="12"/>
  <c r="C83" i="12"/>
  <c r="G83" i="12"/>
  <c r="F65" i="12"/>
  <c r="F64" i="12"/>
  <c r="F63" i="12"/>
  <c r="F62" i="12"/>
  <c r="F61" i="12"/>
  <c r="F60" i="12"/>
  <c r="F59" i="12"/>
  <c r="F58" i="12"/>
  <c r="F57" i="12"/>
  <c r="F56" i="12"/>
  <c r="F55" i="12"/>
  <c r="F54" i="12"/>
  <c r="F53" i="12"/>
  <c r="D52" i="12"/>
  <c r="G49" i="12"/>
  <c r="D48" i="12"/>
  <c r="G45" i="12"/>
  <c r="D44" i="12"/>
  <c r="G41" i="12"/>
  <c r="D40" i="12"/>
  <c r="C37" i="12"/>
  <c r="C35" i="12"/>
  <c r="C33" i="12"/>
  <c r="C31" i="12"/>
  <c r="G28" i="12"/>
  <c r="G24" i="12"/>
  <c r="G20" i="12"/>
  <c r="G16" i="12"/>
  <c r="G12" i="12"/>
  <c r="H76" i="12"/>
  <c r="E72" i="12"/>
  <c r="E89" i="12"/>
  <c r="M64" i="8"/>
  <c r="M48" i="8"/>
  <c r="M32" i="8"/>
  <c r="M16" i="8"/>
  <c r="C8" i="10"/>
  <c r="C66" i="9"/>
  <c r="L93" i="9"/>
  <c r="E75" i="10"/>
  <c r="N66" i="13"/>
  <c r="F66" i="8"/>
  <c r="M63" i="8"/>
  <c r="M52" i="8"/>
  <c r="M47" i="8"/>
  <c r="M36" i="8"/>
  <c r="M31" i="8"/>
  <c r="M20" i="8"/>
  <c r="M15" i="8"/>
  <c r="M66" i="11"/>
  <c r="D80" i="11"/>
  <c r="L93" i="11"/>
  <c r="J65" i="12"/>
  <c r="J64" i="12"/>
  <c r="J63" i="12"/>
  <c r="J62" i="12"/>
  <c r="J61" i="12"/>
  <c r="J60" i="12"/>
  <c r="J59" i="12"/>
  <c r="J58" i="12"/>
  <c r="J57" i="12"/>
  <c r="J56" i="12"/>
  <c r="J55" i="12"/>
  <c r="J54" i="12"/>
  <c r="J53" i="12"/>
  <c r="G51" i="12"/>
  <c r="D50" i="12"/>
  <c r="G47" i="12"/>
  <c r="D46" i="12"/>
  <c r="G43" i="12"/>
  <c r="D42" i="12"/>
  <c r="G39" i="12"/>
  <c r="C38" i="12"/>
  <c r="C36" i="12"/>
  <c r="C34" i="12"/>
  <c r="C32" i="12"/>
  <c r="C30" i="12"/>
  <c r="G26" i="12"/>
  <c r="G22" i="12"/>
  <c r="G18" i="12"/>
  <c r="G14" i="12"/>
  <c r="H10" i="12"/>
  <c r="H78" i="12"/>
  <c r="H74" i="12"/>
  <c r="E85" i="12"/>
  <c r="K57" i="12"/>
  <c r="K53" i="12"/>
  <c r="K49" i="12"/>
  <c r="K45" i="12"/>
  <c r="K41" i="12"/>
  <c r="K37" i="12"/>
  <c r="K33" i="12"/>
  <c r="K29" i="12"/>
  <c r="K25" i="12"/>
  <c r="K21" i="12"/>
  <c r="K17" i="12"/>
  <c r="K13" i="12"/>
  <c r="K9" i="12"/>
  <c r="K77" i="12"/>
  <c r="K73" i="12"/>
  <c r="K69" i="12"/>
  <c r="K90" i="12"/>
  <c r="K86" i="12"/>
  <c r="C65" i="10"/>
  <c r="C61" i="10"/>
  <c r="C57" i="10"/>
  <c r="C53" i="10"/>
  <c r="C49" i="10"/>
  <c r="C45" i="10"/>
  <c r="C41" i="10"/>
  <c r="C37" i="10"/>
  <c r="C33" i="10"/>
  <c r="C29" i="10"/>
  <c r="C25" i="10"/>
  <c r="C21" i="10"/>
  <c r="C17" i="10"/>
  <c r="C13" i="10"/>
  <c r="C9" i="10"/>
  <c r="E65" i="10"/>
  <c r="E61" i="10"/>
  <c r="E57" i="10"/>
  <c r="E53" i="10"/>
  <c r="E49" i="10"/>
  <c r="E45" i="10"/>
  <c r="E41" i="10"/>
  <c r="E37" i="10"/>
  <c r="E33" i="10"/>
  <c r="E29" i="10"/>
  <c r="E25" i="10"/>
  <c r="E21" i="10"/>
  <c r="E17" i="10"/>
  <c r="E13" i="10"/>
  <c r="E9" i="10"/>
  <c r="C76" i="10"/>
  <c r="C72" i="10"/>
  <c r="D76" i="10"/>
  <c r="D72" i="10"/>
  <c r="E92" i="10"/>
  <c r="C90" i="10"/>
  <c r="D89" i="10"/>
  <c r="C86" i="10"/>
  <c r="D85" i="10"/>
  <c r="E84" i="10"/>
  <c r="F66" i="11"/>
  <c r="J66" i="11"/>
  <c r="N66" i="11"/>
  <c r="J68" i="12"/>
  <c r="F68" i="12"/>
  <c r="H68" i="12"/>
  <c r="D68" i="12"/>
  <c r="C68" i="12"/>
  <c r="G68" i="12"/>
  <c r="K80" i="11"/>
  <c r="C80" i="11"/>
  <c r="G82" i="12"/>
  <c r="C82" i="12"/>
  <c r="E82" i="12"/>
  <c r="J82" i="12"/>
  <c r="F82" i="12"/>
  <c r="D82" i="12"/>
  <c r="F8" i="12"/>
  <c r="J8" i="12"/>
  <c r="E71" i="10"/>
  <c r="D66" i="11"/>
  <c r="H66" i="11"/>
  <c r="L66" i="11"/>
  <c r="I12" i="12"/>
  <c r="I66" i="12"/>
  <c r="M80" i="11"/>
  <c r="I69" i="12"/>
  <c r="I80" i="12"/>
  <c r="E8" i="12"/>
  <c r="H8" i="12"/>
  <c r="H80" i="14"/>
  <c r="P80" i="14"/>
  <c r="F80" i="14"/>
  <c r="C66" i="14"/>
  <c r="G66" i="14"/>
  <c r="K66" i="14"/>
  <c r="L80" i="14"/>
  <c r="D80" i="14"/>
  <c r="N93" i="14"/>
  <c r="J93" i="14"/>
  <c r="M93" i="16"/>
  <c r="I93" i="16"/>
  <c r="D80" i="13"/>
  <c r="M93" i="13"/>
  <c r="E66" i="14"/>
  <c r="I66" i="14"/>
  <c r="M66" i="14"/>
  <c r="Q66" i="14"/>
  <c r="L93" i="14"/>
  <c r="D93" i="14"/>
  <c r="I66" i="13"/>
  <c r="K80" i="13"/>
  <c r="F66" i="14"/>
  <c r="J66" i="14"/>
  <c r="N66" i="14"/>
  <c r="P93" i="14"/>
  <c r="H93" i="14"/>
  <c r="P82" i="16"/>
  <c r="O87" i="16"/>
  <c r="O84" i="16"/>
  <c r="D66" i="14"/>
  <c r="H66" i="14"/>
  <c r="L66" i="14"/>
  <c r="P66" i="14"/>
  <c r="N80" i="14"/>
  <c r="J80" i="14"/>
  <c r="Q80" i="14"/>
  <c r="I80" i="14"/>
  <c r="H66" i="9"/>
  <c r="Q82" i="16"/>
  <c r="Q92" i="16"/>
  <c r="O92" i="16"/>
  <c r="P88" i="16"/>
  <c r="Q86" i="16"/>
  <c r="P85" i="16"/>
  <c r="D79" i="10"/>
  <c r="F79" i="10"/>
  <c r="P70" i="16"/>
  <c r="Q72" i="16"/>
  <c r="Q78" i="16"/>
  <c r="N24" i="16"/>
  <c r="O28" i="16"/>
  <c r="Q28" i="16"/>
  <c r="O32" i="16"/>
  <c r="N34" i="16"/>
  <c r="N36" i="16"/>
  <c r="N38" i="16"/>
  <c r="O40" i="16"/>
  <c r="P42" i="16"/>
  <c r="P44" i="16"/>
  <c r="Q46" i="16"/>
  <c r="P46" i="16"/>
  <c r="N50" i="16"/>
  <c r="P50" i="16"/>
  <c r="O54" i="16"/>
  <c r="O56" i="16"/>
  <c r="P62" i="16"/>
  <c r="Q9" i="16"/>
  <c r="Q23" i="16"/>
  <c r="N25" i="16"/>
  <c r="P27" i="16"/>
  <c r="P29" i="16"/>
  <c r="N29" i="16"/>
  <c r="P31" i="16"/>
  <c r="N33" i="16"/>
  <c r="P35" i="16"/>
  <c r="N39" i="16"/>
  <c r="Q41" i="16"/>
  <c r="N43" i="16"/>
  <c r="Q43" i="16"/>
  <c r="Q45" i="16"/>
  <c r="P45" i="16"/>
  <c r="N47" i="16"/>
  <c r="N49" i="16"/>
  <c r="P49" i="16"/>
  <c r="P51" i="16"/>
  <c r="Q51" i="16"/>
  <c r="P53" i="16"/>
  <c r="O53" i="16"/>
  <c r="P55" i="16"/>
  <c r="N55" i="16"/>
  <c r="Q55" i="16"/>
  <c r="Q57" i="16"/>
  <c r="P57" i="16"/>
  <c r="Q59" i="16"/>
  <c r="G8" i="16"/>
  <c r="K8" i="16"/>
  <c r="N65" i="16"/>
  <c r="O65" i="16"/>
  <c r="O64" i="16"/>
  <c r="P63" i="16"/>
  <c r="N62" i="16"/>
  <c r="N61" i="16"/>
  <c r="O60" i="16"/>
  <c r="P56" i="16"/>
  <c r="O45" i="16"/>
  <c r="N32" i="16"/>
  <c r="P69" i="16"/>
  <c r="Q73" i="16"/>
  <c r="P79" i="16"/>
  <c r="I93" i="12"/>
  <c r="O66" i="14"/>
  <c r="F93" i="16"/>
  <c r="G93" i="16"/>
  <c r="H93" i="16"/>
  <c r="L93" i="16"/>
  <c r="D93" i="16"/>
  <c r="F9" i="15"/>
  <c r="D11" i="10"/>
  <c r="K80" i="9"/>
  <c r="G69" i="10"/>
  <c r="F80" i="9"/>
  <c r="C63" i="10"/>
  <c r="C55" i="10"/>
  <c r="C23" i="10"/>
  <c r="D73" i="10"/>
  <c r="G93" i="10"/>
  <c r="C68" i="10"/>
  <c r="L80" i="9"/>
  <c r="E88" i="10"/>
  <c r="E62" i="10"/>
  <c r="E22" i="10"/>
  <c r="D78" i="10"/>
  <c r="C15" i="10"/>
  <c r="E59" i="10"/>
  <c r="E55" i="10"/>
  <c r="E47" i="10"/>
  <c r="E43" i="10"/>
  <c r="E35" i="10"/>
  <c r="E27" i="10"/>
  <c r="E23" i="10"/>
  <c r="E15" i="10"/>
  <c r="C62" i="10"/>
  <c r="C58" i="10"/>
  <c r="C54" i="10"/>
  <c r="C50" i="10"/>
  <c r="C46" i="10"/>
  <c r="C42" i="10"/>
  <c r="C38" i="10"/>
  <c r="C34" i="10"/>
  <c r="C30" i="10"/>
  <c r="C26" i="10"/>
  <c r="C22" i="10"/>
  <c r="C18" i="10"/>
  <c r="C14" i="10"/>
  <c r="C10" i="10"/>
  <c r="E8" i="10"/>
  <c r="E10" i="10"/>
  <c r="E68" i="10"/>
  <c r="E79" i="10"/>
  <c r="D74" i="10"/>
  <c r="D91" i="10"/>
  <c r="D83" i="10"/>
  <c r="D70" i="10"/>
  <c r="G80" i="10"/>
  <c r="C47" i="10"/>
  <c r="C39" i="10"/>
  <c r="C31" i="10"/>
  <c r="F69" i="10"/>
  <c r="C80" i="9"/>
  <c r="E77" i="10"/>
  <c r="E73" i="10"/>
  <c r="F80" i="10"/>
  <c r="E69" i="10"/>
  <c r="E54" i="10"/>
  <c r="E46" i="10"/>
  <c r="E38" i="10"/>
  <c r="E30" i="10"/>
  <c r="E11" i="10"/>
  <c r="D87" i="10"/>
  <c r="C11" i="10"/>
  <c r="E63" i="10"/>
  <c r="E51" i="10"/>
  <c r="E39" i="10"/>
  <c r="E31" i="10"/>
  <c r="E19" i="10"/>
  <c r="D68" i="10"/>
  <c r="D77" i="10"/>
  <c r="E74" i="10"/>
  <c r="D69" i="10"/>
  <c r="E91" i="10"/>
  <c r="E83" i="10"/>
  <c r="E70" i="10"/>
  <c r="C78" i="10"/>
  <c r="C74" i="10"/>
  <c r="C70" i="10"/>
  <c r="G80" i="9"/>
  <c r="H69" i="10"/>
  <c r="H80" i="10"/>
  <c r="D82" i="10"/>
  <c r="C92" i="10"/>
  <c r="E90" i="10"/>
  <c r="C88" i="10"/>
  <c r="E86" i="10"/>
  <c r="G93" i="9"/>
  <c r="C93" i="9"/>
  <c r="C84" i="10"/>
  <c r="C79" i="10"/>
  <c r="C82" i="10"/>
  <c r="D92" i="10"/>
  <c r="D88" i="10"/>
  <c r="D84" i="10"/>
  <c r="H84" i="10"/>
  <c r="H93" i="10"/>
  <c r="G94" i="15"/>
  <c r="D94" i="15"/>
  <c r="H94" i="15"/>
  <c r="C94" i="15"/>
  <c r="F94" i="15"/>
  <c r="E94" i="15"/>
  <c r="I94" i="15"/>
  <c r="C93" i="14"/>
  <c r="G93" i="14"/>
  <c r="K93" i="14"/>
  <c r="O80" i="14"/>
  <c r="E80" i="14"/>
  <c r="M80" i="14"/>
  <c r="C80" i="14"/>
  <c r="G80" i="14"/>
  <c r="K80" i="14"/>
  <c r="Q95" i="14"/>
  <c r="C95" i="14"/>
  <c r="G95" i="14"/>
  <c r="K95" i="14"/>
  <c r="E95" i="14"/>
  <c r="M95" i="14"/>
  <c r="I95" i="14"/>
  <c r="E93" i="14"/>
  <c r="I93" i="14"/>
  <c r="M93" i="14"/>
  <c r="Q93" i="14"/>
  <c r="F95" i="14"/>
  <c r="J95" i="14"/>
  <c r="N95" i="14"/>
  <c r="D95" i="14"/>
  <c r="H95" i="14"/>
  <c r="L95" i="14"/>
  <c r="P95" i="14"/>
  <c r="I93" i="13"/>
  <c r="L93" i="13"/>
  <c r="H80" i="13"/>
  <c r="G66" i="13"/>
  <c r="F66" i="13"/>
  <c r="D66" i="13"/>
  <c r="H66" i="13"/>
  <c r="L66" i="13"/>
  <c r="C80" i="13"/>
  <c r="J80" i="13"/>
  <c r="N80" i="13"/>
  <c r="J93" i="13"/>
  <c r="N93" i="13"/>
  <c r="I80" i="13"/>
  <c r="F93" i="13"/>
  <c r="E93" i="13"/>
  <c r="J66" i="13"/>
  <c r="F80" i="13"/>
  <c r="G80" i="13"/>
  <c r="C93" i="13"/>
  <c r="G93" i="13"/>
  <c r="E80" i="13"/>
  <c r="C95" i="11"/>
  <c r="G95" i="11"/>
  <c r="K95" i="11"/>
  <c r="I80" i="11"/>
  <c r="D95" i="11"/>
  <c r="L80" i="11"/>
  <c r="N95" i="11"/>
  <c r="E95" i="11"/>
  <c r="I95" i="11"/>
  <c r="H95" i="11"/>
  <c r="J95" i="11"/>
  <c r="F95" i="11"/>
  <c r="L95" i="11"/>
  <c r="E93" i="11"/>
  <c r="M95" i="11"/>
  <c r="C93" i="11"/>
  <c r="G93" i="11"/>
  <c r="K93" i="11"/>
  <c r="D93" i="11"/>
  <c r="H93" i="11"/>
  <c r="I93" i="11"/>
  <c r="F93" i="11"/>
  <c r="J93" i="11"/>
  <c r="N93" i="11"/>
  <c r="F93" i="10"/>
  <c r="D80" i="9"/>
  <c r="I80" i="9"/>
  <c r="F95" i="9"/>
  <c r="J80" i="9"/>
  <c r="E80" i="9"/>
  <c r="L95" i="9"/>
  <c r="K95" i="9"/>
  <c r="J95" i="9"/>
  <c r="I95" i="9"/>
  <c r="G95" i="9"/>
  <c r="E95" i="9"/>
  <c r="D95" i="9"/>
  <c r="C95" i="9"/>
  <c r="D93" i="9"/>
  <c r="I93" i="9"/>
  <c r="E93" i="9"/>
  <c r="J93" i="9"/>
  <c r="F93" i="9"/>
  <c r="K93" i="9"/>
  <c r="L80" i="8"/>
  <c r="C80" i="8"/>
  <c r="L95" i="8"/>
  <c r="C95" i="8"/>
  <c r="I93" i="8"/>
  <c r="I95" i="8"/>
  <c r="F95" i="8"/>
  <c r="I80" i="8"/>
  <c r="L66" i="8"/>
  <c r="F80" i="8"/>
  <c r="F93" i="8"/>
  <c r="L93" i="8"/>
  <c r="C93" i="8"/>
  <c r="M95" i="13"/>
  <c r="O75" i="16"/>
  <c r="Q71" i="16"/>
  <c r="Q26" i="16"/>
  <c r="N9" i="16"/>
  <c r="Q38" i="16"/>
  <c r="O36" i="16"/>
  <c r="P58" i="16"/>
  <c r="N30" i="16"/>
  <c r="N26" i="16"/>
  <c r="M80" i="8"/>
  <c r="G95" i="12"/>
  <c r="Q93" i="16"/>
  <c r="K95" i="13"/>
  <c r="D95" i="12"/>
  <c r="D93" i="12"/>
  <c r="F66" i="16"/>
  <c r="K95" i="12"/>
  <c r="E80" i="12"/>
  <c r="F93" i="12"/>
  <c r="J80" i="12"/>
  <c r="E66" i="8"/>
  <c r="F95" i="10"/>
  <c r="G95" i="10"/>
  <c r="E93" i="10"/>
  <c r="O8" i="16"/>
  <c r="C95" i="12"/>
  <c r="F80" i="12"/>
  <c r="K80" i="12"/>
  <c r="E66" i="12"/>
  <c r="D66" i="12"/>
  <c r="K93" i="12"/>
  <c r="M66" i="8"/>
  <c r="E80" i="8"/>
  <c r="Q47" i="16"/>
  <c r="P41" i="16"/>
  <c r="Q34" i="16"/>
  <c r="M80" i="16"/>
  <c r="N51" i="16"/>
  <c r="G66" i="16"/>
  <c r="P52" i="16"/>
  <c r="P64" i="16"/>
  <c r="G66" i="12"/>
  <c r="H66" i="8"/>
  <c r="N37" i="16"/>
  <c r="P54" i="16"/>
  <c r="Q30" i="16"/>
  <c r="H95" i="12"/>
  <c r="E93" i="12"/>
  <c r="K66" i="8"/>
  <c r="I95" i="12"/>
  <c r="I95" i="13"/>
  <c r="D95" i="13"/>
  <c r="H66" i="16"/>
  <c r="P72" i="16"/>
  <c r="H81" i="15"/>
  <c r="G96" i="15"/>
  <c r="P93" i="16"/>
  <c r="N93" i="16"/>
  <c r="J66" i="12"/>
  <c r="J93" i="12"/>
  <c r="F95" i="12"/>
  <c r="F66" i="12"/>
  <c r="C66" i="12"/>
  <c r="O93" i="16"/>
  <c r="F81" i="15"/>
  <c r="C93" i="12"/>
  <c r="H95" i="10"/>
  <c r="J95" i="12"/>
  <c r="E95" i="12"/>
  <c r="E81" i="15"/>
  <c r="D95" i="10"/>
  <c r="D80" i="10"/>
  <c r="H66" i="12"/>
  <c r="D80" i="12"/>
  <c r="D66" i="10"/>
  <c r="H93" i="12"/>
  <c r="H80" i="12"/>
  <c r="G80" i="12"/>
  <c r="E66" i="10"/>
  <c r="D67" i="15"/>
  <c r="O41" i="16"/>
  <c r="O50" i="16"/>
  <c r="N23" i="16"/>
  <c r="Q15" i="16"/>
  <c r="N13" i="16"/>
  <c r="P48" i="16"/>
  <c r="Q63" i="16"/>
  <c r="G80" i="16"/>
  <c r="N22" i="16"/>
  <c r="G81" i="15"/>
  <c r="C80" i="12"/>
  <c r="C66" i="10"/>
  <c r="G93" i="12"/>
  <c r="K66" i="12"/>
  <c r="L80" i="16"/>
  <c r="I96" i="15"/>
  <c r="C81" i="15"/>
  <c r="H67" i="15"/>
  <c r="O69" i="16"/>
  <c r="P40" i="16"/>
  <c r="O62" i="16"/>
  <c r="O23" i="16"/>
  <c r="O42" i="16"/>
  <c r="P65" i="16"/>
  <c r="C96" i="15"/>
  <c r="C67" i="15"/>
  <c r="F96" i="15"/>
  <c r="D80" i="16"/>
  <c r="O46" i="16"/>
  <c r="O57" i="16"/>
  <c r="O27" i="16"/>
  <c r="Q53" i="16"/>
  <c r="O61" i="16"/>
  <c r="O21" i="16"/>
  <c r="O19" i="16"/>
  <c r="D66" i="16"/>
  <c r="D95" i="16"/>
  <c r="O16" i="16"/>
  <c r="O58" i="16"/>
  <c r="N63" i="16"/>
  <c r="P68" i="16"/>
  <c r="H80" i="16"/>
  <c r="N28" i="16"/>
  <c r="O22" i="16"/>
  <c r="N20" i="16"/>
  <c r="P12" i="16"/>
  <c r="J66" i="16"/>
  <c r="O72" i="16"/>
  <c r="O70" i="16"/>
  <c r="K80" i="16"/>
  <c r="H96" i="15"/>
  <c r="D81" i="15"/>
  <c r="I67" i="15"/>
  <c r="K66" i="16"/>
  <c r="K95" i="16"/>
  <c r="Q49" i="16"/>
  <c r="Q62" i="16"/>
  <c r="N8" i="16"/>
  <c r="J80" i="16"/>
  <c r="Q75" i="16"/>
  <c r="P71" i="16"/>
  <c r="O39" i="16"/>
  <c r="Q39" i="16"/>
  <c r="O35" i="16"/>
  <c r="Q21" i="16"/>
  <c r="P21" i="16"/>
  <c r="Q17" i="16"/>
  <c r="N17" i="16"/>
  <c r="P61" i="16"/>
  <c r="Q36" i="16"/>
  <c r="P30" i="16"/>
  <c r="P26" i="16"/>
  <c r="P22" i="16"/>
  <c r="O20" i="16"/>
  <c r="Q14" i="16"/>
  <c r="N14" i="16"/>
  <c r="Q12" i="16"/>
  <c r="N10" i="16"/>
  <c r="O10" i="16"/>
  <c r="G67" i="15"/>
  <c r="N31" i="16"/>
  <c r="Q13" i="16"/>
  <c r="Q18" i="16"/>
  <c r="F80" i="16"/>
  <c r="Q8" i="16"/>
  <c r="O11" i="16"/>
  <c r="P60" i="16"/>
  <c r="P8" i="16"/>
  <c r="O49" i="16"/>
  <c r="N45" i="16"/>
  <c r="P13" i="16"/>
  <c r="Q32" i="16"/>
  <c r="P20" i="16"/>
  <c r="N12" i="16"/>
  <c r="E67" i="15"/>
  <c r="Q79" i="16"/>
  <c r="P77" i="16"/>
  <c r="P73" i="16"/>
  <c r="O71" i="16"/>
  <c r="Q61" i="16"/>
  <c r="N59" i="16"/>
  <c r="N57" i="16"/>
  <c r="N53" i="16"/>
  <c r="P47" i="16"/>
  <c r="P43" i="16"/>
  <c r="N41" i="16"/>
  <c r="P39" i="16"/>
  <c r="P37" i="16"/>
  <c r="P33" i="16"/>
  <c r="O31" i="16"/>
  <c r="O29" i="16"/>
  <c r="N19" i="16"/>
  <c r="O17" i="16"/>
  <c r="P15" i="16"/>
  <c r="L66" i="16"/>
  <c r="N60" i="16"/>
  <c r="N64" i="16"/>
  <c r="N58" i="16"/>
  <c r="N56" i="16"/>
  <c r="Q54" i="16"/>
  <c r="Q52" i="16"/>
  <c r="O44" i="16"/>
  <c r="N42" i="16"/>
  <c r="N40" i="16"/>
  <c r="P34" i="16"/>
  <c r="O30" i="16"/>
  <c r="O26" i="16"/>
  <c r="Q24" i="16"/>
  <c r="N18" i="16"/>
  <c r="N16" i="16"/>
  <c r="O14" i="16"/>
  <c r="Q10" i="16"/>
  <c r="P78" i="16"/>
  <c r="Q76" i="16"/>
  <c r="Q74" i="16"/>
  <c r="I80" i="16"/>
  <c r="Q77" i="16"/>
  <c r="Q37" i="16"/>
  <c r="Q35" i="16"/>
  <c r="Q33" i="16"/>
  <c r="O25" i="16"/>
  <c r="P19" i="16"/>
  <c r="O13" i="16"/>
  <c r="Q11" i="16"/>
  <c r="O9" i="16"/>
  <c r="Q60" i="16"/>
  <c r="O63" i="16"/>
  <c r="Q64" i="16"/>
  <c r="N54" i="16"/>
  <c r="N52" i="16"/>
  <c r="Q50" i="16"/>
  <c r="Q48" i="16"/>
  <c r="P36" i="16"/>
  <c r="P32" i="16"/>
  <c r="P16" i="16"/>
  <c r="C95" i="10"/>
  <c r="O79" i="16"/>
  <c r="P75" i="16"/>
  <c r="O73" i="16"/>
  <c r="Q69" i="16"/>
  <c r="P59" i="16"/>
  <c r="N35" i="16"/>
  <c r="Q31" i="16"/>
  <c r="Q29" i="16"/>
  <c r="Q27" i="16"/>
  <c r="P25" i="16"/>
  <c r="P23" i="16"/>
  <c r="N15" i="16"/>
  <c r="O15" i="16"/>
  <c r="N11" i="16"/>
  <c r="P9" i="16"/>
  <c r="Q68" i="16"/>
  <c r="O52" i="16"/>
  <c r="N48" i="16"/>
  <c r="Q44" i="16"/>
  <c r="O38" i="16"/>
  <c r="P28" i="16"/>
  <c r="O24" i="16"/>
  <c r="Q22" i="16"/>
  <c r="Q20" i="16"/>
  <c r="P18" i="16"/>
  <c r="I66" i="16"/>
  <c r="O76" i="16"/>
  <c r="O74" i="16"/>
  <c r="I81" i="15"/>
  <c r="E96" i="15"/>
  <c r="E66" i="16"/>
  <c r="O77" i="16"/>
  <c r="Q65" i="16"/>
  <c r="O59" i="16"/>
  <c r="O55" i="16"/>
  <c r="O51" i="16"/>
  <c r="O47" i="16"/>
  <c r="O43" i="16"/>
  <c r="O37" i="16"/>
  <c r="O33" i="16"/>
  <c r="N27" i="16"/>
  <c r="Q25" i="16"/>
  <c r="N21" i="16"/>
  <c r="Q19" i="16"/>
  <c r="P17" i="16"/>
  <c r="P11" i="16"/>
  <c r="M66" i="16"/>
  <c r="O68" i="16"/>
  <c r="E80" i="16"/>
  <c r="Q58" i="16"/>
  <c r="Q56" i="16"/>
  <c r="O48" i="16"/>
  <c r="N46" i="16"/>
  <c r="N44" i="16"/>
  <c r="Q42" i="16"/>
  <c r="Q40" i="16"/>
  <c r="P38" i="16"/>
  <c r="O34" i="16"/>
  <c r="P24" i="16"/>
  <c r="O18" i="16"/>
  <c r="Q16" i="16"/>
  <c r="P14" i="16"/>
  <c r="O12" i="16"/>
  <c r="P10" i="16"/>
  <c r="O78" i="16"/>
  <c r="P76" i="16"/>
  <c r="P74" i="16"/>
  <c r="Q70" i="16"/>
  <c r="F67" i="15"/>
  <c r="D96" i="15"/>
  <c r="E95" i="10"/>
  <c r="C93" i="10"/>
  <c r="C80" i="10"/>
  <c r="D93" i="10"/>
  <c r="E80" i="10"/>
  <c r="O93" i="14"/>
  <c r="O95" i="14"/>
  <c r="L95" i="13"/>
  <c r="E95" i="13"/>
  <c r="G95" i="13"/>
  <c r="N95" i="13"/>
  <c r="H93" i="13"/>
  <c r="H95" i="13"/>
  <c r="C95" i="13"/>
  <c r="F95" i="13"/>
  <c r="J95" i="13"/>
  <c r="H80" i="8"/>
  <c r="K80" i="8"/>
  <c r="F95" i="16"/>
  <c r="G95" i="16"/>
  <c r="L95" i="16"/>
  <c r="H95" i="16"/>
  <c r="M95" i="16"/>
  <c r="O66" i="16"/>
  <c r="J95" i="16"/>
  <c r="N66" i="16"/>
  <c r="E95" i="16"/>
  <c r="N80" i="16"/>
  <c r="P66" i="16"/>
  <c r="P80" i="16"/>
  <c r="O80" i="16"/>
  <c r="Q80" i="16"/>
  <c r="I95" i="16"/>
  <c r="Q66" i="16"/>
  <c r="O95" i="16"/>
  <c r="N95" i="16"/>
  <c r="P95" i="16"/>
  <c r="Q95" i="16"/>
  <c r="D92" i="7"/>
  <c r="D71" i="7"/>
  <c r="D79" i="7"/>
  <c r="F83" i="7"/>
  <c r="F82" i="7"/>
  <c r="F69" i="7"/>
  <c r="F68" i="7"/>
  <c r="C10" i="7"/>
  <c r="C11" i="7"/>
  <c r="D15" i="7"/>
  <c r="D19" i="7"/>
  <c r="D23" i="7"/>
  <c r="D27" i="7"/>
  <c r="D31" i="7"/>
  <c r="D35" i="7"/>
  <c r="C42" i="7"/>
  <c r="F9" i="7"/>
  <c r="C75" i="7"/>
  <c r="D36" i="7"/>
  <c r="H65" i="7"/>
  <c r="H61" i="7"/>
  <c r="H57" i="7"/>
  <c r="H53" i="7"/>
  <c r="H49" i="7"/>
  <c r="H41" i="7"/>
  <c r="H45" i="7"/>
  <c r="I83" i="7"/>
  <c r="H79" i="7"/>
  <c r="H75" i="7"/>
  <c r="I52" i="7"/>
  <c r="I36" i="7"/>
  <c r="G64" i="7"/>
  <c r="G48" i="7"/>
  <c r="F66" i="6"/>
  <c r="J66" i="6"/>
  <c r="I65" i="7"/>
  <c r="G65" i="7"/>
  <c r="I61" i="7"/>
  <c r="G61" i="7"/>
  <c r="I57" i="7"/>
  <c r="I53" i="7"/>
  <c r="G53" i="7"/>
  <c r="I49" i="7"/>
  <c r="I45" i="7"/>
  <c r="G45" i="7"/>
  <c r="I41" i="7"/>
  <c r="G37" i="7"/>
  <c r="I33" i="7"/>
  <c r="G29" i="7"/>
  <c r="I25" i="7"/>
  <c r="G21" i="7"/>
  <c r="I17" i="7"/>
  <c r="G13" i="7"/>
  <c r="G68" i="7"/>
  <c r="I68" i="7"/>
  <c r="I79" i="7"/>
  <c r="I75" i="7"/>
  <c r="I71" i="7"/>
  <c r="I90" i="7"/>
  <c r="G90" i="7"/>
  <c r="I86" i="7"/>
  <c r="I82" i="7"/>
  <c r="G58" i="8"/>
  <c r="D58" i="8"/>
  <c r="J58" i="8"/>
  <c r="G50" i="8"/>
  <c r="D50" i="8"/>
  <c r="J50" i="8"/>
  <c r="G46" i="8"/>
  <c r="D46" i="8"/>
  <c r="J46" i="8"/>
  <c r="F42" i="7"/>
  <c r="G34" i="8"/>
  <c r="D34" i="8"/>
  <c r="J34" i="8"/>
  <c r="G30" i="8"/>
  <c r="D30" i="8"/>
  <c r="J30" i="8"/>
  <c r="G22" i="8"/>
  <c r="D22" i="8"/>
  <c r="J22" i="8"/>
  <c r="D14" i="8"/>
  <c r="G14" i="8"/>
  <c r="J14" i="8"/>
  <c r="F72" i="7"/>
  <c r="C66" i="6"/>
  <c r="G66" i="6"/>
  <c r="H8" i="7"/>
  <c r="K66" i="6"/>
  <c r="J51" i="8"/>
  <c r="G51" i="8"/>
  <c r="D51" i="8"/>
  <c r="J35" i="8"/>
  <c r="D35" i="8"/>
  <c r="G35" i="8"/>
  <c r="F35" i="7"/>
  <c r="J27" i="8"/>
  <c r="G27" i="8"/>
  <c r="D27" i="8"/>
  <c r="J19" i="8"/>
  <c r="D19" i="8"/>
  <c r="G19" i="8"/>
  <c r="J15" i="8"/>
  <c r="G15" i="8"/>
  <c r="D15" i="8"/>
  <c r="F11" i="7"/>
  <c r="F8" i="7"/>
  <c r="E66" i="6"/>
  <c r="I66" i="6"/>
  <c r="M66" i="6"/>
  <c r="G8" i="8"/>
  <c r="D8" i="8"/>
  <c r="J8" i="8"/>
  <c r="J65" i="8"/>
  <c r="D65" i="8"/>
  <c r="G65" i="8"/>
  <c r="J61" i="8"/>
  <c r="D61" i="8"/>
  <c r="G61" i="8"/>
  <c r="J57" i="8"/>
  <c r="D57" i="8"/>
  <c r="G57" i="8"/>
  <c r="J53" i="8"/>
  <c r="G53" i="8"/>
  <c r="D53" i="8"/>
  <c r="F53" i="7"/>
  <c r="J49" i="8"/>
  <c r="D49" i="8"/>
  <c r="G49" i="8"/>
  <c r="J45" i="8"/>
  <c r="D45" i="8"/>
  <c r="G45" i="8"/>
  <c r="J41" i="8"/>
  <c r="D41" i="8"/>
  <c r="G41" i="8"/>
  <c r="F41" i="7"/>
  <c r="J37" i="8"/>
  <c r="G37" i="8"/>
  <c r="D37" i="8"/>
  <c r="J33" i="8"/>
  <c r="D33" i="8"/>
  <c r="G33" i="8"/>
  <c r="G32" i="7"/>
  <c r="J29" i="8"/>
  <c r="D29" i="8"/>
  <c r="G29" i="8"/>
  <c r="J25" i="8"/>
  <c r="D25" i="8"/>
  <c r="G25" i="8"/>
  <c r="H23" i="7"/>
  <c r="J21" i="8"/>
  <c r="D21" i="8"/>
  <c r="G21" i="8"/>
  <c r="F21" i="7"/>
  <c r="I20" i="7"/>
  <c r="J17" i="8"/>
  <c r="D17" i="8"/>
  <c r="G17" i="8"/>
  <c r="G16" i="7"/>
  <c r="J13" i="8"/>
  <c r="D13" i="8"/>
  <c r="G13" i="8"/>
  <c r="I69" i="7"/>
  <c r="G62" i="8"/>
  <c r="D62" i="8"/>
  <c r="J62" i="8"/>
  <c r="F62" i="7"/>
  <c r="D54" i="8"/>
  <c r="G54" i="8"/>
  <c r="J54" i="8"/>
  <c r="G42" i="8"/>
  <c r="D42" i="8"/>
  <c r="J42" i="8"/>
  <c r="G38" i="8"/>
  <c r="D38" i="8"/>
  <c r="J38" i="8"/>
  <c r="F30" i="7"/>
  <c r="G26" i="8"/>
  <c r="D26" i="8"/>
  <c r="J26" i="8"/>
  <c r="G18" i="8"/>
  <c r="D18" i="8"/>
  <c r="J18" i="8"/>
  <c r="G10" i="8"/>
  <c r="D10" i="8"/>
  <c r="J10" i="8"/>
  <c r="J63" i="8"/>
  <c r="D63" i="8"/>
  <c r="G63" i="8"/>
  <c r="J59" i="8"/>
  <c r="G59" i="8"/>
  <c r="D59" i="8"/>
  <c r="H55" i="7"/>
  <c r="J55" i="8"/>
  <c r="G55" i="8"/>
  <c r="D55" i="8"/>
  <c r="J47" i="8"/>
  <c r="D47" i="8"/>
  <c r="G47" i="8"/>
  <c r="J43" i="8"/>
  <c r="G43" i="8"/>
  <c r="D43" i="8"/>
  <c r="H39" i="7"/>
  <c r="J39" i="8"/>
  <c r="G39" i="8"/>
  <c r="D39" i="8"/>
  <c r="J31" i="8"/>
  <c r="G31" i="8"/>
  <c r="D31" i="8"/>
  <c r="F31" i="7"/>
  <c r="J23" i="8"/>
  <c r="G23" i="8"/>
  <c r="D23" i="8"/>
  <c r="F19" i="7"/>
  <c r="J11" i="8"/>
  <c r="G11" i="8"/>
  <c r="D11" i="8"/>
  <c r="I72" i="7"/>
  <c r="D66" i="4"/>
  <c r="D66" i="6"/>
  <c r="G8" i="7"/>
  <c r="H66" i="6"/>
  <c r="I8" i="7"/>
  <c r="L66" i="6"/>
  <c r="J9" i="8"/>
  <c r="D9" i="8"/>
  <c r="G9" i="8"/>
  <c r="G64" i="8"/>
  <c r="D64" i="8"/>
  <c r="J64" i="8"/>
  <c r="H62" i="7"/>
  <c r="D60" i="8"/>
  <c r="G60" i="8"/>
  <c r="J60" i="8"/>
  <c r="H58" i="7"/>
  <c r="G56" i="8"/>
  <c r="D56" i="8"/>
  <c r="J56" i="8"/>
  <c r="H54" i="7"/>
  <c r="G52" i="8"/>
  <c r="D52" i="8"/>
  <c r="J52" i="8"/>
  <c r="H50" i="7"/>
  <c r="G48" i="8"/>
  <c r="D48" i="8"/>
  <c r="J48" i="8"/>
  <c r="H46" i="7"/>
  <c r="D44" i="8"/>
  <c r="G44" i="8"/>
  <c r="J44" i="8"/>
  <c r="H42" i="7"/>
  <c r="G40" i="8"/>
  <c r="D40" i="8"/>
  <c r="J40" i="8"/>
  <c r="H38" i="7"/>
  <c r="G36" i="8"/>
  <c r="D36" i="8"/>
  <c r="J36" i="8"/>
  <c r="G32" i="8"/>
  <c r="D32" i="8"/>
  <c r="J32" i="8"/>
  <c r="H30" i="7"/>
  <c r="G28" i="8"/>
  <c r="D28" i="8"/>
  <c r="J28" i="8"/>
  <c r="H26" i="7"/>
  <c r="G24" i="8"/>
  <c r="D24" i="8"/>
  <c r="J24" i="8"/>
  <c r="H22" i="7"/>
  <c r="G20" i="8"/>
  <c r="D20" i="8"/>
  <c r="J20" i="8"/>
  <c r="I19" i="7"/>
  <c r="G16" i="8"/>
  <c r="D16" i="8"/>
  <c r="J16" i="8"/>
  <c r="I15" i="7"/>
  <c r="H14" i="7"/>
  <c r="D12" i="8"/>
  <c r="G12" i="8"/>
  <c r="J12" i="8"/>
  <c r="I11" i="7"/>
  <c r="H10" i="7"/>
  <c r="I77" i="7"/>
  <c r="H76" i="7"/>
  <c r="F74" i="7"/>
  <c r="I73" i="7"/>
  <c r="E80" i="6"/>
  <c r="I92" i="7"/>
  <c r="G88" i="7"/>
  <c r="H87" i="7"/>
  <c r="I84" i="7"/>
  <c r="G91" i="7"/>
  <c r="I87" i="7"/>
  <c r="H84" i="7"/>
  <c r="C92" i="7"/>
  <c r="E92" i="7"/>
  <c r="D88" i="7"/>
  <c r="C84" i="7"/>
  <c r="H63" i="7"/>
  <c r="I60" i="7"/>
  <c r="F57" i="7"/>
  <c r="G56" i="7"/>
  <c r="H47" i="7"/>
  <c r="I44" i="7"/>
  <c r="G40" i="7"/>
  <c r="F37" i="7"/>
  <c r="G36" i="7"/>
  <c r="H35" i="7"/>
  <c r="I32" i="7"/>
  <c r="H31" i="7"/>
  <c r="I28" i="7"/>
  <c r="H27" i="7"/>
  <c r="F25" i="7"/>
  <c r="I24" i="7"/>
  <c r="G24" i="7"/>
  <c r="G20" i="7"/>
  <c r="H19" i="7"/>
  <c r="I16" i="7"/>
  <c r="H15" i="7"/>
  <c r="I12" i="7"/>
  <c r="G12" i="7"/>
  <c r="H11" i="7"/>
  <c r="H68" i="7"/>
  <c r="G69" i="7"/>
  <c r="I78" i="7"/>
  <c r="G78" i="7"/>
  <c r="H77" i="7"/>
  <c r="I74" i="7"/>
  <c r="G74" i="7"/>
  <c r="H73" i="7"/>
  <c r="C71" i="7"/>
  <c r="E71" i="7"/>
  <c r="I70" i="7"/>
  <c r="G70" i="7"/>
  <c r="H92" i="7"/>
  <c r="F90" i="7"/>
  <c r="I89" i="7"/>
  <c r="G89" i="7"/>
  <c r="H88" i="7"/>
  <c r="H86" i="7"/>
  <c r="I85" i="7"/>
  <c r="G85" i="7"/>
  <c r="K93" i="6"/>
  <c r="F58" i="7"/>
  <c r="F46" i="7"/>
  <c r="H36" i="7"/>
  <c r="H34" i="7"/>
  <c r="H32" i="7"/>
  <c r="H28" i="7"/>
  <c r="F26" i="7"/>
  <c r="H24" i="7"/>
  <c r="H20" i="7"/>
  <c r="H18" i="7"/>
  <c r="H16" i="7"/>
  <c r="F14" i="7"/>
  <c r="H12" i="7"/>
  <c r="H83" i="7"/>
  <c r="H78" i="7"/>
  <c r="H74" i="7"/>
  <c r="H70" i="7"/>
  <c r="H89" i="7"/>
  <c r="H85" i="7"/>
  <c r="C31" i="7"/>
  <c r="E31" i="7"/>
  <c r="G9" i="7"/>
  <c r="I9" i="7"/>
  <c r="C63" i="7"/>
  <c r="I62" i="7"/>
  <c r="G62" i="7"/>
  <c r="I58" i="7"/>
  <c r="G58" i="7"/>
  <c r="I54" i="7"/>
  <c r="G54" i="7"/>
  <c r="F51" i="7"/>
  <c r="I50" i="7"/>
  <c r="G50" i="7"/>
  <c r="C47" i="7"/>
  <c r="I46" i="7"/>
  <c r="G46" i="7"/>
  <c r="I42" i="7"/>
  <c r="G42" i="7"/>
  <c r="I38" i="7"/>
  <c r="F27" i="7"/>
  <c r="C23" i="7"/>
  <c r="E23" i="7"/>
  <c r="C15" i="7"/>
  <c r="E15" i="7"/>
  <c r="I76" i="7"/>
  <c r="F73" i="7"/>
  <c r="F92" i="7"/>
  <c r="C89" i="7"/>
  <c r="F59" i="7"/>
  <c r="F63" i="7"/>
  <c r="F64" i="7"/>
  <c r="G63" i="7"/>
  <c r="G59" i="7"/>
  <c r="I55" i="7"/>
  <c r="G51" i="7"/>
  <c r="I47" i="7"/>
  <c r="I43" i="7"/>
  <c r="F40" i="7"/>
  <c r="G39" i="7"/>
  <c r="F65" i="7"/>
  <c r="I64" i="7"/>
  <c r="F61" i="7"/>
  <c r="G60" i="7"/>
  <c r="D60" i="7"/>
  <c r="H59" i="7"/>
  <c r="I56" i="7"/>
  <c r="G52" i="7"/>
  <c r="H51" i="7"/>
  <c r="F49" i="7"/>
  <c r="I48" i="7"/>
  <c r="F45" i="7"/>
  <c r="G44" i="7"/>
  <c r="H43" i="7"/>
  <c r="I40" i="7"/>
  <c r="F33" i="7"/>
  <c r="F29" i="7"/>
  <c r="D28" i="7"/>
  <c r="G28" i="7"/>
  <c r="F17" i="7"/>
  <c r="F13" i="7"/>
  <c r="F79" i="7"/>
  <c r="F75" i="7"/>
  <c r="F86" i="7"/>
  <c r="D52" i="7"/>
  <c r="F47" i="7"/>
  <c r="F71" i="7"/>
  <c r="C55" i="7"/>
  <c r="F55" i="7"/>
  <c r="F43" i="7"/>
  <c r="F39" i="7"/>
  <c r="C39" i="7"/>
  <c r="I63" i="7"/>
  <c r="F60" i="7"/>
  <c r="I59" i="7"/>
  <c r="F56" i="7"/>
  <c r="G55" i="7"/>
  <c r="F52" i="7"/>
  <c r="I51" i="7"/>
  <c r="F48" i="7"/>
  <c r="G47" i="7"/>
  <c r="F44" i="7"/>
  <c r="G43" i="7"/>
  <c r="I39" i="7"/>
  <c r="D63" i="7"/>
  <c r="D59" i="7"/>
  <c r="D55" i="7"/>
  <c r="D51" i="7"/>
  <c r="D47" i="7"/>
  <c r="D43" i="7"/>
  <c r="D39" i="7"/>
  <c r="H9" i="7"/>
  <c r="H64" i="7"/>
  <c r="H60" i="7"/>
  <c r="G57" i="7"/>
  <c r="H56" i="7"/>
  <c r="F54" i="7"/>
  <c r="H52" i="7"/>
  <c r="F50" i="7"/>
  <c r="G49" i="7"/>
  <c r="H48" i="7"/>
  <c r="H44" i="7"/>
  <c r="G41" i="7"/>
  <c r="H40" i="7"/>
  <c r="F38" i="7"/>
  <c r="I37" i="7"/>
  <c r="F34" i="7"/>
  <c r="G33" i="7"/>
  <c r="I29" i="7"/>
  <c r="G25" i="7"/>
  <c r="F22" i="7"/>
  <c r="I21" i="7"/>
  <c r="F18" i="7"/>
  <c r="G17" i="7"/>
  <c r="I13" i="7"/>
  <c r="F10" i="7"/>
  <c r="G79" i="7"/>
  <c r="F76" i="7"/>
  <c r="G75" i="7"/>
  <c r="D75" i="7"/>
  <c r="E75" i="7"/>
  <c r="G71" i="7"/>
  <c r="F91" i="7"/>
  <c r="F87" i="7"/>
  <c r="G86" i="7"/>
  <c r="D20" i="7"/>
  <c r="F36" i="7"/>
  <c r="I35" i="7"/>
  <c r="G35" i="7"/>
  <c r="F32" i="7"/>
  <c r="I31" i="7"/>
  <c r="G31" i="7"/>
  <c r="F28" i="7"/>
  <c r="I27" i="7"/>
  <c r="G27" i="7"/>
  <c r="F24" i="7"/>
  <c r="I23" i="7"/>
  <c r="G23" i="7"/>
  <c r="F20" i="7"/>
  <c r="G19" i="7"/>
  <c r="F16" i="7"/>
  <c r="G15" i="7"/>
  <c r="F12" i="7"/>
  <c r="G11" i="7"/>
  <c r="F80" i="6"/>
  <c r="C80" i="6"/>
  <c r="K80" i="6"/>
  <c r="H69" i="7"/>
  <c r="G82" i="7"/>
  <c r="F78" i="7"/>
  <c r="G77" i="7"/>
  <c r="G73" i="7"/>
  <c r="H72" i="7"/>
  <c r="J80" i="6"/>
  <c r="M80" i="6"/>
  <c r="I80" i="6"/>
  <c r="F70" i="7"/>
  <c r="G92" i="7"/>
  <c r="H91" i="7"/>
  <c r="I88" i="7"/>
  <c r="F85" i="7"/>
  <c r="G84" i="7"/>
  <c r="F15" i="7"/>
  <c r="G38" i="7"/>
  <c r="H37" i="7"/>
  <c r="I34" i="7"/>
  <c r="G34" i="7"/>
  <c r="H33" i="7"/>
  <c r="I30" i="7"/>
  <c r="G30" i="7"/>
  <c r="H29" i="7"/>
  <c r="I26" i="7"/>
  <c r="G26" i="7"/>
  <c r="H25" i="7"/>
  <c r="I22" i="7"/>
  <c r="G22" i="7"/>
  <c r="H21" i="7"/>
  <c r="I18" i="7"/>
  <c r="G18" i="7"/>
  <c r="H17" i="7"/>
  <c r="I14" i="7"/>
  <c r="G14" i="7"/>
  <c r="H13" i="7"/>
  <c r="I10" i="7"/>
  <c r="G10" i="7"/>
  <c r="H82" i="7"/>
  <c r="D93" i="6"/>
  <c r="H93" i="6"/>
  <c r="G83" i="7"/>
  <c r="L93" i="6"/>
  <c r="F77" i="7"/>
  <c r="G76" i="7"/>
  <c r="G72" i="7"/>
  <c r="H71" i="7"/>
  <c r="I91" i="7"/>
  <c r="H90" i="7"/>
  <c r="F88" i="7"/>
  <c r="C88" i="7"/>
  <c r="G87" i="7"/>
  <c r="G93" i="6"/>
  <c r="C93" i="6"/>
  <c r="F93" i="6"/>
  <c r="F84" i="7"/>
  <c r="F23" i="7"/>
  <c r="F89" i="7"/>
  <c r="D72" i="7"/>
  <c r="D8" i="7"/>
  <c r="D58" i="7"/>
  <c r="D46" i="7"/>
  <c r="C46" i="7"/>
  <c r="D34" i="7"/>
  <c r="D26" i="7"/>
  <c r="C78" i="7"/>
  <c r="C70" i="7"/>
  <c r="D70" i="7"/>
  <c r="C87" i="7"/>
  <c r="D87" i="7"/>
  <c r="C61" i="7"/>
  <c r="D61" i="7"/>
  <c r="C49" i="7"/>
  <c r="D49" i="7"/>
  <c r="C37" i="7"/>
  <c r="D37" i="7"/>
  <c r="C25" i="7"/>
  <c r="D25" i="7"/>
  <c r="C77" i="7"/>
  <c r="D77" i="7"/>
  <c r="D86" i="7"/>
  <c r="C86" i="7"/>
  <c r="C64" i="7"/>
  <c r="D64" i="7"/>
  <c r="C56" i="7"/>
  <c r="D56" i="7"/>
  <c r="C44" i="7"/>
  <c r="C32" i="7"/>
  <c r="D32" i="7"/>
  <c r="C24" i="7"/>
  <c r="D24" i="7"/>
  <c r="C12" i="7"/>
  <c r="C68" i="7"/>
  <c r="D68" i="7"/>
  <c r="D89" i="7"/>
  <c r="C58" i="7"/>
  <c r="C26" i="7"/>
  <c r="D78" i="7"/>
  <c r="D62" i="7"/>
  <c r="C62" i="7"/>
  <c r="D54" i="7"/>
  <c r="C54" i="7"/>
  <c r="D50" i="7"/>
  <c r="D42" i="7"/>
  <c r="E42" i="7"/>
  <c r="D38" i="7"/>
  <c r="C38" i="7"/>
  <c r="D30" i="7"/>
  <c r="C30" i="7"/>
  <c r="D22" i="7"/>
  <c r="C22" i="7"/>
  <c r="D18" i="7"/>
  <c r="D14" i="7"/>
  <c r="C14" i="7"/>
  <c r="D10" i="7"/>
  <c r="E10" i="7"/>
  <c r="D74" i="7"/>
  <c r="C74" i="7"/>
  <c r="D91" i="7"/>
  <c r="C91" i="7"/>
  <c r="C83" i="7"/>
  <c r="D83" i="7"/>
  <c r="C65" i="7"/>
  <c r="D65" i="7"/>
  <c r="C57" i="7"/>
  <c r="D57" i="7"/>
  <c r="C53" i="7"/>
  <c r="D53" i="7"/>
  <c r="C45" i="7"/>
  <c r="D45" i="7"/>
  <c r="C41" i="7"/>
  <c r="D41" i="7"/>
  <c r="C33" i="7"/>
  <c r="D33" i="7"/>
  <c r="C29" i="7"/>
  <c r="D29" i="7"/>
  <c r="C21" i="7"/>
  <c r="D21" i="7"/>
  <c r="C17" i="7"/>
  <c r="D17" i="7"/>
  <c r="C13" i="7"/>
  <c r="D13" i="7"/>
  <c r="C9" i="7"/>
  <c r="D9" i="7"/>
  <c r="D73" i="7"/>
  <c r="C73" i="7"/>
  <c r="C69" i="7"/>
  <c r="D69" i="7"/>
  <c r="C90" i="7"/>
  <c r="D90" i="7"/>
  <c r="C8" i="7"/>
  <c r="C50" i="7"/>
  <c r="C34" i="7"/>
  <c r="C18" i="7"/>
  <c r="C60" i="7"/>
  <c r="C52" i="7"/>
  <c r="C48" i="7"/>
  <c r="D48" i="7"/>
  <c r="C40" i="7"/>
  <c r="D40" i="7"/>
  <c r="C36" i="7"/>
  <c r="E36" i="7"/>
  <c r="C28" i="7"/>
  <c r="C20" i="7"/>
  <c r="C16" i="7"/>
  <c r="D16" i="7"/>
  <c r="D76" i="7"/>
  <c r="C76" i="7"/>
  <c r="C72" i="7"/>
  <c r="D82" i="7"/>
  <c r="C82" i="7"/>
  <c r="D85" i="7"/>
  <c r="C85" i="7"/>
  <c r="D44" i="7"/>
  <c r="D12" i="7"/>
  <c r="C59" i="7"/>
  <c r="C51" i="7"/>
  <c r="C43" i="7"/>
  <c r="C35" i="7"/>
  <c r="E35" i="7"/>
  <c r="C27" i="7"/>
  <c r="E27" i="7"/>
  <c r="C19" i="7"/>
  <c r="E19" i="7"/>
  <c r="C79" i="7"/>
  <c r="E79" i="7"/>
  <c r="D11" i="7"/>
  <c r="E11" i="7"/>
  <c r="D84" i="7"/>
  <c r="J93" i="6"/>
  <c r="E93" i="6"/>
  <c r="I93" i="6"/>
  <c r="M93" i="6"/>
  <c r="G80" i="6"/>
  <c r="D80" i="6"/>
  <c r="H80" i="6"/>
  <c r="L80" i="6"/>
  <c r="E80" i="4"/>
  <c r="E93" i="4"/>
  <c r="E89" i="7"/>
  <c r="E52" i="7"/>
  <c r="E51" i="7"/>
  <c r="E68" i="7"/>
  <c r="K95" i="6"/>
  <c r="G95" i="6"/>
  <c r="E95" i="4"/>
  <c r="E66" i="4"/>
  <c r="M95" i="6"/>
  <c r="H80" i="7"/>
  <c r="I80" i="7"/>
  <c r="I66" i="7"/>
  <c r="J80" i="8"/>
  <c r="J66" i="8"/>
  <c r="D80" i="8"/>
  <c r="D66" i="8"/>
  <c r="H66" i="7"/>
  <c r="E76" i="7"/>
  <c r="G95" i="7"/>
  <c r="G66" i="7"/>
  <c r="G80" i="8"/>
  <c r="G66" i="8"/>
  <c r="F66" i="7"/>
  <c r="E47" i="7"/>
  <c r="E84" i="7"/>
  <c r="E88" i="7"/>
  <c r="E72" i="7"/>
  <c r="C66" i="7"/>
  <c r="C66" i="4"/>
  <c r="E26" i="7"/>
  <c r="D66" i="7"/>
  <c r="E43" i="7"/>
  <c r="E28" i="7"/>
  <c r="E37" i="7"/>
  <c r="D93" i="8"/>
  <c r="D95" i="8"/>
  <c r="J93" i="8"/>
  <c r="J95" i="8"/>
  <c r="H93" i="7"/>
  <c r="G95" i="8"/>
  <c r="G93" i="8"/>
  <c r="C93" i="7"/>
  <c r="M93" i="8"/>
  <c r="M95" i="8"/>
  <c r="H95" i="8"/>
  <c r="H93" i="8"/>
  <c r="K93" i="8"/>
  <c r="K95" i="8"/>
  <c r="E95" i="8"/>
  <c r="E93" i="8"/>
  <c r="L95" i="6"/>
  <c r="E58" i="7"/>
  <c r="E12" i="7"/>
  <c r="E77" i="7"/>
  <c r="E61" i="7"/>
  <c r="E39" i="7"/>
  <c r="E55" i="7"/>
  <c r="E20" i="7"/>
  <c r="F95" i="7"/>
  <c r="F80" i="7"/>
  <c r="G93" i="7"/>
  <c r="F95" i="6"/>
  <c r="C95" i="6"/>
  <c r="E87" i="7"/>
  <c r="F93" i="7"/>
  <c r="D95" i="6"/>
  <c r="I95" i="7"/>
  <c r="G80" i="7"/>
  <c r="E63" i="7"/>
  <c r="H95" i="7"/>
  <c r="D80" i="7"/>
  <c r="E83" i="7"/>
  <c r="E44" i="7"/>
  <c r="H95" i="6"/>
  <c r="I95" i="6"/>
  <c r="I93" i="7"/>
  <c r="E59" i="7"/>
  <c r="E60" i="7"/>
  <c r="E8" i="7"/>
  <c r="E90" i="7"/>
  <c r="E69" i="7"/>
  <c r="E57" i="7"/>
  <c r="E91" i="7"/>
  <c r="E14" i="7"/>
  <c r="E30" i="7"/>
  <c r="E24" i="7"/>
  <c r="E32" i="7"/>
  <c r="E25" i="7"/>
  <c r="E49" i="7"/>
  <c r="E56" i="7"/>
  <c r="E64" i="7"/>
  <c r="J95" i="6"/>
  <c r="E95" i="6"/>
  <c r="C95" i="7"/>
  <c r="E82" i="7"/>
  <c r="E16" i="7"/>
  <c r="E53" i="7"/>
  <c r="E22" i="7"/>
  <c r="C80" i="7"/>
  <c r="E85" i="7"/>
  <c r="E50" i="7"/>
  <c r="E9" i="7"/>
  <c r="E13" i="7"/>
  <c r="E17" i="7"/>
  <c r="E21" i="7"/>
  <c r="E29" i="7"/>
  <c r="E33" i="7"/>
  <c r="E41" i="7"/>
  <c r="E65" i="7"/>
  <c r="E74" i="7"/>
  <c r="E38" i="7"/>
  <c r="E54" i="7"/>
  <c r="E70" i="7"/>
  <c r="D95" i="7"/>
  <c r="E18" i="7"/>
  <c r="E78" i="7"/>
  <c r="E40" i="7"/>
  <c r="E48" i="7"/>
  <c r="E34" i="7"/>
  <c r="E73" i="7"/>
  <c r="E45" i="7"/>
  <c r="E62" i="7"/>
  <c r="E86" i="7"/>
  <c r="D93" i="7"/>
  <c r="E46" i="7"/>
  <c r="E80" i="7"/>
  <c r="E93" i="7"/>
  <c r="E95" i="7"/>
  <c r="E6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State of NC</author>
  </authors>
  <commentList>
    <comment ref="C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State of NC:</t>
        </r>
        <r>
          <rPr>
            <sz val="9"/>
            <color indexed="81"/>
            <rFont val="Tahoma"/>
            <family val="2"/>
          </rPr>
          <t xml:space="preserve">
These are based on economic well-being of the county. For libraries in multiple tier designations, I chose the designation that had the highest percentage of the population served or split the difference https://www.nccommerce.com/research-publications/incentive-reports/2011-county-tier-designations</t>
        </r>
      </text>
    </comment>
  </commentList>
</comments>
</file>

<file path=xl/sharedStrings.xml><?xml version="1.0" encoding="utf-8"?>
<sst xmlns="http://schemas.openxmlformats.org/spreadsheetml/2006/main" count="6198" uniqueCount="1958">
  <si>
    <t>County</t>
  </si>
  <si>
    <t>Library Director</t>
  </si>
  <si>
    <t>Total Collection Use</t>
  </si>
  <si>
    <t>FTE Staff</t>
  </si>
  <si>
    <t>FSCSKEY</t>
  </si>
  <si>
    <t>LIBID</t>
  </si>
  <si>
    <t>C_RELATN</t>
  </si>
  <si>
    <t>C_LEGBAS</t>
  </si>
  <si>
    <t>C_ADMIN</t>
  </si>
  <si>
    <t>C_FSCS</t>
  </si>
  <si>
    <t>GEOCODE</t>
  </si>
  <si>
    <t>LSABOUND</t>
  </si>
  <si>
    <t>POPU_LSA</t>
  </si>
  <si>
    <t>SRP_SCH_PROMO</t>
  </si>
  <si>
    <t>SRP_0_5_REG</t>
  </si>
  <si>
    <t>SRP_6_12_REG</t>
  </si>
  <si>
    <t>SRP_0_5_EVNTS</t>
  </si>
  <si>
    <t>SRP_6_12_EVNTS</t>
  </si>
  <si>
    <t>SRP_0_5_EVNT_ATT</t>
  </si>
  <si>
    <t>SRP_6_12_EVNT_ATT</t>
  </si>
  <si>
    <t>SRP_0_5_BKS_CIRC</t>
  </si>
  <si>
    <t>SRP_6_12_BKS_CIRC</t>
  </si>
  <si>
    <t>SRP_0_5_MIN</t>
  </si>
  <si>
    <t>SRP_6_12_MIN</t>
  </si>
  <si>
    <t>ADDRES_M</t>
  </si>
  <si>
    <t>CITY_M</t>
  </si>
  <si>
    <t>ZIP_M</t>
  </si>
  <si>
    <t>ZIP4_M</t>
  </si>
  <si>
    <t>ADDRESS</t>
  </si>
  <si>
    <t>CITY_LOC</t>
  </si>
  <si>
    <t>ZIP</t>
  </si>
  <si>
    <t>ZIP4</t>
  </si>
  <si>
    <t>LIBNAME</t>
  </si>
  <si>
    <t>TIER</t>
  </si>
  <si>
    <t>LIBTYPE</t>
  </si>
  <si>
    <t>CNTY</t>
  </si>
  <si>
    <t>LIB_DIR</t>
  </si>
  <si>
    <t>PHONE</t>
  </si>
  <si>
    <t>LIB_FAX</t>
  </si>
  <si>
    <t>LIB_EMAIL</t>
  </si>
  <si>
    <t>RESPONDENT</t>
  </si>
  <si>
    <t>RESP_TITLE</t>
  </si>
  <si>
    <t>RESP_PHONE</t>
  </si>
  <si>
    <t>RESP_FAX</t>
  </si>
  <si>
    <t>RESP_EMAIL</t>
  </si>
  <si>
    <t>WEB_ADDR</t>
  </si>
  <si>
    <t>STATSTRU</t>
  </si>
  <si>
    <t>STATNAME</t>
  </si>
  <si>
    <t>STATADDR</t>
  </si>
  <si>
    <t>STARTDAT</t>
  </si>
  <si>
    <t>ENDDATE</t>
  </si>
  <si>
    <t>OLDID</t>
  </si>
  <si>
    <t>LINKID</t>
  </si>
  <si>
    <t>CENTLIB</t>
  </si>
  <si>
    <t>BRANLIB</t>
  </si>
  <si>
    <t>BKMOB</t>
  </si>
  <si>
    <t>TOT_MOBILE</t>
  </si>
  <si>
    <t>TOT_OUTLETS</t>
  </si>
  <si>
    <t>HRS_OPEN</t>
  </si>
  <si>
    <t>HRS_OPEN_TOT</t>
  </si>
  <si>
    <t>MASTER</t>
  </si>
  <si>
    <t>LIBRNOMAST</t>
  </si>
  <si>
    <t>LIBRARIA</t>
  </si>
  <si>
    <t>OTHPAID</t>
  </si>
  <si>
    <t>TOTSTAFF</t>
  </si>
  <si>
    <t>PERMASTER_TOT</t>
  </si>
  <si>
    <t>VOLUNTEER</t>
  </si>
  <si>
    <t>DIR_SAL</t>
  </si>
  <si>
    <t>DIR_SAL_RANGE</t>
  </si>
  <si>
    <t>DIR_APPT_YR</t>
  </si>
  <si>
    <t>ASSTDIR_SAL</t>
  </si>
  <si>
    <t>BRAM_MINSAL</t>
  </si>
  <si>
    <t>BRAM_MAXSAL</t>
  </si>
  <si>
    <t>BRAM_AVESAL</t>
  </si>
  <si>
    <t>BRAM_ED</t>
  </si>
  <si>
    <t>YSLIBM_MINSAL</t>
  </si>
  <si>
    <t>YSLIBM_MAXSAL</t>
  </si>
  <si>
    <t>YSLIBM_AVESAL</t>
  </si>
  <si>
    <t>YSLIBM_ED</t>
  </si>
  <si>
    <t>ADLIBM_MINSAL</t>
  </si>
  <si>
    <t>ADLIBM_MAXSAL</t>
  </si>
  <si>
    <t>ADLIBM_AVESAL</t>
  </si>
  <si>
    <t>ADLIBM_ED</t>
  </si>
  <si>
    <t>TECHLIBM_MINSAL</t>
  </si>
  <si>
    <t>TECHLIBM_MAXSAL</t>
  </si>
  <si>
    <t>TECHLIBM_AVESAL</t>
  </si>
  <si>
    <t>TECHLIBM_ED</t>
  </si>
  <si>
    <t>CIRLIBM_MINSAL</t>
  </si>
  <si>
    <t>CIRLIBM_MAXSAL</t>
  </si>
  <si>
    <t>CIRLIBM_AVESAL</t>
  </si>
  <si>
    <t>CIRLIBM_ED</t>
  </si>
  <si>
    <t>OTHLIBM_MINSAL</t>
  </si>
  <si>
    <t>OTHLIBM_MAXSAL</t>
  </si>
  <si>
    <t>OTHLIBM_AVESAL</t>
  </si>
  <si>
    <t>YSLIB_MINSAL</t>
  </si>
  <si>
    <t>YSLIB_MAXSAL</t>
  </si>
  <si>
    <t>YSLIB_AVESAL</t>
  </si>
  <si>
    <t>YSLIB_ED</t>
  </si>
  <si>
    <t>ADLIB_MINSAL</t>
  </si>
  <si>
    <t>ADLIB_MAXSAL</t>
  </si>
  <si>
    <t>ADLIB_AVESAL</t>
  </si>
  <si>
    <t>ADLIB_ED</t>
  </si>
  <si>
    <t>TECHLIB_MINSAL</t>
  </si>
  <si>
    <t>TECHLIB_MAXSAL</t>
  </si>
  <si>
    <t>TECHLIB_AVESAL</t>
  </si>
  <si>
    <t>TECHLIB_ED</t>
  </si>
  <si>
    <t>CIRLIB_MINSAL</t>
  </si>
  <si>
    <t>CIRLIB_MAXSAL</t>
  </si>
  <si>
    <t>CIRLIB_AVESAL</t>
  </si>
  <si>
    <t>CIRLIB_ED</t>
  </si>
  <si>
    <t>OTHLIB_MINSAL</t>
  </si>
  <si>
    <t>OTHLIB_MAXSAL</t>
  </si>
  <si>
    <t>OTHLIB_AVESAL</t>
  </si>
  <si>
    <t>LIBASSTM_MINSAL</t>
  </si>
  <si>
    <t>LIBASSTM_MAXSAL</t>
  </si>
  <si>
    <t>LIBASSTM_AVESAL</t>
  </si>
  <si>
    <t>LIBASSTM_ED</t>
  </si>
  <si>
    <t>LIBASST_MINSAL</t>
  </si>
  <si>
    <t>LIBASST_MAXSAL</t>
  </si>
  <si>
    <t>LIBASST_AVESAL</t>
  </si>
  <si>
    <t>LIBASST_ED</t>
  </si>
  <si>
    <t>IT_MINSAL</t>
  </si>
  <si>
    <t>IT_MAXSAL</t>
  </si>
  <si>
    <t>IT_AVESAL</t>
  </si>
  <si>
    <t>MUN_FUNDS</t>
  </si>
  <si>
    <t>CNTY_FUNDS</t>
  </si>
  <si>
    <t>LOCGVT</t>
  </si>
  <si>
    <t>AID_GRNT</t>
  </si>
  <si>
    <t>OTH_ST_FUNDS</t>
  </si>
  <si>
    <t>STGVT</t>
  </si>
  <si>
    <t>LSTA</t>
  </si>
  <si>
    <t>OTH_FED_FUNDS</t>
  </si>
  <si>
    <t>FEDGVT</t>
  </si>
  <si>
    <t>OTHINCM</t>
  </si>
  <si>
    <t>TOTINCM</t>
  </si>
  <si>
    <t>SALARIES</t>
  </si>
  <si>
    <t>BENEFIT</t>
  </si>
  <si>
    <t>STAFFEXP</t>
  </si>
  <si>
    <t>PRMATEXP</t>
  </si>
  <si>
    <t>ELMATEXP</t>
  </si>
  <si>
    <t>OTHMATEX</t>
  </si>
  <si>
    <t>TOTEXPCO</t>
  </si>
  <si>
    <t>OTHOPEXP</t>
  </si>
  <si>
    <t>TOTOPEXP</t>
  </si>
  <si>
    <t>OP_BAL</t>
  </si>
  <si>
    <t>OP_BAL_PRCT</t>
  </si>
  <si>
    <t>LCAP_REV</t>
  </si>
  <si>
    <t>SCAP_REV</t>
  </si>
  <si>
    <t>FCAP_REV</t>
  </si>
  <si>
    <t>OCAP_REV</t>
  </si>
  <si>
    <t>CAP_REV</t>
  </si>
  <si>
    <t>CAPITAL</t>
  </si>
  <si>
    <t>TOT_AV</t>
  </si>
  <si>
    <t>HOLD</t>
  </si>
  <si>
    <t>AD_FIC</t>
  </si>
  <si>
    <t>YA_FIC</t>
  </si>
  <si>
    <t>JUV_FIC</t>
  </si>
  <si>
    <t>AD_NFIC</t>
  </si>
  <si>
    <t>YA_NFIC</t>
  </si>
  <si>
    <t>JUV_NFIC</t>
  </si>
  <si>
    <t>AD_TOT</t>
  </si>
  <si>
    <t>YA_TOT</t>
  </si>
  <si>
    <t>JUV_TOT</t>
  </si>
  <si>
    <t>BKVOL</t>
  </si>
  <si>
    <t>OTH_PRNT</t>
  </si>
  <si>
    <t>SUBSCRIP</t>
  </si>
  <si>
    <t>SERIALS</t>
  </si>
  <si>
    <t>BK_SER_TOT</t>
  </si>
  <si>
    <t>AUDIO_PH</t>
  </si>
  <si>
    <t>VIDEO_PH</t>
  </si>
  <si>
    <t>ONP_MATS</t>
  </si>
  <si>
    <t>DB_LO_OT</t>
  </si>
  <si>
    <t>DB_ST</t>
  </si>
  <si>
    <t>DATABAS</t>
  </si>
  <si>
    <t>EBOOK_NCLIVE</t>
  </si>
  <si>
    <t>AUDIO_NCLIVE</t>
  </si>
  <si>
    <t>VIDEO_NCLIVE</t>
  </si>
  <si>
    <t>EPER_NCLIVE</t>
  </si>
  <si>
    <t>EBOOK_NCKIDS</t>
  </si>
  <si>
    <t>AUDIO_NCKIDS</t>
  </si>
  <si>
    <t>VIDEO_NCKIDS</t>
  </si>
  <si>
    <t>EPER_NCKIDS</t>
  </si>
  <si>
    <t>EBOOK_EINC</t>
  </si>
  <si>
    <t>AUDIO_EINC</t>
  </si>
  <si>
    <t>VIDEO_EINC</t>
  </si>
  <si>
    <t>EPER_EINC</t>
  </si>
  <si>
    <t>EBOOK_NCDL</t>
  </si>
  <si>
    <t>AUDIO_NCDL</t>
  </si>
  <si>
    <t>VIDEO_NCDL</t>
  </si>
  <si>
    <t>EPER_NCDL</t>
  </si>
  <si>
    <t>EBOOK_LOC</t>
  </si>
  <si>
    <t>AUDIO_LOC</t>
  </si>
  <si>
    <t>VIDEO_LOC</t>
  </si>
  <si>
    <t>EPER_LOC</t>
  </si>
  <si>
    <t>EBOOK</t>
  </si>
  <si>
    <t>AUDIO_DL</t>
  </si>
  <si>
    <t>VIDEO_DL</t>
  </si>
  <si>
    <t>EPER</t>
  </si>
  <si>
    <t>PRTN_AGNC</t>
  </si>
  <si>
    <t>IMPPRTN_AGNC</t>
  </si>
  <si>
    <t>CIRC_AD_FIC</t>
  </si>
  <si>
    <t>CIRC_YA_FIC</t>
  </si>
  <si>
    <t>CIRC_JUV_FIC</t>
  </si>
  <si>
    <t>CIRC_AD_NFIC</t>
  </si>
  <si>
    <t>CIRC_YA_NFIC</t>
  </si>
  <si>
    <t>CIRC_JUV_NFIC</t>
  </si>
  <si>
    <t>CIRC_AD_TOT</t>
  </si>
  <si>
    <t>CIRC_YA_TOT</t>
  </si>
  <si>
    <t>CIRC_JUV_TOT</t>
  </si>
  <si>
    <t>CIRC_BK</t>
  </si>
  <si>
    <t>CIRC_PER</t>
  </si>
  <si>
    <t>CIRC_PRINT</t>
  </si>
  <si>
    <t>CIRC_AUD_AN</t>
  </si>
  <si>
    <t>CIRC_VID</t>
  </si>
  <si>
    <t>CIRC_OTH_PRNT</t>
  </si>
  <si>
    <t>CIRC_OTH_NPRNT</t>
  </si>
  <si>
    <t>CIRC_NPRNT</t>
  </si>
  <si>
    <t>CIRC_PHYSICAL</t>
  </si>
  <si>
    <t>CIRC_EBKS_NCLIVE</t>
  </si>
  <si>
    <t>CIRC_EBKS_OTH</t>
  </si>
  <si>
    <t>CIRC_EBKS</t>
  </si>
  <si>
    <t>CIRC_EAUD_NCLIVE</t>
  </si>
  <si>
    <t>CIRC_EAUD_OTH</t>
  </si>
  <si>
    <t>CIRC_EAUD</t>
  </si>
  <si>
    <t>CIRC_EVID_NCLIVE</t>
  </si>
  <si>
    <t>CIRC_EVID_OTH</t>
  </si>
  <si>
    <t>CIRC_EVID</t>
  </si>
  <si>
    <t>CIRC_EPER</t>
  </si>
  <si>
    <t>ELMATCIR</t>
  </si>
  <si>
    <t>CIRC_ERETRIEVE_NCLIVE</t>
  </si>
  <si>
    <t>CIRC_ERETRIEVE_LOCAL</t>
  </si>
  <si>
    <t>ERETRIEVE</t>
  </si>
  <si>
    <t>ECNTUSE</t>
  </si>
  <si>
    <t>CIRC_AUD</t>
  </si>
  <si>
    <t>TOTCIR_AV</t>
  </si>
  <si>
    <t>TOTCIR</t>
  </si>
  <si>
    <t>TOTCIR_CATEGORIES</t>
  </si>
  <si>
    <t>TOTCOLLUSE</t>
  </si>
  <si>
    <t>KIDCIRCL</t>
  </si>
  <si>
    <t>TECH_LND</t>
  </si>
  <si>
    <t>TECHLEND_METH</t>
  </si>
  <si>
    <t>TECH_INHOUSE</t>
  </si>
  <si>
    <t>TECH_OUTSIDE</t>
  </si>
  <si>
    <t>PERCENT_HOLD_VIDS</t>
  </si>
  <si>
    <t>PERCENT_HOLD_SERIALS</t>
  </si>
  <si>
    <t>PERCENT_HOLD_EMATS</t>
  </si>
  <si>
    <t>PERCENT_HOLD_ESUBS</t>
  </si>
  <si>
    <t>PERCENT_HOLD_EBKS</t>
  </si>
  <si>
    <t>PERCENT_HOLD_DATABASES</t>
  </si>
  <si>
    <t>PERCENT_HOLD_PRINT</t>
  </si>
  <si>
    <t>PERCENT_HOLD_AUD</t>
  </si>
  <si>
    <t>KIDCIR_CAP</t>
  </si>
  <si>
    <t>AD_BORR</t>
  </si>
  <si>
    <t>JUV_BORR</t>
  </si>
  <si>
    <t>REGBOR</t>
  </si>
  <si>
    <t>PERC_REGBOR</t>
  </si>
  <si>
    <t>VISITS</t>
  </si>
  <si>
    <t>VISITS_METH</t>
  </si>
  <si>
    <t>ADPRO_LIB</t>
  </si>
  <si>
    <t>YAPRO_LIB</t>
  </si>
  <si>
    <t>KIDPRO_LIB</t>
  </si>
  <si>
    <t>ADPRO_OUT</t>
  </si>
  <si>
    <t>YAPRO_OUT</t>
  </si>
  <si>
    <t>KIDPRO_OUT</t>
  </si>
  <si>
    <t>ADPRO</t>
  </si>
  <si>
    <t>YAPRO</t>
  </si>
  <si>
    <t>KIDPRO</t>
  </si>
  <si>
    <t>TOTPRO</t>
  </si>
  <si>
    <t>TOTPRO_LIB</t>
  </si>
  <si>
    <t>TOTPRO_OUT</t>
  </si>
  <si>
    <t>ADATTEN_LIB</t>
  </si>
  <si>
    <t>YAATTEN_LIB</t>
  </si>
  <si>
    <t>KIDATTEN_LIB</t>
  </si>
  <si>
    <t>ADATTEN_OUT</t>
  </si>
  <si>
    <t>YAATTEN_OUT</t>
  </si>
  <si>
    <t>KIDATTEN_OUT</t>
  </si>
  <si>
    <t>ADATTEN</t>
  </si>
  <si>
    <t>YAATTEN</t>
  </si>
  <si>
    <t>KIDATTEN</t>
  </si>
  <si>
    <t>TOTATTEN</t>
  </si>
  <si>
    <t>TOTATTEN_LIB</t>
  </si>
  <si>
    <t>TOTATTEN_OUT</t>
  </si>
  <si>
    <t>TOTATT_PRG</t>
  </si>
  <si>
    <t>ADATT_PRG</t>
  </si>
  <si>
    <t>CHATT_PRG</t>
  </si>
  <si>
    <t>PERCENT_ADATT_TOT_ATT</t>
  </si>
  <si>
    <t>PERCENT_CHATT_TOT_ATT</t>
  </si>
  <si>
    <t>CAREER_PRO</t>
  </si>
  <si>
    <t>CAREER_ATT</t>
  </si>
  <si>
    <t>TECH_PRO</t>
  </si>
  <si>
    <t>TECH_ATT</t>
  </si>
  <si>
    <t>ELIT_PRO</t>
  </si>
  <si>
    <t>ELIT_ATT</t>
  </si>
  <si>
    <t>ADLIT_PRO</t>
  </si>
  <si>
    <t>ADLIT_ATT</t>
  </si>
  <si>
    <t>STEAM_PRO</t>
  </si>
  <si>
    <t>STEAM_ATT</t>
  </si>
  <si>
    <t>REFERENC</t>
  </si>
  <si>
    <t>TECH_TRANS</t>
  </si>
  <si>
    <t>CAREER_TRANS</t>
  </si>
  <si>
    <t>REFR_METH</t>
  </si>
  <si>
    <t>MTG_RM_USE</t>
  </si>
  <si>
    <t>MTG_RM_ATT</t>
  </si>
  <si>
    <t>LOANTO</t>
  </si>
  <si>
    <t>LOANFM</t>
  </si>
  <si>
    <t>STFTERMS</t>
  </si>
  <si>
    <t>GPTERMS</t>
  </si>
  <si>
    <t>PITUSR</t>
  </si>
  <si>
    <t>PITUSR_METH</t>
  </si>
  <si>
    <t>VIRTUAL_VIS</t>
  </si>
  <si>
    <t>WIRELESS</t>
  </si>
  <si>
    <t>OUT_LIBNAME</t>
  </si>
  <si>
    <t>FAC_OWN</t>
  </si>
  <si>
    <t>OUT_ADDRES_M</t>
  </si>
  <si>
    <t>OUT_CITY_M</t>
  </si>
  <si>
    <t>OUT_ZIP_M</t>
  </si>
  <si>
    <t>OUT_ZIP4_M</t>
  </si>
  <si>
    <t>OUT_ADDRESS</t>
  </si>
  <si>
    <t>OUT_CITY</t>
  </si>
  <si>
    <t>OUT_ZIP</t>
  </si>
  <si>
    <t>OUT_ZIP4</t>
  </si>
  <si>
    <t>OUT_CNTY</t>
  </si>
  <si>
    <t>OUT_PHONE</t>
  </si>
  <si>
    <t>OUT_FAX</t>
  </si>
  <si>
    <t>BR_HEAD</t>
  </si>
  <si>
    <t>OUT_EMAIL</t>
  </si>
  <si>
    <t>SQ_FEET</t>
  </si>
  <si>
    <t>OUT_STF</t>
  </si>
  <si>
    <t>OUT_HOURS_OP</t>
  </si>
  <si>
    <t>HOURS</t>
  </si>
  <si>
    <t>WKS_OPEN</t>
  </si>
  <si>
    <t>OUT_FSCS_SEQ</t>
  </si>
  <si>
    <t>OUT_LIBID</t>
  </si>
  <si>
    <t>OUT_FSCSKEY</t>
  </si>
  <si>
    <t>C_OUT_TY</t>
  </si>
  <si>
    <t>L_NUM_BM</t>
  </si>
  <si>
    <t>C_MSA</t>
  </si>
  <si>
    <t>BRD_SPD_UPLOAD</t>
  </si>
  <si>
    <t>BRD_SPD_DOWN</t>
  </si>
  <si>
    <t>WRLS</t>
  </si>
  <si>
    <t>NC0103</t>
  </si>
  <si>
    <t>C-ALAMANCE</t>
  </si>
  <si>
    <t>NO</t>
  </si>
  <si>
    <t>CO</t>
  </si>
  <si>
    <t>MO</t>
  </si>
  <si>
    <t>Y</t>
  </si>
  <si>
    <t>CO1</t>
  </si>
  <si>
    <t>N</t>
  </si>
  <si>
    <t>Yes</t>
  </si>
  <si>
    <t>342 S SPRING ST</t>
  </si>
  <si>
    <t>BURLINGTON</t>
  </si>
  <si>
    <t>ALAMANCE COUNTY PUBLIC LIBRARIES</t>
  </si>
  <si>
    <t>ALAMANCE</t>
  </si>
  <si>
    <t>Mary Wilkerson</t>
  </si>
  <si>
    <t>(336) 229-3592</t>
  </si>
  <si>
    <t>mwilkerson@alamancelibraries.org</t>
  </si>
  <si>
    <t>Office Manager</t>
  </si>
  <si>
    <t>(336) 513-4755</t>
  </si>
  <si>
    <t>tlamm@alamancelibraries.org</t>
  </si>
  <si>
    <t>www.alamancelibraries.org</t>
  </si>
  <si>
    <t>MAY MEMORIAL LIBRARY</t>
  </si>
  <si>
    <t>City Owned</t>
  </si>
  <si>
    <t>C-ALAMANCE-MA</t>
  </si>
  <si>
    <t>CE</t>
  </si>
  <si>
    <t>NC0001</t>
  </si>
  <si>
    <t>R-ALBEMARLE</t>
  </si>
  <si>
    <t>MJ</t>
  </si>
  <si>
    <t>MC1</t>
  </si>
  <si>
    <t>PO BOX 68</t>
  </si>
  <si>
    <t>WINTON</t>
  </si>
  <si>
    <t>303 W TRYON ST</t>
  </si>
  <si>
    <t>ALBEMARLE REGIONAL LIBRARY</t>
  </si>
  <si>
    <t>Regional</t>
  </si>
  <si>
    <t>HERTFORD</t>
  </si>
  <si>
    <t>(252) 358-7832</t>
  </si>
  <si>
    <t>(252) 358-7868</t>
  </si>
  <si>
    <t>Director</t>
  </si>
  <si>
    <t>www.arlnc.org</t>
  </si>
  <si>
    <t>HERTFORD COUNTY LIBRARY</t>
  </si>
  <si>
    <t>County Owned</t>
  </si>
  <si>
    <t>R-ALBEMARLE-H</t>
  </si>
  <si>
    <t>NC0016</t>
  </si>
  <si>
    <t>C-ALEXANDER</t>
  </si>
  <si>
    <t>77 1ST AVE SW</t>
  </si>
  <si>
    <t>TAYLORSVILLE</t>
  </si>
  <si>
    <t>ALEXANDER COUNTY LIBRARY</t>
  </si>
  <si>
    <t>ALEXANDER</t>
  </si>
  <si>
    <t>Laura Crooks</t>
  </si>
  <si>
    <t>(828) 632-4058</t>
  </si>
  <si>
    <t>(828) 632-1094</t>
  </si>
  <si>
    <t>lcrooks@alexandercountync.gov</t>
  </si>
  <si>
    <t>www.alexanderlibrary.org</t>
  </si>
  <si>
    <t>C-ALEXANDER-A</t>
  </si>
  <si>
    <t>NC0002</t>
  </si>
  <si>
    <t>R-APPALACHIAN</t>
  </si>
  <si>
    <t>MA</t>
  </si>
  <si>
    <t>148 LIBRARY DR</t>
  </si>
  <si>
    <t>WEST JEFFERSON</t>
  </si>
  <si>
    <t>APPALACHIAN REGIONAL LIBRARY</t>
  </si>
  <si>
    <t>ASHE</t>
  </si>
  <si>
    <t>Jane W. Blackburn</t>
  </si>
  <si>
    <t>(336) 846-2041</t>
  </si>
  <si>
    <t>(336) 846-7503</t>
  </si>
  <si>
    <t>jblackburn@arlibrary.org</t>
  </si>
  <si>
    <t>Director of Libraries</t>
  </si>
  <si>
    <t>www.arlibrary.org</t>
  </si>
  <si>
    <t>ASHE COUNTY LIBRARY</t>
  </si>
  <si>
    <t>R-APPALACHIAN-A</t>
  </si>
  <si>
    <t>BR</t>
  </si>
  <si>
    <t>NC0003</t>
  </si>
  <si>
    <t>R-AVERY-MITCHELL</t>
  </si>
  <si>
    <t>PO DRAWER 310</t>
  </si>
  <si>
    <t>BURNSVILLE</t>
  </si>
  <si>
    <t>289 BURNSVILLE SCHOOL RD</t>
  </si>
  <si>
    <t>AVERY-MITCHELL-YANCEY REGIONAL LIBRARY</t>
  </si>
  <si>
    <t>YANCEY</t>
  </si>
  <si>
    <t>Amber Briggs</t>
  </si>
  <si>
    <t>(828) 682-4476</t>
  </si>
  <si>
    <t>(828) 682-6277</t>
  </si>
  <si>
    <t>director@amyregionallibrary.org</t>
  </si>
  <si>
    <t>tech@amyregionallibrary.org</t>
  </si>
  <si>
    <t>www.amyregionallibrary.org</t>
  </si>
  <si>
    <t>AVERY COUNTY LIBRARY</t>
  </si>
  <si>
    <t>PO BOX 250</t>
  </si>
  <si>
    <t>NEWLAND</t>
  </si>
  <si>
    <t>150 LIBRARY PL</t>
  </si>
  <si>
    <t>AVERY</t>
  </si>
  <si>
    <t>R-AVERY-MITCHELL-A</t>
  </si>
  <si>
    <t>NC0004</t>
  </si>
  <si>
    <t>R-BHM</t>
  </si>
  <si>
    <t>MC2</t>
  </si>
  <si>
    <t>158 N MARKET ST</t>
  </si>
  <si>
    <t>WASHINGTON</t>
  </si>
  <si>
    <t>BEAUFORT</t>
  </si>
  <si>
    <t>Hannah Easley</t>
  </si>
  <si>
    <t>(252) 946-6401</t>
  </si>
  <si>
    <t>(252) 946-0352</t>
  </si>
  <si>
    <t>heasley@bhmlib.org</t>
  </si>
  <si>
    <t>www.bhmlib.org</t>
  </si>
  <si>
    <t>BHM REGIONAL LIBRARY</t>
  </si>
  <si>
    <t>Leased</t>
  </si>
  <si>
    <t>R-BHM-BHM</t>
  </si>
  <si>
    <t>NC0017</t>
  </si>
  <si>
    <t>C-BLADEN</t>
  </si>
  <si>
    <t>PO BOX 1419</t>
  </si>
  <si>
    <t>ELIZABETHTOWN</t>
  </si>
  <si>
    <t>111 N CYPRESS ST</t>
  </si>
  <si>
    <t>BLADEN COUNTY PUBLIC LIBRARY</t>
  </si>
  <si>
    <t>BLADEN</t>
  </si>
  <si>
    <t>Kelsey Edwards</t>
  </si>
  <si>
    <t>(910) 862-8777</t>
  </si>
  <si>
    <t>kedwards@bladenco.org</t>
  </si>
  <si>
    <t>(910) 862-6994</t>
  </si>
  <si>
    <t>http://bladenco.libguides.com/home</t>
  </si>
  <si>
    <t>C-BLADEN-E</t>
  </si>
  <si>
    <t>NC0046</t>
  </si>
  <si>
    <t>C-NASH-N</t>
  </si>
  <si>
    <t>CO2</t>
  </si>
  <si>
    <t>727 N GRACE ST</t>
  </si>
  <si>
    <t>ROCKY MOUNT</t>
  </si>
  <si>
    <t>BRASWELL MEMORIAL LIBRARY</t>
  </si>
  <si>
    <t>NASH</t>
  </si>
  <si>
    <t>Catherine H. Roche</t>
  </si>
  <si>
    <t>(252) 442-1951</t>
  </si>
  <si>
    <t>(252) 442-7366</t>
  </si>
  <si>
    <t>croche@braswell-library.org</t>
  </si>
  <si>
    <t>Catherine Roche</t>
  </si>
  <si>
    <t>www.braswell-library.org</t>
  </si>
  <si>
    <t>BRASWELL MEMORIAL PUBLIC LIBRARY</t>
  </si>
  <si>
    <t>Other</t>
  </si>
  <si>
    <t>NC0018</t>
  </si>
  <si>
    <t>C-BRUNSWICK</t>
  </si>
  <si>
    <t>No</t>
  </si>
  <si>
    <t>109 W MOORE ST</t>
  </si>
  <si>
    <t>SOUTHPORT</t>
  </si>
  <si>
    <t>BRUNSWICK COUNTY LIBRARY</t>
  </si>
  <si>
    <t>BRUNSWICK</t>
  </si>
  <si>
    <t>Maurice Tate</t>
  </si>
  <si>
    <t>(910) 278-4283</t>
  </si>
  <si>
    <t>(910) 278-4049</t>
  </si>
  <si>
    <t>maurice.tate@brunswickcountync.gov</t>
  </si>
  <si>
    <t>www.brunswickcountync.gov/library</t>
  </si>
  <si>
    <t>HARPER LIBRARY</t>
  </si>
  <si>
    <t>C-BRUNSWICK-S</t>
  </si>
  <si>
    <t>NC0019</t>
  </si>
  <si>
    <t>C-BUNCOMBE</t>
  </si>
  <si>
    <t>67 HAYWOOD ST</t>
  </si>
  <si>
    <t>ASHEVILLE</t>
  </si>
  <si>
    <t>BUNCOMBE COUNTY PUBLIC LIBRARIES</t>
  </si>
  <si>
    <t>BUNCOMBE</t>
  </si>
  <si>
    <t>Georgianna J. Francis</t>
  </si>
  <si>
    <t>(828) 250-4714</t>
  </si>
  <si>
    <t>gigi.francis@buncombecounty.org</t>
  </si>
  <si>
    <t>Georgianna Francis</t>
  </si>
  <si>
    <t>www.buncombecounty.org/library</t>
  </si>
  <si>
    <t>PACK MEMORIAL LIBRARY</t>
  </si>
  <si>
    <t>C-BUNCOMBE-A</t>
  </si>
  <si>
    <t>NC0020</t>
  </si>
  <si>
    <t>C-BURKE</t>
  </si>
  <si>
    <t>204 S KING ST</t>
  </si>
  <si>
    <t>MORGANTON</t>
  </si>
  <si>
    <t>BURKE COUNTY PUBLIC LIBRARY</t>
  </si>
  <si>
    <t>BURKE</t>
  </si>
  <si>
    <t>Jim Wilson</t>
  </si>
  <si>
    <t>(828) 764-9276</t>
  </si>
  <si>
    <t>(828) 433-1914</t>
  </si>
  <si>
    <t>jwilson@bcpls.org</t>
  </si>
  <si>
    <t>www.bcpls.org</t>
  </si>
  <si>
    <t>C-BURKE-M</t>
  </si>
  <si>
    <t>NC0021</t>
  </si>
  <si>
    <t>C-CABARRUS</t>
  </si>
  <si>
    <t>27 UNION ST N</t>
  </si>
  <si>
    <t>CONCORD</t>
  </si>
  <si>
    <t>CABARRUS COUNTY PUBLIC LIBRARY</t>
  </si>
  <si>
    <t>CABARRUS</t>
  </si>
  <si>
    <t>Emery Ortiz</t>
  </si>
  <si>
    <t>(704) 920-2063</t>
  </si>
  <si>
    <t>(704) 784-3822</t>
  </si>
  <si>
    <t>emortiz@cabarruscounty.us</t>
  </si>
  <si>
    <t>www.cabarruscounty.us/library</t>
  </si>
  <si>
    <t>C-CABARRUS-C</t>
  </si>
  <si>
    <t>NC0022</t>
  </si>
  <si>
    <t>C-CALDWELL</t>
  </si>
  <si>
    <t>120 HOSPITAL AVE</t>
  </si>
  <si>
    <t>LENOIR</t>
  </si>
  <si>
    <t>CALDWELL COUNTY PUBLIC LIBRARY</t>
  </si>
  <si>
    <t>CALDWELL</t>
  </si>
  <si>
    <t>(828) 757-1288</t>
  </si>
  <si>
    <t>(828) 757-1413</t>
  </si>
  <si>
    <t>www.ccpl.us</t>
  </si>
  <si>
    <t>C-CALDWELL-C</t>
  </si>
  <si>
    <t>NC0107</t>
  </si>
  <si>
    <t>C-CASWELL</t>
  </si>
  <si>
    <t>SO</t>
  </si>
  <si>
    <t>161 MAIN STREET EAST</t>
  </si>
  <si>
    <t>YANCEYVILLE</t>
  </si>
  <si>
    <t>CASWELL COUNTY PUBLIC LIBRARY</t>
  </si>
  <si>
    <t>CASWELL</t>
  </si>
  <si>
    <t>Rhonda H. Griffin</t>
  </si>
  <si>
    <t>(336) 694-6241</t>
  </si>
  <si>
    <t>(336) 694-9846</t>
  </si>
  <si>
    <t>rgriffin@caswellcountync.gov</t>
  </si>
  <si>
    <t>www.caswellcountync.gov/library/</t>
  </si>
  <si>
    <t>GUNN MEMORIAL PUBLIC LIBRARY</t>
  </si>
  <si>
    <t>NC0023</t>
  </si>
  <si>
    <t>C-CATAWBA</t>
  </si>
  <si>
    <t>115 W C ST</t>
  </si>
  <si>
    <t>NEWTON</t>
  </si>
  <si>
    <t>CATAWBA COUNTY LIBRARY</t>
  </si>
  <si>
    <t>CATAWBA</t>
  </si>
  <si>
    <t>Suzanne M White</t>
  </si>
  <si>
    <t>(828) 465-8660</t>
  </si>
  <si>
    <t>(828) 465-8983</t>
  </si>
  <si>
    <t>suzanne@catawbacountync.gov</t>
  </si>
  <si>
    <t>Assistant Director</t>
  </si>
  <si>
    <t>www.catawbacountync.gov/library</t>
  </si>
  <si>
    <t>C-CATAWBA-C</t>
  </si>
  <si>
    <t>NC0071</t>
  </si>
  <si>
    <t>M-CHAPEL HILL</t>
  </si>
  <si>
    <t>CI</t>
  </si>
  <si>
    <t>CI1</t>
  </si>
  <si>
    <t>100 LIBRARY DR</t>
  </si>
  <si>
    <t>CHAPEL HILL</t>
  </si>
  <si>
    <t>CHAPEL HILL PUBLIC LIBRARY</t>
  </si>
  <si>
    <t>Municipal</t>
  </si>
  <si>
    <t>ORANGE</t>
  </si>
  <si>
    <t>Susan Brown</t>
  </si>
  <si>
    <t>(919) 968-2838</t>
  </si>
  <si>
    <t>sbrown2@townofchapelhill.org</t>
  </si>
  <si>
    <t>Meeghan Rosen</t>
  </si>
  <si>
    <t>(919) 969-2046</t>
  </si>
  <si>
    <t>mrosen@townofchapelhill.org</t>
  </si>
  <si>
    <t>http://chapelhillpubliclibrary.org</t>
  </si>
  <si>
    <t>M-CHAPELHILL-C</t>
  </si>
  <si>
    <t>NC0045</t>
  </si>
  <si>
    <t>C-MECKLENBURG</t>
  </si>
  <si>
    <t>OT</t>
  </si>
  <si>
    <t>310 N TRYON ST</t>
  </si>
  <si>
    <t>CHARLOTTE</t>
  </si>
  <si>
    <t>CHARLOTTE MECKLENBURG LIBRARY</t>
  </si>
  <si>
    <t>MECKLENBURG</t>
  </si>
  <si>
    <t>DAVID SINGLETON</t>
  </si>
  <si>
    <t>(704) 416-0677</t>
  </si>
  <si>
    <t>dsingleton@cmlibrary.org</t>
  </si>
  <si>
    <t>DONOVAN CRAIG</t>
  </si>
  <si>
    <t>ADMINISTRATIVE SUPPORT COORDINATOR</t>
  </si>
  <si>
    <t>(704) 416-0606</t>
  </si>
  <si>
    <t>dcraig@cmlibrary.org</t>
  </si>
  <si>
    <t>www.cmlibrary.org</t>
  </si>
  <si>
    <t>C-MECKLENBURG-C</t>
  </si>
  <si>
    <t>NC0104</t>
  </si>
  <si>
    <t>C-CHATHAM</t>
  </si>
  <si>
    <t>197 NC HWY 87 N</t>
  </si>
  <si>
    <t>PITTSBORO</t>
  </si>
  <si>
    <t>CHATHAM COUNTY PUBLIC LIBRARIES</t>
  </si>
  <si>
    <t>CHATHAM</t>
  </si>
  <si>
    <t>Linda Clarke</t>
  </si>
  <si>
    <t>(919) 545-8080</t>
  </si>
  <si>
    <t>lclarke@chathamlibraries.org</t>
  </si>
  <si>
    <t>www.chathamlibraries.org</t>
  </si>
  <si>
    <t>WREN MEMORIAL LIBRARY</t>
  </si>
  <si>
    <t>500 N 2ND AVE</t>
  </si>
  <si>
    <t>SILER CITY</t>
  </si>
  <si>
    <t>C-CHATHAM-W</t>
  </si>
  <si>
    <t>NC0024</t>
  </si>
  <si>
    <t>C-CLEVELAND</t>
  </si>
  <si>
    <t>PO BOX 1120</t>
  </si>
  <si>
    <t>SHELBY</t>
  </si>
  <si>
    <t>104 HOWIE DR</t>
  </si>
  <si>
    <t>CLEVELAND COUNTY MEMORIAL LIBRARY</t>
  </si>
  <si>
    <t>CLEVELAND</t>
  </si>
  <si>
    <t>Carol H. WIlson</t>
  </si>
  <si>
    <t>(704) 487-9069</t>
  </si>
  <si>
    <t>(704) 487-4856</t>
  </si>
  <si>
    <t>cwilson@ccml.org</t>
  </si>
  <si>
    <t>www.ccml.org</t>
  </si>
  <si>
    <t>C-CLEVELAND-C</t>
  </si>
  <si>
    <t>NC0025</t>
  </si>
  <si>
    <t>C-COLUMBUS</t>
  </si>
  <si>
    <t>407 N JK POWELL BLVD</t>
  </si>
  <si>
    <t>WHITEVILLE</t>
  </si>
  <si>
    <t>COLUMBUS COUNTY PUBLIC LIBRARY</t>
  </si>
  <si>
    <t>COLUMBUS</t>
  </si>
  <si>
    <t>Morris Pridgen Jr.</t>
  </si>
  <si>
    <t>(910) 642-3839</t>
  </si>
  <si>
    <t>mpridgen@columbusco.org</t>
  </si>
  <si>
    <t>(910) 641-3977</t>
  </si>
  <si>
    <t>http://ccplnc.weebly.com</t>
  </si>
  <si>
    <t>C-COLUMBUS-CO</t>
  </si>
  <si>
    <t>NC0006</t>
  </si>
  <si>
    <t>R-CRAVEN-PAMLICO</t>
  </si>
  <si>
    <t>400 JOHNSON ST</t>
  </si>
  <si>
    <t>NEW BERN</t>
  </si>
  <si>
    <t>CRAVEN-PAMLICO-CARTERET REGIONAL LIBRARY</t>
  </si>
  <si>
    <t>CRAVEN</t>
  </si>
  <si>
    <t>Susan W. Simpson</t>
  </si>
  <si>
    <t>(252) 728-2050</t>
  </si>
  <si>
    <t>(252) 728-1857</t>
  </si>
  <si>
    <t>susansimpson@carteretcountylibraries.org</t>
  </si>
  <si>
    <t>www.cpclib.org</t>
  </si>
  <si>
    <t>BOGUE BANKS PUBLIC LIBRARY</t>
  </si>
  <si>
    <t>320 SALTER PATH RD</t>
  </si>
  <si>
    <t>PINE KNOLL SHORES</t>
  </si>
  <si>
    <t>CARTERET</t>
  </si>
  <si>
    <t>R-CRAVEN-PAMLICO-B</t>
  </si>
  <si>
    <t>NC0026</t>
  </si>
  <si>
    <t>C-CUMBERLAND</t>
  </si>
  <si>
    <t>300 MAIDEN LANE</t>
  </si>
  <si>
    <t>FAYETTEVILLE</t>
  </si>
  <si>
    <t>300 MAIDEN LN</t>
  </si>
  <si>
    <t>CUMBERLAND COUNTY PUBLIC LIBRARY &amp; INFORMATION CENTER</t>
  </si>
  <si>
    <t>CUMBERLAND</t>
  </si>
  <si>
    <t>Joellen Risacher</t>
  </si>
  <si>
    <t>(910) 483-7727</t>
  </si>
  <si>
    <t>(910) 486-5372</t>
  </si>
  <si>
    <t>jrisacher@cumberland.lib.nc.us</t>
  </si>
  <si>
    <t>www.cumberland.lib.nc.us</t>
  </si>
  <si>
    <t>C-CUMBERLAND-HQ</t>
  </si>
  <si>
    <t>NC0027</t>
  </si>
  <si>
    <t>C-DAVIDSON</t>
  </si>
  <si>
    <t>602 S MAIN ST</t>
  </si>
  <si>
    <t>LEXINGTON</t>
  </si>
  <si>
    <t>DAVIDSON COUNTY PUBLIC LIBRARY SYSTEM</t>
  </si>
  <si>
    <t>DAVIDSON</t>
  </si>
  <si>
    <t>Ruth Ann Copley</t>
  </si>
  <si>
    <t>(336) 249-8161</t>
  </si>
  <si>
    <t>ruth.copley@davidsoncountync.gov</t>
  </si>
  <si>
    <t>Gail Marsh</t>
  </si>
  <si>
    <t>Admin. Asst./Tech Support</t>
  </si>
  <si>
    <t>(336) 242-2942</t>
  </si>
  <si>
    <t>gail.marsh@davidsoncountync.gov</t>
  </si>
  <si>
    <t>www.co.davidson.nc.us/library</t>
  </si>
  <si>
    <t>LEXINGTON PUBLIC LIBRARY</t>
  </si>
  <si>
    <t>C-DAVIDSON-D</t>
  </si>
  <si>
    <t>NC0028</t>
  </si>
  <si>
    <t>C-DAVIE</t>
  </si>
  <si>
    <t>371 N MAIN ST</t>
  </si>
  <si>
    <t>MOCKSVILLE</t>
  </si>
  <si>
    <t>DAVIE COUNTY PUBLIC LIBRARY</t>
  </si>
  <si>
    <t>DAVIE</t>
  </si>
  <si>
    <t>Jane S. McAllister</t>
  </si>
  <si>
    <t>(336) 753-6034</t>
  </si>
  <si>
    <t>(336) 751-1370</t>
  </si>
  <si>
    <t>jmcallister@daviecountync.gov</t>
  </si>
  <si>
    <t>www.library.daviecounty.org/</t>
  </si>
  <si>
    <t>C-DAVIE-D</t>
  </si>
  <si>
    <t>NC0029</t>
  </si>
  <si>
    <t>C-DUPLIN</t>
  </si>
  <si>
    <t>PO BOX 930</t>
  </si>
  <si>
    <t>KENANSVILLE</t>
  </si>
  <si>
    <t>107 BOWDEN DR</t>
  </si>
  <si>
    <t>DUPLIN COUNTY LIBRARY</t>
  </si>
  <si>
    <t>DUPLIN</t>
  </si>
  <si>
    <t>(910) 296-2117</t>
  </si>
  <si>
    <t>(910) 296-2172</t>
  </si>
  <si>
    <t>Interim Library Director</t>
  </si>
  <si>
    <t>www.youseemore.com/duplin</t>
  </si>
  <si>
    <t>DUPLIN COUNTY - DOROTHY WIGHTMAN LIBRARY</t>
  </si>
  <si>
    <t>C-DUPLIN-D</t>
  </si>
  <si>
    <t>NC0030</t>
  </si>
  <si>
    <t>C-DURHAM</t>
  </si>
  <si>
    <t>DURHAM</t>
  </si>
  <si>
    <t>DURHAM COUNTY LIBRARY</t>
  </si>
  <si>
    <t>Tammy Baggett</t>
  </si>
  <si>
    <t>(919) 560-0137</t>
  </si>
  <si>
    <t>tbaggett@dconc.gov</t>
  </si>
  <si>
    <t>Katherine Makens</t>
  </si>
  <si>
    <t>Resources and Finance Officer</t>
  </si>
  <si>
    <t>(919) 560-0187</t>
  </si>
  <si>
    <t>(919) 560-0126</t>
  </si>
  <si>
    <t>kmakens@dconc.gov</t>
  </si>
  <si>
    <t>durhamcountylibrary.org</t>
  </si>
  <si>
    <t>PO BOX 3809</t>
  </si>
  <si>
    <t>300 N ROXBORO ST</t>
  </si>
  <si>
    <t>C-DURHAM-D</t>
  </si>
  <si>
    <t>NC0007</t>
  </si>
  <si>
    <t>R-EAST ALBEMARLE</t>
  </si>
  <si>
    <t>100 E COLONIAL AVE</t>
  </si>
  <si>
    <t>ELIZABETH CITY</t>
  </si>
  <si>
    <t>EAST ALBEMARLE REGIONAL LIBRARY</t>
  </si>
  <si>
    <t>PASQUOTANK</t>
  </si>
  <si>
    <t>Jonathan Wark</t>
  </si>
  <si>
    <t>(252) 335-2386</t>
  </si>
  <si>
    <t>jwark@earlibrary.org</t>
  </si>
  <si>
    <t>(252) 473-2372</t>
  </si>
  <si>
    <t>(252) 473-6034</t>
  </si>
  <si>
    <t>www.earlibrary.org</t>
  </si>
  <si>
    <t>PASQUOTANK COUNTY LIBRARY</t>
  </si>
  <si>
    <t>R-EASTALBEMARLE-P</t>
  </si>
  <si>
    <t>NC0031</t>
  </si>
  <si>
    <t>C-EDGECOMBE</t>
  </si>
  <si>
    <t>909 MAIN ST</t>
  </si>
  <si>
    <t>TARBORO</t>
  </si>
  <si>
    <t>EDGECOMBE COUNTY MEMORIAL LIBRARY</t>
  </si>
  <si>
    <t>EDGECOMBE</t>
  </si>
  <si>
    <t>Roman Leary</t>
  </si>
  <si>
    <t>(252) 823-1141</t>
  </si>
  <si>
    <t>(252) 823-7699</t>
  </si>
  <si>
    <t>rleary@edgecombelibrary.org</t>
  </si>
  <si>
    <t>Mary S. Howard</t>
  </si>
  <si>
    <t>showard@edgecombelibrary.org</t>
  </si>
  <si>
    <t>www.edgecombelibrary.org</t>
  </si>
  <si>
    <t>C-EDGECOMBE-E</t>
  </si>
  <si>
    <t>NC0075</t>
  </si>
  <si>
    <t>M-FARMVILLE</t>
  </si>
  <si>
    <t>4276 W CHURCH ST</t>
  </si>
  <si>
    <t>FARMVILLE</t>
  </si>
  <si>
    <t>FARMVILLE PUBLIC LIBRARY</t>
  </si>
  <si>
    <t>PITT</t>
  </si>
  <si>
    <t>David Miller</t>
  </si>
  <si>
    <t>(252) 753-6713</t>
  </si>
  <si>
    <t>dmiller@farmvillenc.gov</t>
  </si>
  <si>
    <t>www.farmvillelibrary.org</t>
  </si>
  <si>
    <t>M-FARMVILLE-F</t>
  </si>
  <si>
    <t>NC0008</t>
  </si>
  <si>
    <t>R-FONTANA</t>
  </si>
  <si>
    <t>33 FRYEMONT ST</t>
  </si>
  <si>
    <t>BRYSON CITY</t>
  </si>
  <si>
    <t>FONTANA REGIONAL LIBRARY</t>
  </si>
  <si>
    <t>SWAIN</t>
  </si>
  <si>
    <t>Karen Wallace</t>
  </si>
  <si>
    <t>(828) 488-2638</t>
  </si>
  <si>
    <t>kwallace@fontanalib.org</t>
  </si>
  <si>
    <t>Deb Lawley</t>
  </si>
  <si>
    <t>Finance Officer</t>
  </si>
  <si>
    <t>(828) 488-2382</t>
  </si>
  <si>
    <t>dlawley@fontanalib.org</t>
  </si>
  <si>
    <t>www.fontanalib.org</t>
  </si>
  <si>
    <t>ALBERT CARLTON-CASHIERS COMMUNITY LIBRARY</t>
  </si>
  <si>
    <t>P.O. BOX 2127</t>
  </si>
  <si>
    <t>CASHIERS</t>
  </si>
  <si>
    <t>249 FRANK ALLEN RD</t>
  </si>
  <si>
    <t>JACKSON</t>
  </si>
  <si>
    <t>R-FONTANA-CASHIERS</t>
  </si>
  <si>
    <t>NC0032</t>
  </si>
  <si>
    <t>C-FORSYTH</t>
  </si>
  <si>
    <t>201 N. Chestnut St. 5th Flr.</t>
  </si>
  <si>
    <t>WINSTON-SALEM</t>
  </si>
  <si>
    <t>660 W 5TH ST</t>
  </si>
  <si>
    <t>FORSYTH COUNTY PUBLIC LIBRARY</t>
  </si>
  <si>
    <t>FORSYTH</t>
  </si>
  <si>
    <t>Sylvia Sprinkle-Hamlin</t>
  </si>
  <si>
    <t>(336) 703-3016</t>
  </si>
  <si>
    <t>(336) 727-2549</t>
  </si>
  <si>
    <t>hamlinss@forsythlibrary.org</t>
  </si>
  <si>
    <t>hamlinss@forsyth.cc</t>
  </si>
  <si>
    <t>www.forsythlibrary.org</t>
  </si>
  <si>
    <t>C-FORSYTH-F</t>
  </si>
  <si>
    <t>NC0033</t>
  </si>
  <si>
    <t>C-FRANKLIN</t>
  </si>
  <si>
    <t>906 N MAIN ST</t>
  </si>
  <si>
    <t>LOUISBURG</t>
  </si>
  <si>
    <t>FRANKLIN COUNTY LIBRARY</t>
  </si>
  <si>
    <t>FRANKLIN</t>
  </si>
  <si>
    <t>Holt Kornegay</t>
  </si>
  <si>
    <t>(919) 496-2111</t>
  </si>
  <si>
    <t>(919) 496-1339</t>
  </si>
  <si>
    <t>hkornegay@franklincountync.us</t>
  </si>
  <si>
    <t>Wayne Hunt</t>
  </si>
  <si>
    <t>whunt@franklincountync.us</t>
  </si>
  <si>
    <t>www.franklincountync.us/services/library</t>
  </si>
  <si>
    <t>C-FRANKLIN-F</t>
  </si>
  <si>
    <t>NC0105</t>
  </si>
  <si>
    <t>C-GASTON</t>
  </si>
  <si>
    <t>1555 East Garrison Boulevard</t>
  </si>
  <si>
    <t>GASTONIA</t>
  </si>
  <si>
    <t>Gastonia</t>
  </si>
  <si>
    <t>GASTON COUNTY PUBLIC LIBRARY</t>
  </si>
  <si>
    <t>GASTON</t>
  </si>
  <si>
    <t>Laurel R. Morris</t>
  </si>
  <si>
    <t>(704) 868-2164</t>
  </si>
  <si>
    <t>(704) 853-6012</t>
  </si>
  <si>
    <t>laurel.morris@gastongov.com</t>
  </si>
  <si>
    <t>www.gastonlibrary.org</t>
  </si>
  <si>
    <t>GASTON COUNTY PUBLIC LIBRARY (REGIONAL HEADQUARTERS)</t>
  </si>
  <si>
    <t>1555 E. GARRISON BLVD</t>
  </si>
  <si>
    <t>1555 E GARRISON BLVD</t>
  </si>
  <si>
    <t>Gaston</t>
  </si>
  <si>
    <t>C-GASTON-G</t>
  </si>
  <si>
    <t>NC0099</t>
  </si>
  <si>
    <t>M-WASHINGTON</t>
  </si>
  <si>
    <t>122 VAN NORDEN ST</t>
  </si>
  <si>
    <t>GEORGE H. AND LAURA E. BROWN PUBLIC LIBRARY</t>
  </si>
  <si>
    <t>Sandra Silvey</t>
  </si>
  <si>
    <t>(252) 975-9356</t>
  </si>
  <si>
    <t>ssilvey@washingtonnc.gov</t>
  </si>
  <si>
    <t>www.washington-nc.libguides.com</t>
  </si>
  <si>
    <t>M-WASHINGTON-W</t>
  </si>
  <si>
    <t>NC0034</t>
  </si>
  <si>
    <t>C-GRANVILLE</t>
  </si>
  <si>
    <t>PO BOX 339</t>
  </si>
  <si>
    <t>OXFORD</t>
  </si>
  <si>
    <t>210 MAIN ST</t>
  </si>
  <si>
    <t>GRANVILLE COUNTY LIBRARY SYSTEM</t>
  </si>
  <si>
    <t>GRANVILLE</t>
  </si>
  <si>
    <t>Jonathan Bradsher</t>
  </si>
  <si>
    <t>(919) 693-1121</t>
  </si>
  <si>
    <t>(919) 693-2244</t>
  </si>
  <si>
    <t>Jonathan.bradsher@granvillecounty.org</t>
  </si>
  <si>
    <t>www.granville.lib.nc.us</t>
  </si>
  <si>
    <t>RICHARD H. THORNTON LIBRARY</t>
  </si>
  <si>
    <t>C-GRANVILLE-T</t>
  </si>
  <si>
    <t>NC0035</t>
  </si>
  <si>
    <t>C-GUILFORD</t>
  </si>
  <si>
    <t>PO BOX 3178</t>
  </si>
  <si>
    <t>GREENSBORO</t>
  </si>
  <si>
    <t>219 N CHURCH ST</t>
  </si>
  <si>
    <t>GREENSBORO PUBLIC LIBRARY</t>
  </si>
  <si>
    <t>GUILFORD</t>
  </si>
  <si>
    <t>Brigitte H. Blanton</t>
  </si>
  <si>
    <t>(336) 333-6781</t>
  </si>
  <si>
    <t>brigitte.blanton@greensboro-nc.gov</t>
  </si>
  <si>
    <t>Dena Keesee</t>
  </si>
  <si>
    <t>(336) 373-2698</t>
  </si>
  <si>
    <t>dena.keesee@greensboro-nc.gov</t>
  </si>
  <si>
    <t>www.greensborolibrary.org</t>
  </si>
  <si>
    <t>C-GUILFORD-CE</t>
  </si>
  <si>
    <t>NC0036</t>
  </si>
  <si>
    <t>C-HALIFAX</t>
  </si>
  <si>
    <t>PO BOX 97</t>
  </si>
  <si>
    <t>HALIFAX</t>
  </si>
  <si>
    <t>33 GRANVILLE ST</t>
  </si>
  <si>
    <t>HALIFAX COUNTY LIBRARY SYSTEM</t>
  </si>
  <si>
    <t>Virginia Orvedahl</t>
  </si>
  <si>
    <t>(252) 583-3631</t>
  </si>
  <si>
    <t>(252) 583-8661</t>
  </si>
  <si>
    <t>orvedahlg@halifaxnc.com</t>
  </si>
  <si>
    <t>Ginny Orvedahl</t>
  </si>
  <si>
    <t>www.halifaxnc.libguides.com/hcl</t>
  </si>
  <si>
    <t>HALIFAX COUNTY LIBRARY</t>
  </si>
  <si>
    <t>C-HALIFAX-H</t>
  </si>
  <si>
    <t>NC0037</t>
  </si>
  <si>
    <t>C-HARNETT</t>
  </si>
  <si>
    <t>PO BOX 1149</t>
  </si>
  <si>
    <t>LILLINGTON</t>
  </si>
  <si>
    <t>601 S MAIN ST</t>
  </si>
  <si>
    <t>HARNETT COUNTY PUBLIC LIBRARY</t>
  </si>
  <si>
    <t>HARNETT</t>
  </si>
  <si>
    <t>Angela McCauley</t>
  </si>
  <si>
    <t>(910) 893-3446</t>
  </si>
  <si>
    <t>(910) 893-3001</t>
  </si>
  <si>
    <t>amccauley@harnett.org</t>
  </si>
  <si>
    <t>www.harnett.org/library</t>
  </si>
  <si>
    <t>C-HARNETT-H</t>
  </si>
  <si>
    <t>NC0102</t>
  </si>
  <si>
    <t>M-NASHVILLE</t>
  </si>
  <si>
    <t>114 W CHURCH ST</t>
  </si>
  <si>
    <t>NASHVILLE</t>
  </si>
  <si>
    <t>HAROLD D. COOLEY LIBRARY</t>
  </si>
  <si>
    <t>(252) 459-2106</t>
  </si>
  <si>
    <t>(252) 459-8926</t>
  </si>
  <si>
    <t>www.youseemore.com/cooleylibrary/default.asp</t>
  </si>
  <si>
    <t>M-NASHVILLE-C</t>
  </si>
  <si>
    <t>NC0038</t>
  </si>
  <si>
    <t>C-HAYWOOD</t>
  </si>
  <si>
    <t>678 S HAYWOOD ST</t>
  </si>
  <si>
    <t>WAYNESVILLE</t>
  </si>
  <si>
    <t>HAYWOOD COUNTY PUBLIC LIBRARY</t>
  </si>
  <si>
    <t>HAYWOOD</t>
  </si>
  <si>
    <t>Sharon Woodrow</t>
  </si>
  <si>
    <t>(828) 356-2504</t>
  </si>
  <si>
    <t>(828) 452-6746</t>
  </si>
  <si>
    <t>swoodrow@haywoodnc.net</t>
  </si>
  <si>
    <t>www.haywoodlibrary.org</t>
  </si>
  <si>
    <t>C-HAYWOOD-H</t>
  </si>
  <si>
    <t>NC0039</t>
  </si>
  <si>
    <t>C-HENDERSON</t>
  </si>
  <si>
    <t>301 N WASHINGTON ST</t>
  </si>
  <si>
    <t>HENDERSONVILLE</t>
  </si>
  <si>
    <t>HENDERSON COUNTY PUBLIC LIBRARY</t>
  </si>
  <si>
    <t>HENDERSON</t>
  </si>
  <si>
    <t>Trina Rushing</t>
  </si>
  <si>
    <t>(828) 697-4725</t>
  </si>
  <si>
    <t>(828) 692-8449</t>
  </si>
  <si>
    <t>trushing@henderson.lib.nc.us</t>
  </si>
  <si>
    <t>www.henderson.lib.nc.us</t>
  </si>
  <si>
    <t>C-HENDERSON-H</t>
  </si>
  <si>
    <t>NC0079</t>
  </si>
  <si>
    <t>M-HICKORY</t>
  </si>
  <si>
    <t>375 3RD ST NE</t>
  </si>
  <si>
    <t>HICKORY</t>
  </si>
  <si>
    <t>HICKORY PUBLIC LIBRARY</t>
  </si>
  <si>
    <t>Sarah Greene</t>
  </si>
  <si>
    <t>(828) 304-0023</t>
  </si>
  <si>
    <t>sgreene@hickorync.gov</t>
  </si>
  <si>
    <t>Viveca Huffman</t>
  </si>
  <si>
    <t>Administrative Assistant/Budget Manager</t>
  </si>
  <si>
    <t>(828) 261-2276</t>
  </si>
  <si>
    <t>vhuffman@hickorync.gov</t>
  </si>
  <si>
    <t>www.hickorync.gov/library</t>
  </si>
  <si>
    <t>PATRICK BEAVER MEMORIAL LIBRARY</t>
  </si>
  <si>
    <t>M-HICKORY-E</t>
  </si>
  <si>
    <t>NC0080</t>
  </si>
  <si>
    <t>M-HIGH POINT</t>
  </si>
  <si>
    <t>PO BOX 2530</t>
  </si>
  <si>
    <t>HIGH POINT</t>
  </si>
  <si>
    <t>901 N MAIN ST</t>
  </si>
  <si>
    <t>HIGH POINT PUBLIC LIBRARY</t>
  </si>
  <si>
    <t>Mary M. Sizemore</t>
  </si>
  <si>
    <t>(336) 883-3636</t>
  </si>
  <si>
    <t>mary.sizemore@highpointnc.gov</t>
  </si>
  <si>
    <t>Lorrie Russell</t>
  </si>
  <si>
    <t>(336) 883-3644</t>
  </si>
  <si>
    <t>lorrie.russell@highpointnc.gov</t>
  </si>
  <si>
    <t>www.highpointpubliclibrary.com</t>
  </si>
  <si>
    <t>M-HIGHPOINT-H</t>
  </si>
  <si>
    <t>NC0110</t>
  </si>
  <si>
    <t>100 S CHURCH ST</t>
  </si>
  <si>
    <t>CLAYTON</t>
  </si>
  <si>
    <t>HOCUTT ELLINGTON MEMORIAL LIBRARY</t>
  </si>
  <si>
    <t>Johnston</t>
  </si>
  <si>
    <t>Christie Starnes</t>
  </si>
  <si>
    <t>(919) 359-9366</t>
  </si>
  <si>
    <t>clstarnes@townofclaytonnc.org</t>
  </si>
  <si>
    <t>claytonlibrarync.org</t>
  </si>
  <si>
    <t>100 S CHURCH STREET</t>
  </si>
  <si>
    <t>JOHNSTON</t>
  </si>
  <si>
    <t>NC0040</t>
  </si>
  <si>
    <t>C-IREDELL</t>
  </si>
  <si>
    <t>PO BOX 1810</t>
  </si>
  <si>
    <t>STATESVILLE</t>
  </si>
  <si>
    <t>201 N TRADD ST</t>
  </si>
  <si>
    <t>IREDELL COUNTY LIBRARY</t>
  </si>
  <si>
    <t>IREDELL</t>
  </si>
  <si>
    <t>Steve Messick</t>
  </si>
  <si>
    <t>(704) 878-3092</t>
  </si>
  <si>
    <t>(704) 878-5449</t>
  </si>
  <si>
    <t>smessick@iredell.lib.nc.us</t>
  </si>
  <si>
    <t>www.iredell.lib.nc.us</t>
  </si>
  <si>
    <t>C-IREDELL-I</t>
  </si>
  <si>
    <t>NC0100</t>
  </si>
  <si>
    <t>M-KINGS MOUNTAIN</t>
  </si>
  <si>
    <t>100 S PIEDMONT AVE</t>
  </si>
  <si>
    <t>KINGS MOUNTAIN</t>
  </si>
  <si>
    <t>JACOB MAUNEY MEMORIAL LIBRARY</t>
  </si>
  <si>
    <t>Sharon Stack</t>
  </si>
  <si>
    <t>(704) 739-2371</t>
  </si>
  <si>
    <t>(704) 734-4499</t>
  </si>
  <si>
    <t>sstack@mauneylibrary.org</t>
  </si>
  <si>
    <t>mauneylibrary.org</t>
  </si>
  <si>
    <t>M-KINGSMOUNTAIN-M</t>
  </si>
  <si>
    <t>NC0042</t>
  </si>
  <si>
    <t>C-LEE</t>
  </si>
  <si>
    <t>107 HAWKINS AVE</t>
  </si>
  <si>
    <t>SANFORD</t>
  </si>
  <si>
    <t>LEE COUNTY LIBRARY</t>
  </si>
  <si>
    <t>LEE</t>
  </si>
  <si>
    <t>(919) 718-4665</t>
  </si>
  <si>
    <t>(919) 775-1832</t>
  </si>
  <si>
    <t>www.leecountync.gov/library</t>
  </si>
  <si>
    <t>LEE COUNTY LIBRARY SYSTEM</t>
  </si>
  <si>
    <t>C-LEE-L</t>
  </si>
  <si>
    <t>NC0106</t>
  </si>
  <si>
    <t>C-LINCOLN</t>
  </si>
  <si>
    <t>CC</t>
  </si>
  <si>
    <t>306 W MAIN ST</t>
  </si>
  <si>
    <t>LINCOLNTON</t>
  </si>
  <si>
    <t>LINCOLN COUNTY PUBLIC LIBRARY</t>
  </si>
  <si>
    <t>LINCOLN</t>
  </si>
  <si>
    <t>Jennifer Sackett</t>
  </si>
  <si>
    <t>(704) 735-8044</t>
  </si>
  <si>
    <t>(704) 732-9042</t>
  </si>
  <si>
    <t>jsackett@lincolncounty.org</t>
  </si>
  <si>
    <t>Stephanie Green</t>
  </si>
  <si>
    <t>Library Administrative Assistant</t>
  </si>
  <si>
    <t>sgreen@lincolncounty.org</t>
  </si>
  <si>
    <t>www.mylincolnlibrary.org</t>
  </si>
  <si>
    <t>CHARLES R. JONAS LIBRARY</t>
  </si>
  <si>
    <t>C-LINCOLN-C</t>
  </si>
  <si>
    <t>NC0043</t>
  </si>
  <si>
    <t>C-MADISON</t>
  </si>
  <si>
    <t>1335 N MAIN ST</t>
  </si>
  <si>
    <t>MARSHALL</t>
  </si>
  <si>
    <t>MADISON COUNTY PUBLIC LIBRARY</t>
  </si>
  <si>
    <t>MADISON</t>
  </si>
  <si>
    <t>Melanie U. Morgan</t>
  </si>
  <si>
    <t>(828) 649-3741</t>
  </si>
  <si>
    <t>(828) 649-3504</t>
  </si>
  <si>
    <t>mmorgan@madisoncountync.gov</t>
  </si>
  <si>
    <t>www.madisoncountylibrary.net</t>
  </si>
  <si>
    <t>C-MADISON-M</t>
  </si>
  <si>
    <t>NC0044</t>
  </si>
  <si>
    <t>C-MCDOWELL</t>
  </si>
  <si>
    <t>90 W COURT ST</t>
  </si>
  <si>
    <t>MARION</t>
  </si>
  <si>
    <t>MCDOWELL COUNTY PUBLIC LIBRARY</t>
  </si>
  <si>
    <t>MCDOWELL</t>
  </si>
  <si>
    <t>Marlan Brinkley</t>
  </si>
  <si>
    <t>(828) 652-3858</t>
  </si>
  <si>
    <t>(828) 652-2098</t>
  </si>
  <si>
    <t>mbrinkley@mcdowellpubliclibrary.org</t>
  </si>
  <si>
    <t>www.mcdowellpubliclibrary.org</t>
  </si>
  <si>
    <t>C-MCDOWELL-M</t>
  </si>
  <si>
    <t>NC0083</t>
  </si>
  <si>
    <t>M-MOORESVILLE</t>
  </si>
  <si>
    <t>304 S MAIN ST</t>
  </si>
  <si>
    <t>MOORESVILLE</t>
  </si>
  <si>
    <t>MOORESVILLE PUBLIC LIBRARY</t>
  </si>
  <si>
    <t>Marian Lytle</t>
  </si>
  <si>
    <t>(704) 660-3292</t>
  </si>
  <si>
    <t>mlytle@ci.mooresville.nc.us</t>
  </si>
  <si>
    <t>Chao Huang</t>
  </si>
  <si>
    <t>Digital Services Librarian</t>
  </si>
  <si>
    <t>(704) 799-4203</t>
  </si>
  <si>
    <t>(704) 663-2459</t>
  </si>
  <si>
    <t>chuang@ci.mooresville.nc.us</t>
  </si>
  <si>
    <t>www.mooresvillelibrary.org</t>
  </si>
  <si>
    <t>M-MOORESVILLE-M</t>
  </si>
  <si>
    <t>NC0011</t>
  </si>
  <si>
    <t>R-NANTAHALA</t>
  </si>
  <si>
    <t>11 BLUMENTHAL ST</t>
  </si>
  <si>
    <t>MURPHY</t>
  </si>
  <si>
    <t>NANTAHALA REGIONAL LIBRARY</t>
  </si>
  <si>
    <t>CHEROKEE</t>
  </si>
  <si>
    <t>Daphne Simmons</t>
  </si>
  <si>
    <t>(828) 837-2025</t>
  </si>
  <si>
    <t>(828) 837-6416</t>
  </si>
  <si>
    <t>dchildres@nantahalalibrary.org</t>
  </si>
  <si>
    <t>www.nantahalalibrary.org</t>
  </si>
  <si>
    <t>ANDREWS PUBLIC LIBRARY</t>
  </si>
  <si>
    <t>PO DRAWER 700</t>
  </si>
  <si>
    <t>ANDREWS</t>
  </si>
  <si>
    <t>871 MAIN ST</t>
  </si>
  <si>
    <t>R-NANTAHALA-C</t>
  </si>
  <si>
    <t>NC0012</t>
  </si>
  <si>
    <t>R-NEUSE</t>
  </si>
  <si>
    <t>510 N QUEEN ST</t>
  </si>
  <si>
    <t>KINSTON</t>
  </si>
  <si>
    <t>NEUSE REGIONAL LIBRARY</t>
  </si>
  <si>
    <t>Agnes W. Ho</t>
  </si>
  <si>
    <t>(252) 527-7066</t>
  </si>
  <si>
    <t>(252) 527-8220</t>
  </si>
  <si>
    <t>aho@neuselibrary.org</t>
  </si>
  <si>
    <t>Stephanie Brown</t>
  </si>
  <si>
    <t>sbrown@neuselibrary.org</t>
  </si>
  <si>
    <t>www.neuselibrary.org</t>
  </si>
  <si>
    <t>KINSTON-LENOIR COUNTY PUBLIC LIBRARY</t>
  </si>
  <si>
    <t>R-NEUSE-K</t>
  </si>
  <si>
    <t>NC0047</t>
  </si>
  <si>
    <t>C-NEW HANOVER</t>
  </si>
  <si>
    <t>201 CHESTNUT ST</t>
  </si>
  <si>
    <t>WILMINGTON</t>
  </si>
  <si>
    <t>NEW HANOVER COUNTY PUBLIC LIBRARY</t>
  </si>
  <si>
    <t>NEW HANOVER</t>
  </si>
  <si>
    <t>HARRY TUCHMAYER</t>
  </si>
  <si>
    <t>(910) 798-6312</t>
  </si>
  <si>
    <t>HTUCHMAYER@NHCGOV.COM</t>
  </si>
  <si>
    <t>YVETTE MAYS</t>
  </si>
  <si>
    <t>ADMIN SUPPORT SPECIALIST</t>
  </si>
  <si>
    <t>(910) 798-6309</t>
  </si>
  <si>
    <t>YMAYS@NHCGOV.COM</t>
  </si>
  <si>
    <t>WWW.NHCLIBRARY.ORG</t>
  </si>
  <si>
    <t>C-NEWHANOVER-N</t>
  </si>
  <si>
    <t>NC0013</t>
  </si>
  <si>
    <t>R-NORTHWESTERN</t>
  </si>
  <si>
    <t>111 N FRONT ST</t>
  </si>
  <si>
    <t>ELKIN</t>
  </si>
  <si>
    <t>NORTHWESTERN REGIONAL LIBRARY</t>
  </si>
  <si>
    <t>SURRY</t>
  </si>
  <si>
    <t>(336) 835-4894</t>
  </si>
  <si>
    <t>(336) 835-1356</t>
  </si>
  <si>
    <t>www.nwrl.org</t>
  </si>
  <si>
    <t>ALLEGHANY COUNTY PUBLIC LIBRARY</t>
  </si>
  <si>
    <t>PO BOX 656</t>
  </si>
  <si>
    <t>SPARTA</t>
  </si>
  <si>
    <t>122 N MAIN ST</t>
  </si>
  <si>
    <t>ALLEGHANY</t>
  </si>
  <si>
    <t>R-NORTHWESTERN-A</t>
  </si>
  <si>
    <t>NC0048</t>
  </si>
  <si>
    <t>C-ONSLOW</t>
  </si>
  <si>
    <t>58 DORIS AVENUE E</t>
  </si>
  <si>
    <t>JACKSONVILLE</t>
  </si>
  <si>
    <t>ONSLOW COUNTY PUBLIC LIBRARY</t>
  </si>
  <si>
    <t>ONSLOW</t>
  </si>
  <si>
    <t>(910) 989-5790</t>
  </si>
  <si>
    <t>www.onslowcountync.gov/library</t>
  </si>
  <si>
    <t>C-ONSLOW-O</t>
  </si>
  <si>
    <t>NC0108</t>
  </si>
  <si>
    <t>C-ORANGE</t>
  </si>
  <si>
    <t>137 W MARGARET LN</t>
  </si>
  <si>
    <t>HILLSBOROUGH</t>
  </si>
  <si>
    <t>ORANGE COUNTY PUBLIC LIBRARY</t>
  </si>
  <si>
    <t>Lucinda Munger</t>
  </si>
  <si>
    <t>(919) 245-2528</t>
  </si>
  <si>
    <t>(919) 644-3372</t>
  </si>
  <si>
    <t>lmunger@orangecountync.gov</t>
  </si>
  <si>
    <t>Andrea Tullos</t>
  </si>
  <si>
    <t>(919) 245-2529</t>
  </si>
  <si>
    <t>atullos@orangecountync.gov</t>
  </si>
  <si>
    <t>http://www.orangecountync.gov/departments/library/index.php</t>
  </si>
  <si>
    <t>Hillsborough</t>
  </si>
  <si>
    <t>Orange</t>
  </si>
  <si>
    <t>C-ORANGE-O</t>
  </si>
  <si>
    <t>NC0049</t>
  </si>
  <si>
    <t>C-PENDER</t>
  </si>
  <si>
    <t>PO BOX 879</t>
  </si>
  <si>
    <t>BURGAW</t>
  </si>
  <si>
    <t>103 S COWAN ST</t>
  </si>
  <si>
    <t>PENDER COUNTY PUBLIC LIBRARY</t>
  </si>
  <si>
    <t>PENDER</t>
  </si>
  <si>
    <t>Michael Y Taylor</t>
  </si>
  <si>
    <t>(910) 259-5113</t>
  </si>
  <si>
    <t>mtaylor@pendercountync.gov</t>
  </si>
  <si>
    <t>Mike Taylor</t>
  </si>
  <si>
    <t>penderpubliclibrary.org</t>
  </si>
  <si>
    <t>C-PENDER-P</t>
  </si>
  <si>
    <t>NC0062</t>
  </si>
  <si>
    <t>C-VANCE</t>
  </si>
  <si>
    <t>NP</t>
  </si>
  <si>
    <t>205 BRECKENRIDGE ST</t>
  </si>
  <si>
    <t>H. LESLIE PERRY MEMORIAL LIBRARY</t>
  </si>
  <si>
    <t>VANCE</t>
  </si>
  <si>
    <t>Patti McAnally</t>
  </si>
  <si>
    <t>(252) 438-3744</t>
  </si>
  <si>
    <t>pmcanally@perrylibrary.org</t>
  </si>
  <si>
    <t>(252) 438-3316</t>
  </si>
  <si>
    <t>www.perrylibrary.org</t>
  </si>
  <si>
    <t>PERRY MEMORIAL LIBRARY</t>
  </si>
  <si>
    <t>C-VANCE-H</t>
  </si>
  <si>
    <t>NC0109</t>
  </si>
  <si>
    <t>C-PERSON</t>
  </si>
  <si>
    <t>319 S MAIN ST</t>
  </si>
  <si>
    <t>ROXBORO</t>
  </si>
  <si>
    <t>PERSON COUNTY PUBLIC LIBRARY</t>
  </si>
  <si>
    <t>PERSON</t>
  </si>
  <si>
    <t>Christy M Bondy</t>
  </si>
  <si>
    <t>(336) 597-7881</t>
  </si>
  <si>
    <t>(336) 597-5081</t>
  </si>
  <si>
    <t>cbondy@personcounty.net</t>
  </si>
  <si>
    <t>www.personcounty.net/index.aspx?page=176</t>
  </si>
  <si>
    <t>319 S. MAIN STREET</t>
  </si>
  <si>
    <t>C-PERSON-P</t>
  </si>
  <si>
    <t>NC0014</t>
  </si>
  <si>
    <t>R-PETTIGREW</t>
  </si>
  <si>
    <t>201 E THIRD ST</t>
  </si>
  <si>
    <t>PLYMOUTH</t>
  </si>
  <si>
    <t>PETTIGREW REGIONAL LIBRARY</t>
  </si>
  <si>
    <t>CHOWAN, PERQUIMANS,</t>
  </si>
  <si>
    <t>Judi Bugniazet</t>
  </si>
  <si>
    <t>(252) 793-2875</t>
  </si>
  <si>
    <t>(252) 793-2818</t>
  </si>
  <si>
    <t>jbugniazet@pettigrewlibraries.org</t>
  </si>
  <si>
    <t>www.pettigrewlibraries.org</t>
  </si>
  <si>
    <t>PERQUIMANS COUNTY LIBRARY</t>
  </si>
  <si>
    <t>110 W ACADEMY ST</t>
  </si>
  <si>
    <t>PERQUIMANS</t>
  </si>
  <si>
    <t>R-PETTIGREW-P</t>
  </si>
  <si>
    <t>NC0051</t>
  </si>
  <si>
    <t>C-POLK</t>
  </si>
  <si>
    <t>1289 W MILLS ST</t>
  </si>
  <si>
    <t>POLK COUNTY PUBLIC LIBRARY</t>
  </si>
  <si>
    <t>POLK</t>
  </si>
  <si>
    <t>Rishara Finsel</t>
  </si>
  <si>
    <t>(828) 894-8721</t>
  </si>
  <si>
    <t>(828) 894-2761</t>
  </si>
  <si>
    <t>rfinsel@polklibrary.org</t>
  </si>
  <si>
    <t>www.polklibrary.org</t>
  </si>
  <si>
    <t>C-POLK-P</t>
  </si>
  <si>
    <t>NC0041</t>
  </si>
  <si>
    <t>C-JOHNSTON</t>
  </si>
  <si>
    <t>305 MARKET ST</t>
  </si>
  <si>
    <t>SMITHFIELD</t>
  </si>
  <si>
    <t>PUBLIC LIBRARY OF JOHNSTON COUNTY &amp; SMITHFIELD</t>
  </si>
  <si>
    <t>Margaret Marshall</t>
  </si>
  <si>
    <t>(919) 934-8146</t>
  </si>
  <si>
    <t>(919) 934-8084</t>
  </si>
  <si>
    <t>mmarshall@pljcs.org</t>
  </si>
  <si>
    <t>www.pljcs.org</t>
  </si>
  <si>
    <t>PUBLIC LIBRARY OF JOHNSTON CNTY &amp; SMITHFIELD</t>
  </si>
  <si>
    <t>C-JOHNSTON-J</t>
  </si>
  <si>
    <t>NC0052</t>
  </si>
  <si>
    <t>C-RANDOLPH</t>
  </si>
  <si>
    <t>201 WORTH ST</t>
  </si>
  <si>
    <t>ASHEBORO</t>
  </si>
  <si>
    <t>RANDOLPH PUBLIC LIBRARY</t>
  </si>
  <si>
    <t>RANDOLPH</t>
  </si>
  <si>
    <t>ROSS HOLT</t>
  </si>
  <si>
    <t>(336) 318-6823</t>
  </si>
  <si>
    <t>rholt@randolphlibrary.org</t>
  </si>
  <si>
    <t>Business Manager</t>
  </si>
  <si>
    <t>(336) 318-6812</t>
  </si>
  <si>
    <t>lsshirley@randolphlibrary.org</t>
  </si>
  <si>
    <t>www.randolphlibrary.org</t>
  </si>
  <si>
    <t>C-RANDOLPH-R</t>
  </si>
  <si>
    <t>NC0088</t>
  </si>
  <si>
    <t>M-ROANOKE RAPIDS</t>
  </si>
  <si>
    <t>HQ</t>
  </si>
  <si>
    <t>319 ROANOKE AVE</t>
  </si>
  <si>
    <t>ROANOKE RAPIDS</t>
  </si>
  <si>
    <t>ROANOKE RAPIDS PUBLIC LIBRARY</t>
  </si>
  <si>
    <t>Jeffrey C. Watson</t>
  </si>
  <si>
    <t>(252) 533-2890</t>
  </si>
  <si>
    <t>jwatson@roanokerapidsnc.com</t>
  </si>
  <si>
    <t>Head Librarian</t>
  </si>
  <si>
    <t>www.youseemore.com/RoanokeRapids/</t>
  </si>
  <si>
    <t>M-ROANOKERAPIDS-R</t>
  </si>
  <si>
    <t>NC0053</t>
  </si>
  <si>
    <t>C-ROBESON</t>
  </si>
  <si>
    <t>PO BOX 988</t>
  </si>
  <si>
    <t>LUMBERTON</t>
  </si>
  <si>
    <t>101 N CHESTNUT ST</t>
  </si>
  <si>
    <t>ROBESON COUNTY PUBLIC LIBRARY</t>
  </si>
  <si>
    <t>ROBESON</t>
  </si>
  <si>
    <t>Katie Fountain</t>
  </si>
  <si>
    <t>(910) 738-4859</t>
  </si>
  <si>
    <t>(910) 739-8321</t>
  </si>
  <si>
    <t>kfountain@robesoncountylibrary.org</t>
  </si>
  <si>
    <t>www.robesoncountylibrary.org</t>
  </si>
  <si>
    <t>C-ROBESON-L</t>
  </si>
  <si>
    <t>NC0054</t>
  </si>
  <si>
    <t>C-ROCKINGHAM</t>
  </si>
  <si>
    <t>527 BOONE RD</t>
  </si>
  <si>
    <t>EDEN</t>
  </si>
  <si>
    <t>ROCKINGHAM COUNTY PUBLIC LIBRARY</t>
  </si>
  <si>
    <t>ROCKINGHAM</t>
  </si>
  <si>
    <t>Michael P. Roche</t>
  </si>
  <si>
    <t>(336) 627-1106</t>
  </si>
  <si>
    <t>(336) 623-1258</t>
  </si>
  <si>
    <t>Cathy B. Lemons</t>
  </si>
  <si>
    <t>Administrative Assistant II</t>
  </si>
  <si>
    <t>clemons@co.rockingham.nc.us</t>
  </si>
  <si>
    <t>www.rcpl.org</t>
  </si>
  <si>
    <t>EDEN BRANCH LIBRARY</t>
  </si>
  <si>
    <t>598 S PIERCE ST</t>
  </si>
  <si>
    <t>C-ROCKINGHAM-E</t>
  </si>
  <si>
    <t>NC0055</t>
  </si>
  <si>
    <t>C-ROWAN</t>
  </si>
  <si>
    <t>201 W FISHER ST</t>
  </si>
  <si>
    <t>SALISBURY</t>
  </si>
  <si>
    <t>ROWAN PUBLIC LIBRARY</t>
  </si>
  <si>
    <t>ROWAN</t>
  </si>
  <si>
    <t>Jeff Hall</t>
  </si>
  <si>
    <t>(704) 216-8237</t>
  </si>
  <si>
    <t>jeff.hall@rowancountync.gov</t>
  </si>
  <si>
    <t>Edward Hirst</t>
  </si>
  <si>
    <t>Technical Services Supervisor</t>
  </si>
  <si>
    <t>(704) 216-8259</t>
  </si>
  <si>
    <t>(704) 216-8262</t>
  </si>
  <si>
    <t>edward.hirst@rowancountync.gov</t>
  </si>
  <si>
    <t>www.rowanpubliclibrary.org</t>
  </si>
  <si>
    <t>NC0056</t>
  </si>
  <si>
    <t>C-RUTHERFORD</t>
  </si>
  <si>
    <t>255 CALLAHAN KOON RD</t>
  </si>
  <si>
    <t>SPINDALE</t>
  </si>
  <si>
    <t>RUTHERFORD COUNTY LIBRARY</t>
  </si>
  <si>
    <t>RUTHERFORD</t>
  </si>
  <si>
    <t>April Young</t>
  </si>
  <si>
    <t>(828) 287-6117</t>
  </si>
  <si>
    <t>(828) 287-6119</t>
  </si>
  <si>
    <t>april.young@rutherfordcountync.gov</t>
  </si>
  <si>
    <t>rutherfordcountylibrary.org</t>
  </si>
  <si>
    <t>C-RUTHERFORD-S</t>
  </si>
  <si>
    <t>NC0057</t>
  </si>
  <si>
    <t>C-SAMPSON</t>
  </si>
  <si>
    <t>217 GRAHAM ST</t>
  </si>
  <si>
    <t>CLINTON</t>
  </si>
  <si>
    <t>SAMPSON-CLINTON PUBLIC LIBRARY</t>
  </si>
  <si>
    <t>SAMPSON</t>
  </si>
  <si>
    <t>Heather Bonney</t>
  </si>
  <si>
    <t>(910) 592-4153</t>
  </si>
  <si>
    <t>(910) 590-3504</t>
  </si>
  <si>
    <t>hbonney@sampsonnc.com</t>
  </si>
  <si>
    <t>http://www.sampsonnc.com/departments/library_services/</t>
  </si>
  <si>
    <t>J.C. HOLLIDAY LIBRARY</t>
  </si>
  <si>
    <t>C-SAMPSON-S</t>
  </si>
  <si>
    <t>NC0015</t>
  </si>
  <si>
    <t>R-SANDHILL</t>
  </si>
  <si>
    <t>412 E FRANKLIN ST</t>
  </si>
  <si>
    <t>SANDHILL REGIONAL LIBRARY SYSTEM</t>
  </si>
  <si>
    <t>RICHMOND</t>
  </si>
  <si>
    <t>Jesse Gibson</t>
  </si>
  <si>
    <t>(910) 997-3388</t>
  </si>
  <si>
    <t>(910) 997-2516</t>
  </si>
  <si>
    <t>jesse.gibson@srls.info</t>
  </si>
  <si>
    <t>Donna Hudson</t>
  </si>
  <si>
    <t>donna.hudson@srls.info</t>
  </si>
  <si>
    <t>www.srls.info</t>
  </si>
  <si>
    <t>ALLEN LIBRARY</t>
  </si>
  <si>
    <t>307 PAGE STREET</t>
  </si>
  <si>
    <t>BISCOE</t>
  </si>
  <si>
    <t>307 PAGE ST</t>
  </si>
  <si>
    <t>MONTGOMERY</t>
  </si>
  <si>
    <t>R-SANDHILL-B</t>
  </si>
  <si>
    <t>NC0058</t>
  </si>
  <si>
    <t>C-SCOTLAND</t>
  </si>
  <si>
    <t>312 WEST CHURCH STREET</t>
  </si>
  <si>
    <t>LAURINBURG</t>
  </si>
  <si>
    <t>312 W CHURCH ST</t>
  </si>
  <si>
    <t>SCOTLAND COUNTY MEMORIAL LIBRARY</t>
  </si>
  <si>
    <t>SCOTLAND</t>
  </si>
  <si>
    <t>Leon L. Gyles</t>
  </si>
  <si>
    <t>(910) 276-0577</t>
  </si>
  <si>
    <t>(910) 276-4032</t>
  </si>
  <si>
    <t>lgyles@scotlandcounty.org</t>
  </si>
  <si>
    <t>C-SCOTLAND-L</t>
  </si>
  <si>
    <t>NC0050</t>
  </si>
  <si>
    <t>C-PITT</t>
  </si>
  <si>
    <t>530 S EVANS ST</t>
  </si>
  <si>
    <t>GREENVILLE</t>
  </si>
  <si>
    <t>SHEPPARD MEMORIAL LIBRARY</t>
  </si>
  <si>
    <t>Greg Needham</t>
  </si>
  <si>
    <t>(252) 329-4255</t>
  </si>
  <si>
    <t>gneedham@sheppardlibrary.org</t>
  </si>
  <si>
    <t>(252) 329-4586</t>
  </si>
  <si>
    <t>www.sheppardlibrary.org</t>
  </si>
  <si>
    <t>C-PITT-S</t>
  </si>
  <si>
    <t>NC0093</t>
  </si>
  <si>
    <t>M-SOUTHERN PINES</t>
  </si>
  <si>
    <t>170 W CONNECTICUT AVE</t>
  </si>
  <si>
    <t>SOUTHERN PINES</t>
  </si>
  <si>
    <t>SOUTHERN PINES PUBLIC LIBRARY</t>
  </si>
  <si>
    <t>MOORE</t>
  </si>
  <si>
    <t>Lynn Thompson</t>
  </si>
  <si>
    <t>(910) 692-8235</t>
  </si>
  <si>
    <t>(910) 695-1037</t>
  </si>
  <si>
    <t>thompson@sppl.net</t>
  </si>
  <si>
    <t>Director of Library and IT Services</t>
  </si>
  <si>
    <t>www.sppl.net</t>
  </si>
  <si>
    <t>910-695-1037</t>
  </si>
  <si>
    <t>M-SOUTHERNPINES-S</t>
  </si>
  <si>
    <t>NC0059</t>
  </si>
  <si>
    <t>C-STANLY</t>
  </si>
  <si>
    <t>133 E MAIN ST</t>
  </si>
  <si>
    <t>ALBEMARLE</t>
  </si>
  <si>
    <t>STANLY COUNTY PUBLIC LIBRARY</t>
  </si>
  <si>
    <t>STANLY</t>
  </si>
  <si>
    <t>Melanie J Holles</t>
  </si>
  <si>
    <t>(704) 983-6713</t>
  </si>
  <si>
    <t>mholles@stanlycountylibrary.org</t>
  </si>
  <si>
    <t>www.stanlycountylibrary.org</t>
  </si>
  <si>
    <t>C-STANLY-A</t>
  </si>
  <si>
    <t>NC0060</t>
  </si>
  <si>
    <t>C-TRANSYLVANIA</t>
  </si>
  <si>
    <t>212 S GASTON ST</t>
  </si>
  <si>
    <t>BREVARD</t>
  </si>
  <si>
    <t>TRANSYLVANIA COUNTY LIBRARY</t>
  </si>
  <si>
    <t>TRANSYLVANIA</t>
  </si>
  <si>
    <t>Anna Yount</t>
  </si>
  <si>
    <t>(828) 877-4230</t>
  </si>
  <si>
    <t>anna.yount@transylvaniacounty.org</t>
  </si>
  <si>
    <t>Saronda Morgan</t>
  </si>
  <si>
    <t>library.transylvaniacounty.org</t>
  </si>
  <si>
    <t>C-TRANSYLVANIA-B</t>
  </si>
  <si>
    <t>NC0061</t>
  </si>
  <si>
    <t>C-UNION</t>
  </si>
  <si>
    <t>316 E WINDSOR ST</t>
  </si>
  <si>
    <t>MONROE</t>
  </si>
  <si>
    <t>UNION COUNTY PUBLIC LIBRARY</t>
  </si>
  <si>
    <t>UNION</t>
  </si>
  <si>
    <t>Nina Meadows</t>
  </si>
  <si>
    <t>(704) 283-8184</t>
  </si>
  <si>
    <t>(704) 282-0657</t>
  </si>
  <si>
    <t>www.union.lib.nc.us</t>
  </si>
  <si>
    <t>C-UNION-U</t>
  </si>
  <si>
    <t>NC0063</t>
  </si>
  <si>
    <t>C-WAKE</t>
  </si>
  <si>
    <t>4020 CARYA DR</t>
  </si>
  <si>
    <t>RALEIGH</t>
  </si>
  <si>
    <t>WAKE COUNTY PUBLIC LIBRARIES</t>
  </si>
  <si>
    <t>WAKE</t>
  </si>
  <si>
    <t>Michael J. Wasilick</t>
  </si>
  <si>
    <t>(919) 250-1209</t>
  </si>
  <si>
    <t>mwasilick@wakegov.com</t>
  </si>
  <si>
    <t>Carol McCollum</t>
  </si>
  <si>
    <t>Data Coordinator</t>
  </si>
  <si>
    <t>(919) 250-1191</t>
  </si>
  <si>
    <t>cmccollum@wakegov.com</t>
  </si>
  <si>
    <t>www.wakegov.com/libraries</t>
  </si>
  <si>
    <t>NC0101</t>
  </si>
  <si>
    <t>C-WARREN COUNTY</t>
  </si>
  <si>
    <t>119 S FRONT ST</t>
  </si>
  <si>
    <t>WARRENTON</t>
  </si>
  <si>
    <t>WARREN COUNTY MEMORIAL LIBRARY</t>
  </si>
  <si>
    <t>WARREN</t>
  </si>
  <si>
    <t>Cheryl Reddish</t>
  </si>
  <si>
    <t>(252) 257-4990</t>
  </si>
  <si>
    <t>(252) 257-4089</t>
  </si>
  <si>
    <t>cherylreddish@warrencountync.gov</t>
  </si>
  <si>
    <t>www.wcmlibrary.org</t>
  </si>
  <si>
    <t>C-WARREN</t>
  </si>
  <si>
    <t>NC0065</t>
  </si>
  <si>
    <t>C-WAYNE</t>
  </si>
  <si>
    <t>1001 E ASH ST</t>
  </si>
  <si>
    <t>GOLDSBORO</t>
  </si>
  <si>
    <t>WAYNE COUNTY PUBLIC LIBRARY</t>
  </si>
  <si>
    <t>WAYNE</t>
  </si>
  <si>
    <t>DONNA PHILLIPS</t>
  </si>
  <si>
    <t>(919) 731-2889</t>
  </si>
  <si>
    <t>donna.phillips@waynegov.com</t>
  </si>
  <si>
    <t>www.wcpl.org</t>
  </si>
  <si>
    <t>WAYNE COUNTY PUBLIC LIBRARY, INC.</t>
  </si>
  <si>
    <t>C-WAYNE-G</t>
  </si>
  <si>
    <t>NC0066</t>
  </si>
  <si>
    <t>C-WILSON</t>
  </si>
  <si>
    <t>249 NASH ST W</t>
  </si>
  <si>
    <t>WILSON</t>
  </si>
  <si>
    <t>WILSON COUNTY PUBLIC LIBRARY</t>
  </si>
  <si>
    <t>(252) 237-5355</t>
  </si>
  <si>
    <t>(252) 265-5569</t>
  </si>
  <si>
    <t>www.wilsoncountypubliclibrary.org</t>
  </si>
  <si>
    <t>C-WILSON-W</t>
  </si>
  <si>
    <t>DRAFT Statistical Report of North Carolina Public Libraries</t>
  </si>
  <si>
    <t>TABLE 1 - LIBRARY PROFILE</t>
  </si>
  <si>
    <t>NC Dept. of Commerce tier designation (2014)</t>
  </si>
  <si>
    <t>Legal service population area</t>
  </si>
  <si>
    <t>Service outlets</t>
  </si>
  <si>
    <t>Annual hours</t>
  </si>
  <si>
    <t>Central</t>
  </si>
  <si>
    <t>Branches</t>
  </si>
  <si>
    <t>Bookmobiles</t>
  </si>
  <si>
    <t>Other mobile units</t>
  </si>
  <si>
    <t>Mobile units</t>
  </si>
  <si>
    <t>County Libraries</t>
  </si>
  <si>
    <t>Total:</t>
  </si>
  <si>
    <t>Mean average:</t>
  </si>
  <si>
    <t>Regional Libraries</t>
  </si>
  <si>
    <t>Municipal Libraries</t>
  </si>
  <si>
    <t>Clayton</t>
  </si>
  <si>
    <t>NC totals:</t>
  </si>
  <si>
    <t xml:space="preserve">NC mean average: </t>
  </si>
  <si>
    <t>TABLE 2 - LIBRARY STAFF</t>
  </si>
  <si>
    <t>FTE</t>
  </si>
  <si>
    <t>Total</t>
  </si>
  <si>
    <t>FTE Per</t>
  </si>
  <si>
    <t>% of Staff</t>
  </si>
  <si>
    <t>MLS</t>
  </si>
  <si>
    <t>with</t>
  </si>
  <si>
    <t>ALA/MLS</t>
  </si>
  <si>
    <t>Not ALA</t>
  </si>
  <si>
    <t>Paid Staff</t>
  </si>
  <si>
    <t>Population</t>
  </si>
  <si>
    <t>Mean average</t>
  </si>
  <si>
    <t>NC mean average</t>
  </si>
  <si>
    <t>TABLE 3 - SALARIES AND WAGES</t>
  </si>
  <si>
    <t>Staff</t>
  </si>
  <si>
    <t>Expenditures on</t>
  </si>
  <si>
    <t>Salary</t>
  </si>
  <si>
    <t>Year</t>
  </si>
  <si>
    <t>expenditures</t>
  </si>
  <si>
    <t>salaries &amp; wages</t>
  </si>
  <si>
    <t>Salary ($)</t>
  </si>
  <si>
    <t xml:space="preserve"> range ($)</t>
  </si>
  <si>
    <t>Appointed</t>
  </si>
  <si>
    <t>per capita</t>
  </si>
  <si>
    <t>per FTE</t>
  </si>
  <si>
    <t>N/A</t>
  </si>
  <si>
    <t>Circulation</t>
  </si>
  <si>
    <t>TABLE 4 - OPERATING INCOME</t>
  </si>
  <si>
    <t>Local Funds ($)</t>
  </si>
  <si>
    <t>State Funds ($)</t>
  </si>
  <si>
    <t>Federal Funds ($)</t>
  </si>
  <si>
    <t>Operating</t>
  </si>
  <si>
    <t xml:space="preserve">County </t>
  </si>
  <si>
    <t xml:space="preserve">Total </t>
  </si>
  <si>
    <t>State Aid</t>
  </si>
  <si>
    <t xml:space="preserve">Other </t>
  </si>
  <si>
    <t xml:space="preserve">Total  </t>
  </si>
  <si>
    <t xml:space="preserve"> Funds ($)</t>
  </si>
  <si>
    <t>Income ($)</t>
  </si>
  <si>
    <t>NC total</t>
  </si>
  <si>
    <t>TABLE 5 - OPERATING INCOME: PER CAPITA MEASURES &amp; PERCENT TOTALS</t>
  </si>
  <si>
    <t>Local</t>
  </si>
  <si>
    <t>Income</t>
  </si>
  <si>
    <t>Operating Funds as a Percent (%) of Total Income</t>
  </si>
  <si>
    <t>Per Capita($)</t>
  </si>
  <si>
    <t>Federal</t>
  </si>
  <si>
    <t>Alamance</t>
  </si>
  <si>
    <t>Alexander</t>
  </si>
  <si>
    <t>Bladen</t>
  </si>
  <si>
    <t>Brunswick</t>
  </si>
  <si>
    <t>Buncombe</t>
  </si>
  <si>
    <t>Burke</t>
  </si>
  <si>
    <t>Cabarrus</t>
  </si>
  <si>
    <t>Caldwell</t>
  </si>
  <si>
    <t>Caswell</t>
  </si>
  <si>
    <t>Catawba</t>
  </si>
  <si>
    <t>Chatham</t>
  </si>
  <si>
    <t>Cleveland</t>
  </si>
  <si>
    <t>Columbus</t>
  </si>
  <si>
    <t>Cumberland</t>
  </si>
  <si>
    <t>Davidson</t>
  </si>
  <si>
    <t>Davie</t>
  </si>
  <si>
    <t>Duplin</t>
  </si>
  <si>
    <t>Durham</t>
  </si>
  <si>
    <t>Edgecombe</t>
  </si>
  <si>
    <t>Forsyth</t>
  </si>
  <si>
    <t>Franklin</t>
  </si>
  <si>
    <t>Granville</t>
  </si>
  <si>
    <t>Guilford (Greensboro)</t>
  </si>
  <si>
    <t>Halifax</t>
  </si>
  <si>
    <t>Harnett</t>
  </si>
  <si>
    <t>Haywood</t>
  </si>
  <si>
    <t>Henderson</t>
  </si>
  <si>
    <t>Iredell</t>
  </si>
  <si>
    <t>Lee</t>
  </si>
  <si>
    <t>Lincoln</t>
  </si>
  <si>
    <t>Madison</t>
  </si>
  <si>
    <t>McDowell</t>
  </si>
  <si>
    <t>Mecklenburg</t>
  </si>
  <si>
    <t>Nash (Braswell)</t>
  </si>
  <si>
    <t>New Hanover</t>
  </si>
  <si>
    <t>Onslow</t>
  </si>
  <si>
    <t>Pender</t>
  </si>
  <si>
    <t>Person</t>
  </si>
  <si>
    <t>Pitt (Sheppard)</t>
  </si>
  <si>
    <t>Polk</t>
  </si>
  <si>
    <t>Randolph</t>
  </si>
  <si>
    <t>Robeson</t>
  </si>
  <si>
    <t>Rockingham</t>
  </si>
  <si>
    <t>Rowan</t>
  </si>
  <si>
    <t>Rutherford</t>
  </si>
  <si>
    <t>Sampson</t>
  </si>
  <si>
    <t>Scotland</t>
  </si>
  <si>
    <t>Stanly</t>
  </si>
  <si>
    <t>Transylvania</t>
  </si>
  <si>
    <t>Union</t>
  </si>
  <si>
    <t>Vance (Perry)</t>
  </si>
  <si>
    <t>Wake</t>
  </si>
  <si>
    <t>Warren</t>
  </si>
  <si>
    <t>Wayne</t>
  </si>
  <si>
    <t>Wilson</t>
  </si>
  <si>
    <t>Albemarle</t>
  </si>
  <si>
    <t>AMY</t>
  </si>
  <si>
    <t>Appalachian</t>
  </si>
  <si>
    <t>BHM</t>
  </si>
  <si>
    <t>CPC</t>
  </si>
  <si>
    <t>E. Albemarle</t>
  </si>
  <si>
    <t>Fontana</t>
  </si>
  <si>
    <t>Nantahala</t>
  </si>
  <si>
    <t>Neuse</t>
  </si>
  <si>
    <t>Northwestern</t>
  </si>
  <si>
    <t>Pettigrew</t>
  </si>
  <si>
    <t>Sandhill</t>
  </si>
  <si>
    <t>Chapel Hill</t>
  </si>
  <si>
    <t>Farmville</t>
  </si>
  <si>
    <t>Hickory</t>
  </si>
  <si>
    <t>High Point</t>
  </si>
  <si>
    <t>Kings Mountain</t>
  </si>
  <si>
    <t>Mooresville</t>
  </si>
  <si>
    <t>Nashville</t>
  </si>
  <si>
    <t>Roanoke Rapids</t>
  </si>
  <si>
    <t>Southern Pines</t>
  </si>
  <si>
    <t>Washington</t>
  </si>
  <si>
    <t>July 1, 2016 - June 30, 2017</t>
  </si>
  <si>
    <t>TABLE 6 - OPERATING EXPENDITURES</t>
  </si>
  <si>
    <t>% of Total</t>
  </si>
  <si>
    <t xml:space="preserve">Personnel </t>
  </si>
  <si>
    <t xml:space="preserve">% of Total </t>
  </si>
  <si>
    <t xml:space="preserve">Collection </t>
  </si>
  <si>
    <t>Personnel</t>
  </si>
  <si>
    <t>For</t>
  </si>
  <si>
    <t>Costs ($)</t>
  </si>
  <si>
    <t>Collection</t>
  </si>
  <si>
    <t>Total ($)</t>
  </si>
  <si>
    <t>Operating ($)</t>
  </si>
  <si>
    <t>($)</t>
  </si>
  <si>
    <t xml:space="preserve">Per Capita </t>
  </si>
  <si>
    <t xml:space="preserve"> Operating </t>
  </si>
  <si>
    <t xml:space="preserve"> Per Capita</t>
  </si>
  <si>
    <t>TABLE 7 - COLLECTIONS</t>
  </si>
  <si>
    <t>Print collections</t>
  </si>
  <si>
    <t>Non print collections</t>
  </si>
  <si>
    <t>Adult</t>
  </si>
  <si>
    <t>Young adult</t>
  </si>
  <si>
    <t>Juvenile</t>
  </si>
  <si>
    <t>Total Book</t>
  </si>
  <si>
    <t>Print Serial</t>
  </si>
  <si>
    <t>Audio &amp;</t>
  </si>
  <si>
    <t>Video &amp;</t>
  </si>
  <si>
    <t>ePeriodical</t>
  </si>
  <si>
    <t>Books</t>
  </si>
  <si>
    <t>Volumes</t>
  </si>
  <si>
    <t>Subscriptions</t>
  </si>
  <si>
    <t>eAudio</t>
  </si>
  <si>
    <t>eVideo</t>
  </si>
  <si>
    <t>eBooks</t>
  </si>
  <si>
    <t xml:space="preserve">TABLE 8 - COLLECTION: PERCENT TOTALS &amp; PER CAPITA MEASURES </t>
  </si>
  <si>
    <t>% of</t>
  </si>
  <si>
    <t xml:space="preserve">Books Young </t>
  </si>
  <si>
    <t>Book Volumes</t>
  </si>
  <si>
    <t>Per</t>
  </si>
  <si>
    <t>Per 1,000</t>
  </si>
  <si>
    <t>Adult Volumes</t>
  </si>
  <si>
    <t>Juvenile Volumes</t>
  </si>
  <si>
    <t>Per Capita</t>
  </si>
  <si>
    <t>Capita</t>
  </si>
  <si>
    <t xml:space="preserve"> </t>
  </si>
  <si>
    <t>TABLE 9 - CIRCULATION: TYPE OF MATERIAL</t>
  </si>
  <si>
    <t>Print</t>
  </si>
  <si>
    <t>Non-Print</t>
  </si>
  <si>
    <t>Total Use of Electronic Materials</t>
  </si>
  <si>
    <t>Young Adult</t>
  </si>
  <si>
    <t>Total Print</t>
  </si>
  <si>
    <t>Periodicals</t>
  </si>
  <si>
    <t>ePeriodicals</t>
  </si>
  <si>
    <t>Databases</t>
  </si>
  <si>
    <t xml:space="preserve">TABLE 10 - CIRCULATION: SERVICE OUTLETS &amp; SERVICE MEASURES </t>
  </si>
  <si>
    <t>Print circulation (Books only)</t>
  </si>
  <si>
    <t>Electronic Materials</t>
  </si>
  <si>
    <t>Cost Per</t>
  </si>
  <si>
    <t>% Adult</t>
  </si>
  <si>
    <t>% Young</t>
  </si>
  <si>
    <t xml:space="preserve">% Young Adult </t>
  </si>
  <si>
    <t>% Juvenile</t>
  </si>
  <si>
    <t>Fiction</t>
  </si>
  <si>
    <t>Non-Fiction</t>
  </si>
  <si>
    <t>Adult Fiction</t>
  </si>
  <si>
    <t>Total or mean average*</t>
  </si>
  <si>
    <t>*</t>
  </si>
  <si>
    <t>Average</t>
  </si>
  <si>
    <t>Collection Use</t>
  </si>
  <si>
    <t>TABLE 11 -  SERVICE MEASURES: USERS, VISITS, REFERENCE, ILL</t>
  </si>
  <si>
    <t>Registered Users</t>
  </si>
  <si>
    <t>Number of</t>
  </si>
  <si>
    <t>Library</t>
  </si>
  <si>
    <t>Reference</t>
  </si>
  <si>
    <t>Reference:</t>
  </si>
  <si>
    <t>Interlibrary Loan</t>
  </si>
  <si>
    <t>Annual Library</t>
  </si>
  <si>
    <t>Visits</t>
  </si>
  <si>
    <t>Transactions</t>
  </si>
  <si>
    <t>Technology/</t>
  </si>
  <si>
    <t>Workforce</t>
  </si>
  <si>
    <t>Items</t>
  </si>
  <si>
    <t>Adults</t>
  </si>
  <si>
    <t>Juveniles</t>
  </si>
  <si>
    <t>Computers</t>
  </si>
  <si>
    <t>Development</t>
  </si>
  <si>
    <t>Loaned</t>
  </si>
  <si>
    <t>Borrowed</t>
  </si>
  <si>
    <t>Totals or mean average*</t>
  </si>
  <si>
    <t>*Total or mean average</t>
  </si>
  <si>
    <t>TABLE 12 -  LIBRARY PROGRAMS, ATTENDANCE, AND MEETING SPACE</t>
  </si>
  <si>
    <t>Number of Programs</t>
  </si>
  <si>
    <t>Program attendance</t>
  </si>
  <si>
    <t>Young</t>
  </si>
  <si>
    <t>Attendance</t>
  </si>
  <si>
    <t>Meeting Rooms</t>
  </si>
  <si>
    <t>Children</t>
  </si>
  <si>
    <t>Use</t>
  </si>
  <si>
    <t>NC totals or mean average*</t>
  </si>
  <si>
    <t>TABLE 13 - ELECTRONIC TECHNOLOGY</t>
  </si>
  <si>
    <t>Internet Computers</t>
  </si>
  <si>
    <t>Public per</t>
  </si>
  <si>
    <t>Use Sessions</t>
  </si>
  <si>
    <t>Wireless</t>
  </si>
  <si>
    <t>Technology</t>
  </si>
  <si>
    <t>of Internet</t>
  </si>
  <si>
    <t>Internet</t>
  </si>
  <si>
    <t>Website</t>
  </si>
  <si>
    <t>Lending</t>
  </si>
  <si>
    <t>Only</t>
  </si>
  <si>
    <t>Public</t>
  </si>
  <si>
    <t>Sessions</t>
  </si>
  <si>
    <t>TABLE 14 -  SUMMER READING PROGRAM</t>
  </si>
  <si>
    <t xml:space="preserve"> Library staff did</t>
  </si>
  <si>
    <t>AGE 0-5TH GRADE</t>
  </si>
  <si>
    <t>6-12TH GRADE</t>
  </si>
  <si>
    <t>TOTALS</t>
  </si>
  <si>
    <t>school/daycare visits</t>
  </si>
  <si>
    <t>Registered</t>
  </si>
  <si>
    <t>Programs/</t>
  </si>
  <si>
    <t>Event</t>
  </si>
  <si>
    <t>Minutes</t>
  </si>
  <si>
    <t xml:space="preserve"> to advertise SRP</t>
  </si>
  <si>
    <t>Participants</t>
  </si>
  <si>
    <t>Events</t>
  </si>
  <si>
    <t>Read</t>
  </si>
  <si>
    <t>Circulated</t>
  </si>
  <si>
    <t>Totals</t>
  </si>
  <si>
    <t>NC totals</t>
  </si>
  <si>
    <t xml:space="preserve">          Five-Year Statewide Summary</t>
  </si>
  <si>
    <t>Collections/Circulation</t>
  </si>
  <si>
    <t>Print Book</t>
  </si>
  <si>
    <t xml:space="preserve">Electronic </t>
  </si>
  <si>
    <t>Cost per</t>
  </si>
  <si>
    <t>Grand</t>
  </si>
  <si>
    <t>Materials</t>
  </si>
  <si>
    <t>Usage*</t>
  </si>
  <si>
    <t>Circulation ($)</t>
  </si>
  <si>
    <t>Circulation**</t>
  </si>
  <si>
    <t>2012-2013</t>
  </si>
  <si>
    <t>2013-2014</t>
  </si>
  <si>
    <t>2014-2015</t>
  </si>
  <si>
    <t>2015-2016</t>
  </si>
  <si>
    <t>Trend</t>
  </si>
  <si>
    <t>Operating Income</t>
  </si>
  <si>
    <t>Local Income</t>
  </si>
  <si>
    <t>Total Income</t>
  </si>
  <si>
    <t>Per Capita ($)</t>
  </si>
  <si>
    <t>State Aid ($)</t>
  </si>
  <si>
    <t>Per capita ($)</t>
  </si>
  <si>
    <t>Operating Expenditures</t>
  </si>
  <si>
    <t>Expenses ($)</t>
  </si>
  <si>
    <t>Service Measures</t>
  </si>
  <si>
    <t xml:space="preserve">Library </t>
  </si>
  <si>
    <t xml:space="preserve">Public </t>
  </si>
  <si>
    <t>Questions</t>
  </si>
  <si>
    <t>Computer</t>
  </si>
  <si>
    <t>Annual</t>
  </si>
  <si>
    <t>Borrowers</t>
  </si>
  <si>
    <t>Usage</t>
  </si>
  <si>
    <t>Hours</t>
  </si>
  <si>
    <t>Program/FTE Staff Measures</t>
  </si>
  <si>
    <t>Program</t>
  </si>
  <si>
    <t>FTE Staff Per</t>
  </si>
  <si>
    <t>% Staff</t>
  </si>
  <si>
    <t>Programs</t>
  </si>
  <si>
    <t>ALA MLS</t>
  </si>
  <si>
    <t>25,000 Pop.</t>
  </si>
  <si>
    <t>with ALA MLS</t>
  </si>
  <si>
    <t xml:space="preserve">*2015-16 includes database usage along with ebooks, downloadable audio, downloadable video, and eperiodicals for the first time. </t>
  </si>
  <si>
    <t>**The number also includes database usage for the first time.</t>
  </si>
  <si>
    <t>LS_ID</t>
  </si>
  <si>
    <t>00</t>
  </si>
  <si>
    <t>-3</t>
  </si>
  <si>
    <t>04</t>
  </si>
  <si>
    <t>M-CLAYTON</t>
  </si>
  <si>
    <t>Statistical Report of North Carolina Public Libraries</t>
  </si>
  <si>
    <t>July 1, 2015 - June 30, 2016</t>
  </si>
  <si>
    <t>NC0010</t>
  </si>
  <si>
    <t>OP_EXP_CIRC</t>
  </si>
  <si>
    <t>STAFF_EXP_CIRC</t>
  </si>
  <si>
    <t>COLL_EXP_CIRC</t>
  </si>
  <si>
    <t>OP_EXP_BORR</t>
  </si>
  <si>
    <t>STAFF_EXP_BORR</t>
  </si>
  <si>
    <t>COLL_EXP_BORR</t>
  </si>
  <si>
    <t>OP_EXP_VIS</t>
  </si>
  <si>
    <t>STAFF_EXP_VIS</t>
  </si>
  <si>
    <t>COLL_EXP_VIS</t>
  </si>
  <si>
    <t>OP_EXP_REF</t>
  </si>
  <si>
    <t>STAFF_EXP_REF</t>
  </si>
  <si>
    <t>COLL_EXP_REF</t>
  </si>
  <si>
    <t>OP_EXP_PRG</t>
  </si>
  <si>
    <t>STAFF_EXP_PRG</t>
  </si>
  <si>
    <t>COLL_EXP_PRG</t>
  </si>
  <si>
    <t>OP_EXP_CHILD_CIRC</t>
  </si>
  <si>
    <t>STAFF_EXP_CHILD_CIRC</t>
  </si>
  <si>
    <t>COLL_EXP_CHILD_CIRC</t>
  </si>
  <si>
    <t>REF_FTE</t>
  </si>
  <si>
    <t>REF_MLS</t>
  </si>
  <si>
    <t>REF_LIB</t>
  </si>
  <si>
    <t>VISITS_FTE</t>
  </si>
  <si>
    <t>VISITS_MLS</t>
  </si>
  <si>
    <t>VISITS_LIB</t>
  </si>
  <si>
    <t>CIRC_LIB</t>
  </si>
  <si>
    <t>CIRC_MLS</t>
  </si>
  <si>
    <t>CIRC_HOLD</t>
  </si>
  <si>
    <t>CIRC_FTE</t>
  </si>
  <si>
    <t>CIRC_FTE_HRS</t>
  </si>
  <si>
    <t>TOTCIR_CAP</t>
  </si>
  <si>
    <t>VISITS_CAP</t>
  </si>
  <si>
    <t>ILLS_OUT_1K_SERVED</t>
  </si>
  <si>
    <t>ILLS_IN_1K_SERVED</t>
  </si>
  <si>
    <t>REF_CAP</t>
  </si>
  <si>
    <t>KIDCIRC_CAP</t>
  </si>
  <si>
    <t>REGBOR_CAP</t>
  </si>
  <si>
    <t>TOTATT_CAP</t>
  </si>
  <si>
    <t>LOANTO_CAP</t>
  </si>
  <si>
    <t>LOANFM_CAP</t>
  </si>
  <si>
    <t>PICU_PER_CAPITA</t>
  </si>
  <si>
    <t>APROG_ATT_CAPITA</t>
  </si>
  <si>
    <t>KIDPROG_ATT_CAPITA</t>
  </si>
  <si>
    <t>STAFFEXP_CAP</t>
  </si>
  <si>
    <t>HOLD_CAP</t>
  </si>
  <si>
    <t>ESUBSCRP_CAP</t>
  </si>
  <si>
    <t>SUBSCRIPT_CAP</t>
  </si>
  <si>
    <t>EBKS_CAP</t>
  </si>
  <si>
    <t>DATABASES_CAP</t>
  </si>
  <si>
    <t>MLS_FTE_1K_SERVED</t>
  </si>
  <si>
    <t>FTE_1K_SERVED</t>
  </si>
  <si>
    <t>SUBS_1K_SERVED</t>
  </si>
  <si>
    <t>BKVOL_CAP</t>
  </si>
  <si>
    <t>OTHSTFF_THOUS</t>
  </si>
  <si>
    <t>EBKS_1K_SERVED</t>
  </si>
  <si>
    <t>DATA_1K_SERVED</t>
  </si>
  <si>
    <t>OTH_OP_EXP_CAPITA</t>
  </si>
  <si>
    <t>AUD_MATS_1K_SERVED</t>
  </si>
  <si>
    <t>VID_MATS_1K_SERVED</t>
  </si>
  <si>
    <t>TOTOPEXP_CAP</t>
  </si>
  <si>
    <t>TOTEXPCO_CAP</t>
  </si>
  <si>
    <t>PRMEXP_CAP</t>
  </si>
  <si>
    <t>FTE_1K_POP</t>
  </si>
  <si>
    <t>MLS_FTE_1K_POP</t>
  </si>
  <si>
    <t>OTHSTFF_1K_SERV</t>
  </si>
  <si>
    <t>STGVT_CAP</t>
  </si>
  <si>
    <t>LOCGVT_CAP</t>
  </si>
  <si>
    <t>FEDGVT_CAP</t>
  </si>
  <si>
    <t>OTHINC_CAP</t>
  </si>
  <si>
    <t>TOTINC_CAP</t>
  </si>
  <si>
    <t>ILLS_OUT_WEEK</t>
  </si>
  <si>
    <t>ILLS_IN_WEEK</t>
  </si>
  <si>
    <t>CIRC_VISIT</t>
  </si>
  <si>
    <t>CIRC_WK</t>
  </si>
  <si>
    <t>VISITS_HR</t>
  </si>
  <si>
    <t>VISITS_WK</t>
  </si>
  <si>
    <t>REF_HR</t>
  </si>
  <si>
    <t>CIRC_HR</t>
  </si>
  <si>
    <t>REF_VIS</t>
  </si>
  <si>
    <t>REF_WK</t>
  </si>
  <si>
    <t>HOLD_CIRC</t>
  </si>
  <si>
    <t>COLLECT_EXP_PER_VISIT</t>
  </si>
  <si>
    <t>HOLD_VISIT</t>
  </si>
  <si>
    <t>HRS_PER_100POP</t>
  </si>
  <si>
    <t>CIRC_PER_BORROWER</t>
  </si>
  <si>
    <t>OPEXP_PER_VISIT</t>
  </si>
  <si>
    <t>AVGWKPSHRS</t>
  </si>
  <si>
    <t>TOT_STAFF_EXP_FTE</t>
  </si>
  <si>
    <t>SALWAG_EXP_FTE</t>
  </si>
  <si>
    <t>FTE_1K_CIRC</t>
  </si>
  <si>
    <t>FTE_1K_REF</t>
  </si>
  <si>
    <t>FTE_1K_VISITS</t>
  </si>
  <si>
    <t>MLS_FTE_1K_CIRC</t>
  </si>
  <si>
    <t>MLS_FTE_1K_REF</t>
  </si>
  <si>
    <t>MLS_FTE_1K_VISITS</t>
  </si>
  <si>
    <t>PERCENT_MLS_LIBS</t>
  </si>
  <si>
    <t>PERCENT_FTE_LIB</t>
  </si>
  <si>
    <t>PERCENT_FTE_NONLIB</t>
  </si>
  <si>
    <t>PERCENT_SEXP_BENEFITS</t>
  </si>
  <si>
    <t>PERCENT_SEXP_SALWAG</t>
  </si>
  <si>
    <t>PERCENT_OPEXP_COLL</t>
  </si>
  <si>
    <t>PERCENT_OPEXP_EMATS</t>
  </si>
  <si>
    <t>PERCENT_OPEXP_BENEFITS</t>
  </si>
  <si>
    <t>PERCENT_OPEXP_OTHMAT</t>
  </si>
  <si>
    <t>PERCENT_OPEXP_OTH</t>
  </si>
  <si>
    <t>PERCENT_OPEXP_PMATS</t>
  </si>
  <si>
    <t>PERCENT_OPEXP_SALWAG</t>
  </si>
  <si>
    <t>PERCENT_OPEXP_SEXP</t>
  </si>
  <si>
    <t>PERCENT_FED_OPINC</t>
  </si>
  <si>
    <t>PERCENT_LOC_OPINC</t>
  </si>
  <si>
    <t>PERCENT_OTH_OPINC</t>
  </si>
  <si>
    <t>PERCENT_STATE_OPINC</t>
  </si>
  <si>
    <t>BENEFITS_FTE</t>
  </si>
  <si>
    <t>VISITS_BORR</t>
  </si>
  <si>
    <t>POP_LIB</t>
  </si>
  <si>
    <t>POP_MLS</t>
  </si>
  <si>
    <t>POP_FTE</t>
  </si>
  <si>
    <t>COLLEXP_PRINT</t>
  </si>
  <si>
    <t>COLLEXP_EMATS</t>
  </si>
  <si>
    <t>COLLEXP_OTHERMATS</t>
  </si>
  <si>
    <t>PERCENT_MLS_FTE</t>
  </si>
  <si>
    <t>CIRC_SALWAGS</t>
  </si>
  <si>
    <t>CIRC_BENEFITS</t>
  </si>
  <si>
    <t>CIRC_TOTSTAFF_EXP</t>
  </si>
  <si>
    <t>CIRC_EMATS_EXP</t>
  </si>
  <si>
    <t>CIRC_PMATS_EXP</t>
  </si>
  <si>
    <t>CIRC_OTHMATS_EXP</t>
  </si>
  <si>
    <t>CIRC_COLL_EXP</t>
  </si>
  <si>
    <t>CIRC_TOT_EXP</t>
  </si>
  <si>
    <t>CIRC_TOT_REV</t>
  </si>
  <si>
    <t>Terri Fulcher Lamm</t>
  </si>
  <si>
    <t>Teresa Cole</t>
  </si>
  <si>
    <t>tcole@arlnc.org</t>
  </si>
  <si>
    <t>Betty Massie</t>
  </si>
  <si>
    <t>Interim Director</t>
  </si>
  <si>
    <t>bmassie@arlnc.org</t>
  </si>
  <si>
    <t>Rella B. Dale</t>
  </si>
  <si>
    <t>Adminsitrative Assistant</t>
  </si>
  <si>
    <t>Susan Clark</t>
  </si>
  <si>
    <t>sclark@caldwellcountync.org</t>
  </si>
  <si>
    <t>Suzanne White</t>
  </si>
  <si>
    <t>Vickie R. Currin</t>
  </si>
  <si>
    <t>Technical Services Manager</t>
  </si>
  <si>
    <t>(919) 545-8082</t>
  </si>
  <si>
    <t>vickie.currin@chathamlibraries.org</t>
  </si>
  <si>
    <t>Carol H. Wilson</t>
  </si>
  <si>
    <t>Morris Pridgen</t>
  </si>
  <si>
    <t>mpridgen@embarqmail.com</t>
  </si>
  <si>
    <t>Susan Simpson</t>
  </si>
  <si>
    <t>Stephanie Edwards</t>
  </si>
  <si>
    <t>stephanie.edwards@duplincountync.com</t>
  </si>
  <si>
    <t>201 N. Chestnut Street</t>
  </si>
  <si>
    <t>Admin Support Specialist</t>
  </si>
  <si>
    <t>(252) 975-2015</t>
  </si>
  <si>
    <t>Sandra A. Silvey</t>
  </si>
  <si>
    <t>Spec Admin Support</t>
  </si>
  <si>
    <t>Cati Montgomery</t>
  </si>
  <si>
    <t>cati.montgomery@townofnashvillenc.gov</t>
  </si>
  <si>
    <t>M-JOHNSTON-C</t>
  </si>
  <si>
    <t>R-HYCONEECHEE</t>
  </si>
  <si>
    <t>PO BOX 8181</t>
  </si>
  <si>
    <t>HYCONEECHEE REGIONAL LIBRARY</t>
  </si>
  <si>
    <t>www.orangecountync.gov/library/hyconeechee</t>
  </si>
  <si>
    <t>Susan Benning</t>
  </si>
  <si>
    <t>sbenning@leecountync.gov</t>
  </si>
  <si>
    <t>county</t>
  </si>
  <si>
    <t>John Hedrick</t>
  </si>
  <si>
    <t>jhedrick@nwrl.org</t>
  </si>
  <si>
    <t>Estell Carter</t>
  </si>
  <si>
    <t>valerie_suttee@onslowcountync.gov</t>
  </si>
  <si>
    <t>Valerie Suttee</t>
  </si>
  <si>
    <t>(910) 937-1425</t>
  </si>
  <si>
    <t>(910) 989-5791</t>
  </si>
  <si>
    <t>Asst Library Director</t>
  </si>
  <si>
    <t>LINDA SHIRLEY</t>
  </si>
  <si>
    <t>mproche@rcpl.org</t>
  </si>
  <si>
    <t>www.scotlandcounty.org/library</t>
  </si>
  <si>
    <t>Lynn Woolard (Financial); Tammy Fulcher (Statistical)</t>
  </si>
  <si>
    <t>Business Manager; Head of Adult/Technical Services</t>
  </si>
  <si>
    <t>lwoolard@sheppardlibrary.org; tfulcher@sheppardlibrary.org</t>
  </si>
  <si>
    <t>(704) 986-3765</t>
  </si>
  <si>
    <t>Library Program Support Asst./Business Manager</t>
  </si>
  <si>
    <t>(828) 884-3151</t>
  </si>
  <si>
    <t>saronda.morgan@transylvaniacounty.org</t>
  </si>
  <si>
    <t>nmeadows@union.lib.nc.us</t>
  </si>
  <si>
    <t>JoAnn Jablonski</t>
  </si>
  <si>
    <t>Training &amp; Technology Coordinator</t>
  </si>
  <si>
    <t>jjablonski@union.lib.nc.us</t>
  </si>
  <si>
    <t>COUNTY</t>
  </si>
  <si>
    <t>DIANE KELLEY</t>
  </si>
  <si>
    <t>OFFICE MANAGER/FINANCIAL ASST</t>
  </si>
  <si>
    <t>(919) 581-3554</t>
  </si>
  <si>
    <t>diane.kelley@waynegov.com</t>
  </si>
  <si>
    <t>Becky Callison</t>
  </si>
  <si>
    <t>bcallison@wilson-co.com</t>
  </si>
  <si>
    <t xml:space="preserve">      2011-2016</t>
  </si>
  <si>
    <t>2011-2012</t>
  </si>
  <si>
    <t xml:space="preserve">                      Statistical Report of North Carolina Public Libraries, July 1, 2015- June 30,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</si>
</sst>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%"/>
    <numFmt numFmtId="167" formatCode="_(&quot;$&quot;* #,##0_);_(&quot;$&quot;* \(#,##0\);_(&quot;$&quot;* &quot;-&quot;??_);_(@_)"/>
    <numFmt numFmtId="168" formatCode="&quot;$&quot;#,##0"/>
    <numFmt numFmtId="169" formatCode="_(&quot;$&quot;* #,##0.0_);_(&quot;$&quot;* \(#,##0.0\);_(&quot;$&quot;* &quot;-&quot;??_);_(@_)"/>
    <numFmt numFmtId="170" formatCode="_(* #,##0.0_);_(* \(#,##0.0\);_(* &quot;-&quot;??_);_(@_)"/>
    <numFmt numFmtId="171" formatCode="0.000"/>
    <numFmt numFmtId="172" formatCode="_(* #,##0.000_);_(* \(#,##0.000\);_(* &quot;-&quot;??_);_(@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i/>
      <sz val="11"/>
      <name val="Calibri"/>
      <family val="2"/>
      <scheme val="minor"/>
    </font>
    <font>
      <i/>
      <sz val="10"/>
      <name val="Arial"/>
      <family val="2"/>
    </font>
    <font>
      <sz val="10"/>
      <color indexed="10"/>
      <name val="Calibri"/>
      <family val="2"/>
      <scheme val="minor"/>
    </font>
    <font>
      <sz val="11"/>
      <name val="Arial"/>
      <family val="2"/>
    </font>
    <font>
      <b/>
      <sz val="14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double">
        <color auto="1"/>
      </left>
      <right style="thin">
        <color theme="0" tint="-0.249977111117893"/>
      </right>
      <top style="thin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67">
    <xf numFmtId="0" fontId="0" fillId="0" borderId="0" xfId="0"/>
    <xf numFmtId="3" fontId="0" fillId="0" borderId="0" xfId="0" applyNumberFormat="1"/>
    <xf numFmtId="4" fontId="0" fillId="0" borderId="0" xfId="0" applyNumberFormat="1"/>
    <xf numFmtId="10" fontId="0" fillId="0" borderId="0" xfId="0" applyNumberFormat="1"/>
    <xf numFmtId="6" fontId="0" fillId="0" borderId="0" xfId="0" applyNumberFormat="1"/>
    <xf numFmtId="0" fontId="16" fillId="0" borderId="0" xfId="0" applyFont="1"/>
    <xf numFmtId="0" fontId="18" fillId="0" borderId="10" xfId="0" applyFont="1" applyBorder="1"/>
    <xf numFmtId="0" fontId="18" fillId="0" borderId="11" xfId="0" applyFont="1" applyBorder="1"/>
    <xf numFmtId="0" fontId="18" fillId="0" borderId="11" xfId="0" applyNumberFormat="1" applyFont="1" applyBorder="1"/>
    <xf numFmtId="164" fontId="18" fillId="0" borderId="11" xfId="1" applyNumberFormat="1" applyFont="1" applyBorder="1"/>
    <xf numFmtId="1" fontId="18" fillId="0" borderId="11" xfId="1" applyNumberFormat="1" applyFont="1" applyBorder="1"/>
    <xf numFmtId="0" fontId="19" fillId="0" borderId="0" xfId="0" applyFont="1" applyFill="1" applyBorder="1" applyAlignment="1">
      <alignment horizontal="right"/>
    </xf>
    <xf numFmtId="0" fontId="18" fillId="0" borderId="0" xfId="0" applyFont="1"/>
    <xf numFmtId="0" fontId="20" fillId="0" borderId="12" xfId="0" applyFont="1" applyFill="1" applyBorder="1"/>
    <xf numFmtId="0" fontId="21" fillId="0" borderId="0" xfId="0" applyFont="1" applyFill="1" applyBorder="1"/>
    <xf numFmtId="0" fontId="18" fillId="0" borderId="0" xfId="0" applyNumberFormat="1" applyFont="1" applyFill="1" applyBorder="1"/>
    <xf numFmtId="164" fontId="18" fillId="0" borderId="0" xfId="1" applyNumberFormat="1" applyFont="1" applyFill="1" applyBorder="1"/>
    <xf numFmtId="1" fontId="18" fillId="0" borderId="0" xfId="1" applyNumberFormat="1" applyFont="1" applyFill="1" applyBorder="1"/>
    <xf numFmtId="164" fontId="19" fillId="0" borderId="0" xfId="1" applyNumberFormat="1" applyFont="1" applyFill="1" applyBorder="1" applyAlignment="1">
      <alignment horizontal="right"/>
    </xf>
    <xf numFmtId="0" fontId="18" fillId="0" borderId="12" xfId="0" applyFont="1" applyFill="1" applyBorder="1"/>
    <xf numFmtId="0" fontId="18" fillId="0" borderId="0" xfId="0" applyFont="1" applyFill="1" applyBorder="1"/>
    <xf numFmtId="164" fontId="18" fillId="0" borderId="13" xfId="1" applyNumberFormat="1" applyFont="1" applyFill="1" applyBorder="1"/>
    <xf numFmtId="164" fontId="22" fillId="0" borderId="19" xfId="1" applyNumberFormat="1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1" fontId="22" fillId="0" borderId="22" xfId="1" applyNumberFormat="1" applyFont="1" applyFill="1" applyBorder="1" applyAlignment="1">
      <alignment horizontal="center"/>
    </xf>
    <xf numFmtId="1" fontId="22" fillId="0" borderId="23" xfId="1" applyNumberFormat="1" applyFont="1" applyFill="1" applyBorder="1" applyAlignment="1">
      <alignment horizontal="center"/>
    </xf>
    <xf numFmtId="164" fontId="22" fillId="0" borderId="22" xfId="1" applyNumberFormat="1" applyFont="1" applyFill="1" applyBorder="1" applyAlignment="1">
      <alignment horizontal="center"/>
    </xf>
    <xf numFmtId="0" fontId="22" fillId="0" borderId="13" xfId="0" applyFont="1" applyFill="1" applyBorder="1" applyAlignment="1">
      <alignment horizontal="center"/>
    </xf>
    <xf numFmtId="1" fontId="22" fillId="0" borderId="22" xfId="1" applyNumberFormat="1" applyFont="1" applyFill="1" applyBorder="1" applyAlignment="1">
      <alignment horizontal="center" wrapText="1"/>
    </xf>
    <xf numFmtId="164" fontId="22" fillId="0" borderId="23" xfId="1" applyNumberFormat="1" applyFont="1" applyFill="1" applyBorder="1" applyAlignment="1">
      <alignment horizontal="center"/>
    </xf>
    <xf numFmtId="0" fontId="24" fillId="0" borderId="25" xfId="0" applyFont="1" applyBorder="1"/>
    <xf numFmtId="0" fontId="22" fillId="0" borderId="26" xfId="0" applyFont="1" applyFill="1" applyBorder="1" applyAlignment="1">
      <alignment horizontal="center"/>
    </xf>
    <xf numFmtId="0" fontId="24" fillId="0" borderId="26" xfId="2" applyNumberFormat="1" applyFont="1" applyFill="1" applyBorder="1" applyAlignment="1">
      <alignment horizontal="center"/>
    </xf>
    <xf numFmtId="164" fontId="24" fillId="0" borderId="26" xfId="1" applyNumberFormat="1" applyFont="1" applyFill="1" applyBorder="1" applyAlignment="1">
      <alignment horizontal="center"/>
    </xf>
    <xf numFmtId="1" fontId="24" fillId="0" borderId="26" xfId="1" applyNumberFormat="1" applyFont="1" applyFill="1" applyBorder="1" applyAlignment="1">
      <alignment horizontal="center"/>
    </xf>
    <xf numFmtId="164" fontId="24" fillId="0" borderId="27" xfId="1" applyNumberFormat="1" applyFont="1" applyFill="1" applyBorder="1" applyAlignment="1">
      <alignment horizontal="center"/>
    </xf>
    <xf numFmtId="3" fontId="24" fillId="0" borderId="28" xfId="0" applyNumberFormat="1" applyFont="1" applyFill="1" applyBorder="1"/>
    <xf numFmtId="3" fontId="24" fillId="0" borderId="29" xfId="0" applyNumberFormat="1" applyFont="1" applyFill="1" applyBorder="1"/>
    <xf numFmtId="3" fontId="24" fillId="0" borderId="12" xfId="0" applyNumberFormat="1" applyFont="1" applyFill="1" applyBorder="1"/>
    <xf numFmtId="3" fontId="25" fillId="0" borderId="0" xfId="1" applyNumberFormat="1" applyFont="1" applyBorder="1"/>
    <xf numFmtId="165" fontId="19" fillId="0" borderId="32" xfId="2" applyNumberFormat="1" applyFont="1" applyBorder="1" applyAlignment="1">
      <alignment horizontal="right"/>
    </xf>
    <xf numFmtId="164" fontId="26" fillId="0" borderId="33" xfId="1" applyNumberFormat="1" applyFont="1" applyBorder="1"/>
    <xf numFmtId="1" fontId="19" fillId="0" borderId="33" xfId="1" applyNumberFormat="1" applyFont="1" applyBorder="1"/>
    <xf numFmtId="164" fontId="19" fillId="0" borderId="33" xfId="1" applyNumberFormat="1" applyFont="1" applyBorder="1" applyAlignment="1">
      <alignment horizontal="right"/>
    </xf>
    <xf numFmtId="164" fontId="19" fillId="0" borderId="31" xfId="1" applyNumberFormat="1" applyFont="1" applyBorder="1"/>
    <xf numFmtId="0" fontId="22" fillId="0" borderId="26" xfId="0" applyFont="1" applyFill="1" applyBorder="1" applyAlignment="1">
      <alignment horizontal="center"/>
    </xf>
    <xf numFmtId="0" fontId="24" fillId="0" borderId="26" xfId="2" applyNumberFormat="1" applyFont="1" applyBorder="1"/>
    <xf numFmtId="164" fontId="25" fillId="0" borderId="26" xfId="1" applyNumberFormat="1" applyFont="1" applyBorder="1"/>
    <xf numFmtId="1" fontId="24" fillId="0" borderId="26" xfId="1" applyNumberFormat="1" applyFont="1" applyBorder="1"/>
    <xf numFmtId="164" fontId="24" fillId="0" borderId="26" xfId="1" applyNumberFormat="1" applyFont="1" applyBorder="1"/>
    <xf numFmtId="164" fontId="24" fillId="0" borderId="27" xfId="1" applyNumberFormat="1" applyFont="1" applyBorder="1"/>
    <xf numFmtId="0" fontId="24" fillId="0" borderId="28" xfId="0" applyFont="1" applyFill="1" applyBorder="1"/>
    <xf numFmtId="0" fontId="24" fillId="0" borderId="0" xfId="2" applyNumberFormat="1" applyFont="1" applyBorder="1"/>
    <xf numFmtId="165" fontId="19" fillId="0" borderId="30" xfId="2" applyNumberFormat="1" applyFont="1" applyBorder="1" applyAlignment="1">
      <alignment horizontal="right"/>
    </xf>
    <xf numFmtId="0" fontId="24" fillId="0" borderId="26" xfId="0" applyFont="1" applyBorder="1"/>
    <xf numFmtId="0" fontId="19" fillId="0" borderId="34" xfId="0" applyFont="1" applyFill="1" applyBorder="1" applyAlignment="1">
      <alignment horizontal="center"/>
    </xf>
    <xf numFmtId="0" fontId="19" fillId="0" borderId="34" xfId="2" applyNumberFormat="1" applyFont="1" applyBorder="1" applyAlignment="1">
      <alignment horizontal="right"/>
    </xf>
    <xf numFmtId="164" fontId="19" fillId="0" borderId="36" xfId="1" applyNumberFormat="1" applyFont="1" applyBorder="1"/>
    <xf numFmtId="1" fontId="19" fillId="0" borderId="36" xfId="1" applyNumberFormat="1" applyFont="1" applyBorder="1"/>
    <xf numFmtId="164" fontId="19" fillId="0" borderId="36" xfId="1" applyNumberFormat="1" applyFont="1" applyBorder="1" applyAlignment="1">
      <alignment horizontal="right"/>
    </xf>
    <xf numFmtId="164" fontId="19" fillId="0" borderId="35" xfId="1" applyNumberFormat="1" applyFont="1" applyBorder="1"/>
    <xf numFmtId="0" fontId="18" fillId="0" borderId="11" xfId="0" applyFont="1" applyFill="1" applyBorder="1"/>
    <xf numFmtId="0" fontId="18" fillId="0" borderId="0" xfId="2" applyNumberFormat="1" applyFont="1" applyBorder="1"/>
    <xf numFmtId="164" fontId="18" fillId="0" borderId="0" xfId="1" applyNumberFormat="1" applyFont="1" applyBorder="1"/>
    <xf numFmtId="1" fontId="18" fillId="0" borderId="0" xfId="1" applyNumberFormat="1" applyFont="1" applyBorder="1"/>
    <xf numFmtId="164" fontId="18" fillId="0" borderId="21" xfId="1" applyNumberFormat="1" applyFont="1" applyBorder="1"/>
    <xf numFmtId="165" fontId="27" fillId="0" borderId="18" xfId="2" applyNumberFormat="1" applyFont="1" applyBorder="1" applyAlignment="1">
      <alignment horizontal="right"/>
    </xf>
    <xf numFmtId="164" fontId="27" fillId="0" borderId="18" xfId="1" applyNumberFormat="1" applyFont="1" applyBorder="1"/>
    <xf numFmtId="1" fontId="27" fillId="0" borderId="18" xfId="1" applyNumberFormat="1" applyFont="1" applyBorder="1"/>
    <xf numFmtId="1" fontId="27" fillId="0" borderId="18" xfId="1" applyNumberFormat="1" applyFont="1" applyBorder="1" applyAlignment="1">
      <alignment horizontal="right"/>
    </xf>
    <xf numFmtId="164" fontId="27" fillId="0" borderId="19" xfId="1" applyNumberFormat="1" applyFont="1" applyBorder="1"/>
    <xf numFmtId="0" fontId="18" fillId="0" borderId="0" xfId="0" applyNumberFormat="1" applyFont="1"/>
    <xf numFmtId="164" fontId="18" fillId="0" borderId="0" xfId="1" applyNumberFormat="1" applyFont="1"/>
    <xf numFmtId="1" fontId="18" fillId="0" borderId="0" xfId="1" applyNumberFormat="1" applyFont="1"/>
    <xf numFmtId="164" fontId="18" fillId="0" borderId="0" xfId="1" applyNumberFormat="1" applyFont="1" applyFill="1"/>
    <xf numFmtId="1" fontId="19" fillId="0" borderId="13" xfId="1" applyNumberFormat="1" applyFont="1" applyBorder="1"/>
    <xf numFmtId="164" fontId="19" fillId="0" borderId="13" xfId="1" applyNumberFormat="1" applyFont="1" applyBorder="1" applyAlignment="1">
      <alignment horizontal="right"/>
    </xf>
    <xf numFmtId="164" fontId="19" fillId="0" borderId="22" xfId="1" applyNumberFormat="1" applyFont="1" applyBorder="1"/>
    <xf numFmtId="3" fontId="25" fillId="0" borderId="12" xfId="1" applyNumberFormat="1" applyFont="1" applyBorder="1"/>
    <xf numFmtId="3" fontId="25" fillId="0" borderId="21" xfId="1" applyNumberFormat="1" applyFont="1" applyBorder="1"/>
    <xf numFmtId="3" fontId="25" fillId="0" borderId="29" xfId="1" applyNumberFormat="1" applyFont="1" applyBorder="1"/>
    <xf numFmtId="3" fontId="25" fillId="0" borderId="39" xfId="1" applyNumberFormat="1" applyFont="1" applyBorder="1"/>
    <xf numFmtId="3" fontId="25" fillId="0" borderId="40" xfId="1" applyNumberFormat="1" applyFont="1" applyBorder="1"/>
    <xf numFmtId="0" fontId="24" fillId="0" borderId="10" xfId="0" applyFont="1" applyBorder="1"/>
    <xf numFmtId="0" fontId="24" fillId="0" borderId="11" xfId="0" applyFont="1" applyBorder="1"/>
    <xf numFmtId="2" fontId="24" fillId="0" borderId="11" xfId="0" applyNumberFormat="1" applyFont="1" applyBorder="1"/>
    <xf numFmtId="0" fontId="30" fillId="0" borderId="0" xfId="0" applyFont="1"/>
    <xf numFmtId="0" fontId="31" fillId="0" borderId="0" xfId="0" applyFont="1" applyFill="1"/>
    <xf numFmtId="0" fontId="24" fillId="0" borderId="0" xfId="0" applyFont="1" applyFill="1" applyBorder="1"/>
    <xf numFmtId="2" fontId="24" fillId="0" borderId="0" xfId="0" applyNumberFormat="1" applyFont="1" applyFill="1" applyBorder="1"/>
    <xf numFmtId="0" fontId="24" fillId="0" borderId="12" xfId="0" applyFont="1" applyFill="1" applyBorder="1"/>
    <xf numFmtId="166" fontId="24" fillId="0" borderId="0" xfId="3" applyNumberFormat="1" applyFont="1" applyFill="1" applyBorder="1"/>
    <xf numFmtId="0" fontId="22" fillId="0" borderId="41" xfId="0" applyFont="1" applyFill="1" applyBorder="1"/>
    <xf numFmtId="2" fontId="22" fillId="0" borderId="15" xfId="0" applyNumberFormat="1" applyFont="1" applyFill="1" applyBorder="1" applyAlignment="1">
      <alignment horizontal="center"/>
    </xf>
    <xf numFmtId="166" fontId="22" fillId="0" borderId="16" xfId="3" applyNumberFormat="1" applyFont="1" applyFill="1" applyBorder="1" applyAlignment="1">
      <alignment horizontal="center"/>
    </xf>
    <xf numFmtId="0" fontId="22" fillId="0" borderId="42" xfId="0" applyFont="1" applyFill="1" applyBorder="1"/>
    <xf numFmtId="2" fontId="22" fillId="0" borderId="21" xfId="0" applyNumberFormat="1" applyFont="1" applyFill="1" applyBorder="1" applyAlignment="1">
      <alignment horizontal="center"/>
    </xf>
    <xf numFmtId="1" fontId="22" fillId="0" borderId="21" xfId="0" applyNumberFormat="1" applyFont="1" applyFill="1" applyBorder="1" applyAlignment="1">
      <alignment horizontal="center"/>
    </xf>
    <xf numFmtId="166" fontId="22" fillId="0" borderId="20" xfId="3" applyNumberFormat="1" applyFont="1" applyFill="1" applyBorder="1" applyAlignment="1">
      <alignment horizontal="center"/>
    </xf>
    <xf numFmtId="0" fontId="22" fillId="0" borderId="43" xfId="0" applyFont="1" applyFill="1" applyBorder="1"/>
    <xf numFmtId="2" fontId="22" fillId="0" borderId="22" xfId="0" applyNumberFormat="1" applyFont="1" applyFill="1" applyBorder="1" applyAlignment="1">
      <alignment horizontal="center"/>
    </xf>
    <xf numFmtId="166" fontId="22" fillId="0" borderId="24" xfId="3" applyNumberFormat="1" applyFont="1" applyFill="1" applyBorder="1" applyAlignment="1">
      <alignment horizontal="center"/>
    </xf>
    <xf numFmtId="2" fontId="24" fillId="0" borderId="26" xfId="2" applyNumberFormat="1" applyFont="1" applyFill="1" applyBorder="1" applyAlignment="1">
      <alignment horizontal="center"/>
    </xf>
    <xf numFmtId="2" fontId="24" fillId="0" borderId="26" xfId="3" applyNumberFormat="1" applyFont="1" applyFill="1" applyBorder="1" applyAlignment="1">
      <alignment horizontal="center"/>
    </xf>
    <xf numFmtId="166" fontId="24" fillId="0" borderId="27" xfId="3" applyNumberFormat="1" applyFont="1" applyFill="1" applyBorder="1" applyAlignment="1">
      <alignment horizontal="center"/>
    </xf>
    <xf numFmtId="2" fontId="24" fillId="0" borderId="0" xfId="2" applyNumberFormat="1" applyFont="1" applyBorder="1"/>
    <xf numFmtId="1" fontId="24" fillId="0" borderId="0" xfId="2" applyNumberFormat="1" applyFont="1" applyBorder="1"/>
    <xf numFmtId="2" fontId="19" fillId="0" borderId="33" xfId="2" applyNumberFormat="1" applyFont="1" applyBorder="1"/>
    <xf numFmtId="2" fontId="24" fillId="0" borderId="13" xfId="2" applyNumberFormat="1" applyFont="1" applyBorder="1"/>
    <xf numFmtId="2" fontId="24" fillId="0" borderId="13" xfId="3" applyNumberFormat="1" applyFont="1" applyBorder="1"/>
    <xf numFmtId="166" fontId="24" fillId="0" borderId="22" xfId="3" applyNumberFormat="1" applyFont="1" applyBorder="1"/>
    <xf numFmtId="2" fontId="24" fillId="0" borderId="0" xfId="3" applyNumberFormat="1" applyFont="1" applyBorder="1"/>
    <xf numFmtId="2" fontId="19" fillId="0" borderId="30" xfId="2" applyNumberFormat="1" applyFont="1" applyBorder="1"/>
    <xf numFmtId="9" fontId="19" fillId="0" borderId="31" xfId="3" applyNumberFormat="1" applyFont="1" applyBorder="1"/>
    <xf numFmtId="9" fontId="19" fillId="0" borderId="31" xfId="3" applyFont="1" applyBorder="1"/>
    <xf numFmtId="0" fontId="24" fillId="0" borderId="11" xfId="0" applyFont="1" applyFill="1" applyBorder="1"/>
    <xf numFmtId="166" fontId="24" fillId="0" borderId="21" xfId="3" applyNumberFormat="1" applyFont="1" applyBorder="1"/>
    <xf numFmtId="2" fontId="27" fillId="0" borderId="18" xfId="2" applyNumberFormat="1" applyFont="1" applyBorder="1"/>
    <xf numFmtId="0" fontId="24" fillId="0" borderId="0" xfId="0" applyFont="1"/>
    <xf numFmtId="2" fontId="24" fillId="0" borderId="0" xfId="0" applyNumberFormat="1" applyFont="1"/>
    <xf numFmtId="166" fontId="24" fillId="0" borderId="0" xfId="3" applyNumberFormat="1" applyFont="1" applyFill="1"/>
    <xf numFmtId="2" fontId="30" fillId="0" borderId="0" xfId="0" applyNumberFormat="1" applyFont="1"/>
    <xf numFmtId="166" fontId="30" fillId="0" borderId="0" xfId="3" applyNumberFormat="1" applyFont="1"/>
    <xf numFmtId="2" fontId="19" fillId="0" borderId="13" xfId="2" applyNumberFormat="1" applyFont="1" applyBorder="1"/>
    <xf numFmtId="9" fontId="25" fillId="0" borderId="21" xfId="3" applyFont="1" applyBorder="1"/>
    <xf numFmtId="9" fontId="25" fillId="0" borderId="40" xfId="3" applyFont="1" applyBorder="1"/>
    <xf numFmtId="4" fontId="25" fillId="0" borderId="0" xfId="1" applyNumberFormat="1" applyFont="1" applyBorder="1"/>
    <xf numFmtId="0" fontId="21" fillId="0" borderId="10" xfId="0" applyFont="1" applyBorder="1"/>
    <xf numFmtId="0" fontId="21" fillId="0" borderId="11" xfId="0" applyFont="1" applyBorder="1"/>
    <xf numFmtId="167" fontId="21" fillId="0" borderId="11" xfId="2" applyNumberFormat="1" applyFont="1" applyBorder="1"/>
    <xf numFmtId="4" fontId="21" fillId="0" borderId="11" xfId="0" applyNumberFormat="1" applyFont="1" applyBorder="1"/>
    <xf numFmtId="167" fontId="21" fillId="0" borderId="0" xfId="2" applyNumberFormat="1" applyFont="1" applyFill="1" applyBorder="1"/>
    <xf numFmtId="4" fontId="21" fillId="0" borderId="0" xfId="0" applyNumberFormat="1" applyFont="1" applyFill="1" applyBorder="1"/>
    <xf numFmtId="1" fontId="21" fillId="0" borderId="0" xfId="0" applyNumberFormat="1" applyFont="1" applyFill="1" applyBorder="1"/>
    <xf numFmtId="0" fontId="21" fillId="0" borderId="12" xfId="0" applyFont="1" applyFill="1" applyBorder="1"/>
    <xf numFmtId="167" fontId="22" fillId="0" borderId="16" xfId="2" applyNumberFormat="1" applyFont="1" applyFill="1" applyBorder="1" applyAlignment="1">
      <alignment horizontal="center"/>
    </xf>
    <xf numFmtId="0" fontId="32" fillId="0" borderId="0" xfId="0" applyFont="1"/>
    <xf numFmtId="167" fontId="22" fillId="0" borderId="44" xfId="2" applyNumberFormat="1" applyFont="1" applyFill="1" applyBorder="1"/>
    <xf numFmtId="0" fontId="22" fillId="0" borderId="38" xfId="0" applyFont="1" applyFill="1" applyBorder="1" applyAlignment="1">
      <alignment horizontal="center"/>
    </xf>
    <xf numFmtId="1" fontId="22" fillId="0" borderId="44" xfId="1" applyNumberFormat="1" applyFont="1" applyFill="1" applyBorder="1" applyAlignment="1">
      <alignment horizontal="center"/>
    </xf>
    <xf numFmtId="167" fontId="22" fillId="0" borderId="20" xfId="2" applyNumberFormat="1" applyFont="1" applyFill="1" applyBorder="1" applyAlignment="1">
      <alignment horizontal="center"/>
    </xf>
    <xf numFmtId="167" fontId="22" fillId="0" borderId="22" xfId="2" applyNumberFormat="1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167" fontId="24" fillId="0" borderId="26" xfId="2" applyNumberFormat="1" applyFont="1" applyFill="1" applyBorder="1" applyAlignment="1">
      <alignment horizontal="center"/>
    </xf>
    <xf numFmtId="44" fontId="24" fillId="0" borderId="26" xfId="2" applyFont="1" applyFill="1" applyBorder="1" applyAlignment="1">
      <alignment horizontal="center"/>
    </xf>
    <xf numFmtId="1" fontId="24" fillId="0" borderId="26" xfId="2" applyNumberFormat="1" applyFont="1" applyFill="1" applyBorder="1" applyAlignment="1">
      <alignment horizontal="center"/>
    </xf>
    <xf numFmtId="167" fontId="24" fillId="0" borderId="27" xfId="2" applyNumberFormat="1" applyFont="1" applyFill="1" applyBorder="1" applyAlignment="1">
      <alignment horizontal="center"/>
    </xf>
    <xf numFmtId="44" fontId="24" fillId="0" borderId="0" xfId="2" applyNumberFormat="1" applyFont="1" applyBorder="1"/>
    <xf numFmtId="44" fontId="24" fillId="0" borderId="21" xfId="2" applyNumberFormat="1" applyFont="1" applyBorder="1"/>
    <xf numFmtId="44" fontId="19" fillId="0" borderId="33" xfId="2" applyFont="1" applyBorder="1"/>
    <xf numFmtId="44" fontId="19" fillId="0" borderId="33" xfId="2" applyNumberFormat="1" applyFont="1" applyBorder="1"/>
    <xf numFmtId="44" fontId="19" fillId="0" borderId="31" xfId="2" applyNumberFormat="1" applyFont="1" applyBorder="1"/>
    <xf numFmtId="167" fontId="24" fillId="0" borderId="26" xfId="2" applyNumberFormat="1" applyFont="1" applyBorder="1"/>
    <xf numFmtId="44" fontId="24" fillId="0" borderId="26" xfId="2" applyFont="1" applyBorder="1"/>
    <xf numFmtId="1" fontId="24" fillId="0" borderId="26" xfId="2" applyNumberFormat="1" applyFont="1" applyBorder="1"/>
    <xf numFmtId="167" fontId="19" fillId="0" borderId="30" xfId="2" applyNumberFormat="1" applyFont="1" applyBorder="1"/>
    <xf numFmtId="167" fontId="19" fillId="0" borderId="34" xfId="2" applyNumberFormat="1" applyFont="1" applyBorder="1"/>
    <xf numFmtId="44" fontId="19" fillId="0" borderId="36" xfId="2" applyFont="1" applyBorder="1"/>
    <xf numFmtId="167" fontId="18" fillId="0" borderId="0" xfId="2" applyNumberFormat="1" applyFont="1" applyBorder="1"/>
    <xf numFmtId="44" fontId="18" fillId="0" borderId="0" xfId="2" applyFont="1" applyBorder="1"/>
    <xf numFmtId="167" fontId="19" fillId="0" borderId="18" xfId="2" applyNumberFormat="1" applyFont="1" applyBorder="1"/>
    <xf numFmtId="167" fontId="0" fillId="0" borderId="0" xfId="2" applyNumberFormat="1" applyFont="1"/>
    <xf numFmtId="1" fontId="0" fillId="0" borderId="0" xfId="0" applyNumberFormat="1"/>
    <xf numFmtId="0" fontId="19" fillId="0" borderId="33" xfId="0" applyFont="1" applyFill="1" applyBorder="1" applyAlignment="1">
      <alignment horizontal="center"/>
    </xf>
    <xf numFmtId="0" fontId="19" fillId="0" borderId="36" xfId="0" applyFont="1" applyFill="1" applyBorder="1" applyAlignment="1">
      <alignment horizontal="center"/>
    </xf>
    <xf numFmtId="0" fontId="27" fillId="0" borderId="18" xfId="0" applyFont="1" applyFill="1" applyBorder="1" applyAlignment="1">
      <alignment horizontal="center"/>
    </xf>
    <xf numFmtId="44" fontId="24" fillId="0" borderId="40" xfId="2" applyNumberFormat="1" applyFont="1" applyBorder="1"/>
    <xf numFmtId="44" fontId="24" fillId="0" borderId="12" xfId="2" applyNumberFormat="1" applyFont="1" applyBorder="1"/>
    <xf numFmtId="44" fontId="24" fillId="0" borderId="29" xfId="2" applyNumberFormat="1" applyFont="1" applyBorder="1"/>
    <xf numFmtId="167" fontId="24" fillId="0" borderId="25" xfId="2" applyNumberFormat="1" applyFont="1" applyFill="1" applyBorder="1" applyAlignment="1">
      <alignment horizontal="center"/>
    </xf>
    <xf numFmtId="44" fontId="19" fillId="0" borderId="13" xfId="2" applyFont="1" applyBorder="1"/>
    <xf numFmtId="0" fontId="20" fillId="0" borderId="0" xfId="0" applyFont="1" applyFill="1"/>
    <xf numFmtId="3" fontId="22" fillId="0" borderId="46" xfId="0" applyNumberFormat="1" applyFont="1" applyFill="1" applyBorder="1"/>
    <xf numFmtId="3" fontId="22" fillId="0" borderId="14" xfId="0" applyNumberFormat="1" applyFont="1" applyFill="1" applyBorder="1"/>
    <xf numFmtId="3" fontId="22" fillId="0" borderId="15" xfId="0" applyNumberFormat="1" applyFont="1" applyFill="1" applyBorder="1"/>
    <xf numFmtId="3" fontId="22" fillId="0" borderId="16" xfId="0" applyNumberFormat="1" applyFont="1" applyFill="1" applyBorder="1"/>
    <xf numFmtId="3" fontId="22" fillId="0" borderId="15" xfId="0" applyNumberFormat="1" applyFont="1" applyFill="1" applyBorder="1" applyAlignment="1">
      <alignment horizontal="center"/>
    </xf>
    <xf numFmtId="3" fontId="22" fillId="0" borderId="12" xfId="0" applyNumberFormat="1" applyFont="1" applyFill="1" applyBorder="1" applyAlignment="1">
      <alignment horizontal="centerContinuous"/>
    </xf>
    <xf numFmtId="3" fontId="22" fillId="0" borderId="0" xfId="0" applyNumberFormat="1" applyFont="1" applyFill="1" applyBorder="1" applyAlignment="1">
      <alignment horizontal="centerContinuous"/>
    </xf>
    <xf numFmtId="3" fontId="22" fillId="0" borderId="21" xfId="0" applyNumberFormat="1" applyFont="1" applyFill="1" applyBorder="1" applyAlignment="1">
      <alignment horizontal="centerContinuous"/>
    </xf>
    <xf numFmtId="3" fontId="22" fillId="0" borderId="20" xfId="0" applyNumberFormat="1" applyFont="1" applyFill="1" applyBorder="1" applyAlignment="1">
      <alignment horizontal="center"/>
    </xf>
    <xf numFmtId="3" fontId="22" fillId="0" borderId="21" xfId="0" applyNumberFormat="1" applyFont="1" applyFill="1" applyBorder="1" applyAlignment="1">
      <alignment horizontal="center"/>
    </xf>
    <xf numFmtId="0" fontId="22" fillId="0" borderId="47" xfId="0" applyFont="1" applyFill="1" applyBorder="1"/>
    <xf numFmtId="0" fontId="22" fillId="0" borderId="11" xfId="0" applyFont="1" applyFill="1" applyBorder="1"/>
    <xf numFmtId="3" fontId="22" fillId="0" borderId="10" xfId="0" applyNumberFormat="1" applyFont="1" applyFill="1" applyBorder="1" applyAlignment="1">
      <alignment horizontal="center"/>
    </xf>
    <xf numFmtId="3" fontId="22" fillId="0" borderId="44" xfId="0" applyNumberFormat="1" applyFont="1" applyFill="1" applyBorder="1" applyAlignment="1">
      <alignment horizontal="center"/>
    </xf>
    <xf numFmtId="3" fontId="22" fillId="0" borderId="11" xfId="0" applyNumberFormat="1" applyFont="1" applyFill="1" applyBorder="1" applyAlignment="1">
      <alignment horizontal="center"/>
    </xf>
    <xf numFmtId="3" fontId="22" fillId="0" borderId="20" xfId="0" applyNumberFormat="1" applyFont="1" applyFill="1" applyBorder="1" applyAlignment="1">
      <alignment horizontal="center" wrapText="1"/>
    </xf>
    <xf numFmtId="3" fontId="22" fillId="0" borderId="21" xfId="0" applyNumberFormat="1" applyFont="1" applyFill="1" applyBorder="1" applyAlignment="1">
      <alignment horizontal="center" wrapText="1"/>
    </xf>
    <xf numFmtId="166" fontId="24" fillId="0" borderId="26" xfId="3" applyNumberFormat="1" applyFont="1" applyFill="1" applyBorder="1" applyAlignment="1">
      <alignment horizontal="center"/>
    </xf>
    <xf numFmtId="0" fontId="30" fillId="0" borderId="26" xfId="0" applyFont="1" applyBorder="1"/>
    <xf numFmtId="0" fontId="30" fillId="0" borderId="27" xfId="0" applyFont="1" applyBorder="1"/>
    <xf numFmtId="168" fontId="24" fillId="0" borderId="0" xfId="2" applyNumberFormat="1" applyFont="1" applyBorder="1"/>
    <xf numFmtId="168" fontId="24" fillId="0" borderId="15" xfId="2" applyNumberFormat="1" applyFont="1" applyBorder="1"/>
    <xf numFmtId="168" fontId="24" fillId="0" borderId="21" xfId="2" applyNumberFormat="1" applyFont="1" applyBorder="1"/>
    <xf numFmtId="0" fontId="19" fillId="0" borderId="33" xfId="0" applyFont="1" applyFill="1" applyBorder="1" applyAlignment="1">
      <alignment horizontal="center"/>
    </xf>
    <xf numFmtId="168" fontId="19" fillId="0" borderId="30" xfId="2" applyNumberFormat="1" applyFont="1" applyBorder="1"/>
    <xf numFmtId="168" fontId="19" fillId="0" borderId="33" xfId="2" applyNumberFormat="1" applyFont="1" applyBorder="1"/>
    <xf numFmtId="168" fontId="19" fillId="0" borderId="31" xfId="2" applyNumberFormat="1" applyFont="1" applyBorder="1"/>
    <xf numFmtId="44" fontId="24" fillId="0" borderId="13" xfId="2" applyFont="1" applyBorder="1"/>
    <xf numFmtId="166" fontId="24" fillId="0" borderId="13" xfId="3" applyNumberFormat="1" applyFont="1" applyBorder="1"/>
    <xf numFmtId="0" fontId="24" fillId="0" borderId="13" xfId="0" applyFont="1" applyBorder="1"/>
    <xf numFmtId="0" fontId="24" fillId="0" borderId="22" xfId="0" applyFont="1" applyBorder="1"/>
    <xf numFmtId="0" fontId="24" fillId="0" borderId="37" xfId="0" applyFont="1" applyFill="1" applyBorder="1"/>
    <xf numFmtId="168" fontId="19" fillId="0" borderId="34" xfId="2" applyNumberFormat="1" applyFont="1" applyBorder="1"/>
    <xf numFmtId="168" fontId="19" fillId="0" borderId="36" xfId="2" applyNumberFormat="1" applyFont="1" applyBorder="1"/>
    <xf numFmtId="168" fontId="19" fillId="0" borderId="35" xfId="2" applyNumberFormat="1" applyFont="1" applyBorder="1"/>
    <xf numFmtId="168" fontId="19" fillId="0" borderId="17" xfId="2" applyNumberFormat="1" applyFont="1" applyBorder="1"/>
    <xf numFmtId="168" fontId="19" fillId="0" borderId="18" xfId="2" applyNumberFormat="1" applyFont="1" applyBorder="1"/>
    <xf numFmtId="168" fontId="19" fillId="0" borderId="19" xfId="2" applyNumberFormat="1" applyFont="1" applyBorder="1"/>
    <xf numFmtId="0" fontId="22" fillId="0" borderId="0" xfId="0" applyFont="1" applyFill="1" applyBorder="1"/>
    <xf numFmtId="44" fontId="24" fillId="0" borderId="0" xfId="2" applyFont="1" applyBorder="1"/>
    <xf numFmtId="166" fontId="24" fillId="0" borderId="0" xfId="3" applyNumberFormat="1" applyFont="1" applyBorder="1"/>
    <xf numFmtId="166" fontId="21" fillId="0" borderId="13" xfId="3" applyNumberFormat="1" applyFont="1" applyFill="1" applyBorder="1"/>
    <xf numFmtId="0" fontId="22" fillId="0" borderId="46" xfId="0" applyFont="1" applyFill="1" applyBorder="1"/>
    <xf numFmtId="44" fontId="22" fillId="0" borderId="16" xfId="2" applyFont="1" applyFill="1" applyBorder="1" applyAlignment="1">
      <alignment horizontal="center"/>
    </xf>
    <xf numFmtId="44" fontId="22" fillId="0" borderId="14" xfId="2" applyFont="1" applyFill="1" applyBorder="1"/>
    <xf numFmtId="166" fontId="22" fillId="0" borderId="14" xfId="3" applyNumberFormat="1" applyFont="1" applyFill="1" applyBorder="1"/>
    <xf numFmtId="166" fontId="22" fillId="0" borderId="15" xfId="3" applyNumberFormat="1" applyFont="1" applyFill="1" applyBorder="1"/>
    <xf numFmtId="0" fontId="33" fillId="0" borderId="0" xfId="0" applyFont="1"/>
    <xf numFmtId="0" fontId="22" fillId="0" borderId="12" xfId="0" applyFont="1" applyFill="1" applyBorder="1"/>
    <xf numFmtId="44" fontId="22" fillId="0" borderId="20" xfId="2" applyFont="1" applyFill="1" applyBorder="1" applyAlignment="1">
      <alignment horizontal="center"/>
    </xf>
    <xf numFmtId="44" fontId="22" fillId="0" borderId="0" xfId="2" applyFont="1" applyFill="1" applyBorder="1" applyAlignment="1">
      <alignment horizontal="center"/>
    </xf>
    <xf numFmtId="166" fontId="22" fillId="0" borderId="39" xfId="3" applyNumberFormat="1" applyFont="1" applyFill="1" applyBorder="1" applyAlignment="1">
      <alignment horizontal="centerContinuous"/>
    </xf>
    <xf numFmtId="166" fontId="22" fillId="0" borderId="0" xfId="3" applyNumberFormat="1" applyFont="1" applyFill="1" applyBorder="1" applyAlignment="1">
      <alignment horizontal="centerContinuous"/>
    </xf>
    <xf numFmtId="166" fontId="22" fillId="0" borderId="40" xfId="3" applyNumberFormat="1" applyFont="1" applyFill="1" applyBorder="1" applyAlignment="1">
      <alignment horizontal="centerContinuous"/>
    </xf>
    <xf numFmtId="44" fontId="22" fillId="0" borderId="22" xfId="2" applyFont="1" applyFill="1" applyBorder="1" applyAlignment="1">
      <alignment horizontal="center"/>
    </xf>
    <xf numFmtId="166" fontId="22" fillId="0" borderId="22" xfId="3" applyNumberFormat="1" applyFont="1" applyFill="1" applyBorder="1" applyAlignment="1">
      <alignment horizontal="center"/>
    </xf>
    <xf numFmtId="166" fontId="22" fillId="0" borderId="23" xfId="3" applyNumberFormat="1" applyFont="1" applyFill="1" applyBorder="1" applyAlignment="1">
      <alignment horizontal="center"/>
    </xf>
    <xf numFmtId="166" fontId="19" fillId="0" borderId="33" xfId="3" applyNumberFormat="1" applyFont="1" applyBorder="1"/>
    <xf numFmtId="166" fontId="19" fillId="0" borderId="31" xfId="3" applyNumberFormat="1" applyFont="1" applyBorder="1"/>
    <xf numFmtId="0" fontId="34" fillId="0" borderId="0" xfId="0" applyFont="1"/>
    <xf numFmtId="0" fontId="35" fillId="0" borderId="0" xfId="0" applyFont="1"/>
    <xf numFmtId="166" fontId="24" fillId="0" borderId="26" xfId="3" applyNumberFormat="1" applyFont="1" applyBorder="1"/>
    <xf numFmtId="166" fontId="24" fillId="0" borderId="27" xfId="3" applyNumberFormat="1" applyFont="1" applyBorder="1"/>
    <xf numFmtId="44" fontId="19" fillId="0" borderId="30" xfId="2" applyFont="1" applyBorder="1"/>
    <xf numFmtId="44" fontId="19" fillId="0" borderId="34" xfId="2" applyFont="1" applyBorder="1"/>
    <xf numFmtId="166" fontId="19" fillId="0" borderId="36" xfId="3" applyNumberFormat="1" applyFont="1" applyBorder="1"/>
    <xf numFmtId="166" fontId="19" fillId="0" borderId="35" xfId="3" applyNumberFormat="1" applyFont="1" applyBorder="1"/>
    <xf numFmtId="166" fontId="18" fillId="0" borderId="0" xfId="3" applyNumberFormat="1" applyFont="1" applyBorder="1"/>
    <xf numFmtId="166" fontId="18" fillId="0" borderId="21" xfId="3" applyNumberFormat="1" applyFont="1" applyBorder="1"/>
    <xf numFmtId="44" fontId="19" fillId="0" borderId="18" xfId="2" applyFont="1" applyBorder="1"/>
    <xf numFmtId="9" fontId="19" fillId="0" borderId="18" xfId="3" applyFont="1" applyBorder="1"/>
    <xf numFmtId="9" fontId="19" fillId="0" borderId="19" xfId="3" applyFont="1" applyBorder="1"/>
    <xf numFmtId="0" fontId="19" fillId="0" borderId="0" xfId="0" applyFont="1"/>
    <xf numFmtId="0" fontId="18" fillId="0" borderId="0" xfId="0" applyFont="1" applyFill="1"/>
    <xf numFmtId="44" fontId="18" fillId="0" borderId="0" xfId="2" applyFont="1"/>
    <xf numFmtId="166" fontId="18" fillId="0" borderId="0" xfId="3" applyNumberFormat="1" applyFont="1"/>
    <xf numFmtId="0" fontId="21" fillId="0" borderId="0" xfId="0" applyFont="1"/>
    <xf numFmtId="44" fontId="0" fillId="0" borderId="0" xfId="2" applyFont="1"/>
    <xf numFmtId="166" fontId="0" fillId="0" borderId="0" xfId="3" applyNumberFormat="1" applyFont="1"/>
    <xf numFmtId="3" fontId="24" fillId="0" borderId="11" xfId="0" applyNumberFormat="1" applyFont="1" applyBorder="1"/>
    <xf numFmtId="9" fontId="24" fillId="0" borderId="11" xfId="3" applyFont="1" applyBorder="1"/>
    <xf numFmtId="44" fontId="24" fillId="0" borderId="11" xfId="2" applyFont="1" applyBorder="1"/>
    <xf numFmtId="3" fontId="30" fillId="0" borderId="0" xfId="0" applyNumberFormat="1" applyFont="1"/>
    <xf numFmtId="44" fontId="30" fillId="0" borderId="0" xfId="2" applyFont="1"/>
    <xf numFmtId="167" fontId="30" fillId="0" borderId="0" xfId="2" applyNumberFormat="1" applyFont="1"/>
    <xf numFmtId="3" fontId="24" fillId="0" borderId="0" xfId="0" applyNumberFormat="1" applyFont="1" applyFill="1" applyBorder="1"/>
    <xf numFmtId="9" fontId="24" fillId="0" borderId="0" xfId="3" applyFont="1" applyFill="1" applyBorder="1"/>
    <xf numFmtId="44" fontId="24" fillId="0" borderId="0" xfId="2" applyFont="1" applyFill="1" applyBorder="1"/>
    <xf numFmtId="0" fontId="22" fillId="0" borderId="41" xfId="0" applyFont="1" applyFill="1" applyBorder="1" applyAlignment="1">
      <alignment horizontal="center"/>
    </xf>
    <xf numFmtId="3" fontId="22" fillId="0" borderId="16" xfId="0" applyNumberFormat="1" applyFont="1" applyFill="1" applyBorder="1" applyAlignment="1">
      <alignment horizontal="center"/>
    </xf>
    <xf numFmtId="9" fontId="22" fillId="0" borderId="15" xfId="3" applyFont="1" applyFill="1" applyBorder="1" applyAlignment="1">
      <alignment horizontal="center"/>
    </xf>
    <xf numFmtId="44" fontId="22" fillId="0" borderId="15" xfId="2" applyFont="1" applyFill="1" applyBorder="1" applyAlignment="1">
      <alignment horizontal="center"/>
    </xf>
    <xf numFmtId="166" fontId="22" fillId="0" borderId="15" xfId="3" applyNumberFormat="1" applyFont="1" applyFill="1" applyBorder="1" applyAlignment="1">
      <alignment horizontal="center" wrapText="1"/>
    </xf>
    <xf numFmtId="167" fontId="22" fillId="0" borderId="15" xfId="2" applyNumberFormat="1" applyFont="1" applyFill="1" applyBorder="1" applyAlignment="1">
      <alignment horizontal="center"/>
    </xf>
    <xf numFmtId="166" fontId="22" fillId="0" borderId="15" xfId="3" applyNumberFormat="1" applyFont="1" applyFill="1" applyBorder="1" applyAlignment="1">
      <alignment horizontal="center"/>
    </xf>
    <xf numFmtId="0" fontId="22" fillId="0" borderId="42" xfId="0" applyFont="1" applyFill="1" applyBorder="1" applyAlignment="1">
      <alignment horizontal="center"/>
    </xf>
    <xf numFmtId="9" fontId="22" fillId="0" borderId="21" xfId="3" applyFont="1" applyFill="1" applyBorder="1" applyAlignment="1">
      <alignment horizontal="center"/>
    </xf>
    <xf numFmtId="44" fontId="22" fillId="0" borderId="21" xfId="2" applyFont="1" applyFill="1" applyBorder="1" applyAlignment="1">
      <alignment horizontal="center"/>
    </xf>
    <xf numFmtId="166" fontId="22" fillId="0" borderId="21" xfId="3" applyNumberFormat="1" applyFont="1" applyFill="1" applyBorder="1" applyAlignment="1">
      <alignment horizontal="center"/>
    </xf>
    <xf numFmtId="167" fontId="22" fillId="0" borderId="21" xfId="2" applyNumberFormat="1" applyFont="1" applyFill="1" applyBorder="1" applyAlignment="1">
      <alignment horizontal="center"/>
    </xf>
    <xf numFmtId="0" fontId="22" fillId="0" borderId="43" xfId="0" applyFont="1" applyFill="1" applyBorder="1" applyAlignment="1">
      <alignment horizontal="center" wrapText="1"/>
    </xf>
    <xf numFmtId="3" fontId="22" fillId="0" borderId="24" xfId="0" applyNumberFormat="1" applyFont="1" applyFill="1" applyBorder="1" applyAlignment="1">
      <alignment horizontal="center" wrapText="1"/>
    </xf>
    <xf numFmtId="9" fontId="22" fillId="0" borderId="22" xfId="3" applyFont="1" applyFill="1" applyBorder="1" applyAlignment="1">
      <alignment horizontal="center" wrapText="1"/>
    </xf>
    <xf numFmtId="44" fontId="22" fillId="0" borderId="22" xfId="2" applyFont="1" applyFill="1" applyBorder="1" applyAlignment="1">
      <alignment horizontal="center" wrapText="1"/>
    </xf>
    <xf numFmtId="3" fontId="22" fillId="0" borderId="22" xfId="0" applyNumberFormat="1" applyFont="1" applyFill="1" applyBorder="1" applyAlignment="1">
      <alignment horizontal="center" wrapText="1"/>
    </xf>
    <xf numFmtId="167" fontId="22" fillId="0" borderId="22" xfId="2" applyNumberFormat="1" applyFont="1" applyFill="1" applyBorder="1" applyAlignment="1">
      <alignment horizontal="center" wrapText="1"/>
    </xf>
    <xf numFmtId="166" fontId="22" fillId="0" borderId="22" xfId="3" applyNumberFormat="1" applyFont="1" applyFill="1" applyBorder="1" applyAlignment="1">
      <alignment horizontal="center" wrapText="1"/>
    </xf>
    <xf numFmtId="3" fontId="24" fillId="0" borderId="26" xfId="2" applyNumberFormat="1" applyFont="1" applyFill="1" applyBorder="1" applyAlignment="1">
      <alignment horizontal="center"/>
    </xf>
    <xf numFmtId="9" fontId="24" fillId="0" borderId="26" xfId="3" applyFont="1" applyFill="1" applyBorder="1" applyAlignment="1">
      <alignment horizontal="center"/>
    </xf>
    <xf numFmtId="3" fontId="24" fillId="0" borderId="26" xfId="0" applyNumberFormat="1" applyFont="1" applyBorder="1"/>
    <xf numFmtId="44" fontId="24" fillId="0" borderId="27" xfId="2" applyFont="1" applyBorder="1"/>
    <xf numFmtId="166" fontId="24" fillId="0" borderId="0" xfId="3" applyNumberFormat="1" applyFont="1"/>
    <xf numFmtId="44" fontId="24" fillId="0" borderId="0" xfId="2" applyFont="1"/>
    <xf numFmtId="169" fontId="24" fillId="0" borderId="0" xfId="2" applyNumberFormat="1" applyFont="1"/>
    <xf numFmtId="44" fontId="24" fillId="0" borderId="21" xfId="2" applyFont="1" applyBorder="1"/>
    <xf numFmtId="44" fontId="19" fillId="0" borderId="30" xfId="2" applyNumberFormat="1" applyFont="1" applyBorder="1"/>
    <xf numFmtId="9" fontId="19" fillId="0" borderId="33" xfId="3" applyFont="1" applyBorder="1"/>
    <xf numFmtId="4" fontId="19" fillId="0" borderId="33" xfId="2" applyNumberFormat="1" applyFont="1" applyBorder="1"/>
    <xf numFmtId="3" fontId="24" fillId="0" borderId="13" xfId="2" applyNumberFormat="1" applyFont="1" applyBorder="1"/>
    <xf numFmtId="9" fontId="24" fillId="0" borderId="13" xfId="3" applyFont="1" applyBorder="1"/>
    <xf numFmtId="3" fontId="24" fillId="0" borderId="13" xfId="0" applyNumberFormat="1" applyFont="1" applyBorder="1"/>
    <xf numFmtId="167" fontId="24" fillId="0" borderId="13" xfId="2" applyNumberFormat="1" applyFont="1" applyBorder="1"/>
    <xf numFmtId="44" fontId="24" fillId="0" borderId="22" xfId="2" applyFont="1" applyBorder="1"/>
    <xf numFmtId="3" fontId="24" fillId="0" borderId="26" xfId="2" applyNumberFormat="1" applyFont="1" applyBorder="1"/>
    <xf numFmtId="9" fontId="24" fillId="0" borderId="26" xfId="3" applyFont="1" applyBorder="1"/>
    <xf numFmtId="3" fontId="30" fillId="0" borderId="26" xfId="0" applyNumberFormat="1" applyFont="1" applyBorder="1"/>
    <xf numFmtId="166" fontId="30" fillId="0" borderId="26" xfId="3" applyNumberFormat="1" applyFont="1" applyBorder="1"/>
    <xf numFmtId="44" fontId="30" fillId="0" borderId="26" xfId="2" applyFont="1" applyBorder="1"/>
    <xf numFmtId="167" fontId="30" fillId="0" borderId="26" xfId="2" applyNumberFormat="1" applyFont="1" applyBorder="1"/>
    <xf numFmtId="44" fontId="30" fillId="0" borderId="27" xfId="2" applyFont="1" applyBorder="1"/>
    <xf numFmtId="44" fontId="19" fillId="0" borderId="29" xfId="2" applyNumberFormat="1" applyFont="1" applyBorder="1"/>
    <xf numFmtId="9" fontId="19" fillId="0" borderId="39" xfId="3" applyFont="1" applyBorder="1"/>
    <xf numFmtId="44" fontId="19" fillId="0" borderId="39" xfId="2" applyNumberFormat="1" applyFont="1" applyBorder="1"/>
    <xf numFmtId="44" fontId="19" fillId="0" borderId="40" xfId="2" applyNumberFormat="1" applyFont="1" applyBorder="1"/>
    <xf numFmtId="9" fontId="30" fillId="0" borderId="0" xfId="3" applyFont="1"/>
    <xf numFmtId="1" fontId="24" fillId="0" borderId="11" xfId="2" applyNumberFormat="1" applyFont="1" applyBorder="1"/>
    <xf numFmtId="1" fontId="30" fillId="0" borderId="0" xfId="2" applyNumberFormat="1" applyFont="1"/>
    <xf numFmtId="1" fontId="30" fillId="0" borderId="0" xfId="3" applyNumberFormat="1" applyFont="1"/>
    <xf numFmtId="1" fontId="24" fillId="0" borderId="0" xfId="2" applyNumberFormat="1" applyFont="1" applyFill="1" applyBorder="1"/>
    <xf numFmtId="1" fontId="22" fillId="0" borderId="20" xfId="0" applyNumberFormat="1" applyFont="1" applyFill="1" applyBorder="1" applyAlignment="1">
      <alignment horizontal="center"/>
    </xf>
    <xf numFmtId="1" fontId="22" fillId="0" borderId="0" xfId="0" applyNumberFormat="1" applyFont="1" applyFill="1" applyBorder="1" applyAlignment="1">
      <alignment horizontal="center"/>
    </xf>
    <xf numFmtId="1" fontId="22" fillId="0" borderId="44" xfId="0" applyNumberFormat="1" applyFont="1" applyFill="1" applyBorder="1" applyAlignment="1">
      <alignment horizontal="center"/>
    </xf>
    <xf numFmtId="1" fontId="22" fillId="0" borderId="38" xfId="0" applyNumberFormat="1" applyFont="1" applyFill="1" applyBorder="1" applyAlignment="1">
      <alignment horizontal="center"/>
    </xf>
    <xf numFmtId="1" fontId="22" fillId="0" borderId="11" xfId="0" applyNumberFormat="1" applyFont="1" applyFill="1" applyBorder="1" applyAlignment="1">
      <alignment horizontal="center"/>
    </xf>
    <xf numFmtId="0" fontId="22" fillId="0" borderId="43" xfId="0" applyFont="1" applyFill="1" applyBorder="1" applyAlignment="1">
      <alignment horizontal="center"/>
    </xf>
    <xf numFmtId="1" fontId="22" fillId="0" borderId="22" xfId="0" applyNumberFormat="1" applyFont="1" applyFill="1" applyBorder="1" applyAlignment="1">
      <alignment horizontal="center"/>
    </xf>
    <xf numFmtId="1" fontId="22" fillId="0" borderId="24" xfId="0" applyNumberFormat="1" applyFont="1" applyFill="1" applyBorder="1" applyAlignment="1">
      <alignment horizontal="center"/>
    </xf>
    <xf numFmtId="1" fontId="22" fillId="0" borderId="13" xfId="0" applyNumberFormat="1" applyFont="1" applyFill="1" applyBorder="1" applyAlignment="1">
      <alignment horizontal="center"/>
    </xf>
    <xf numFmtId="1" fontId="24" fillId="0" borderId="26" xfId="0" applyNumberFormat="1" applyFont="1" applyBorder="1"/>
    <xf numFmtId="1" fontId="24" fillId="0" borderId="27" xfId="0" applyNumberFormat="1" applyFont="1" applyBorder="1"/>
    <xf numFmtId="164" fontId="24" fillId="0" borderId="0" xfId="1" applyNumberFormat="1" applyFont="1" applyBorder="1"/>
    <xf numFmtId="164" fontId="24" fillId="0" borderId="0" xfId="1" applyNumberFormat="1" applyFont="1"/>
    <xf numFmtId="164" fontId="24" fillId="0" borderId="21" xfId="1" applyNumberFormat="1" applyFont="1" applyBorder="1"/>
    <xf numFmtId="164" fontId="19" fillId="0" borderId="33" xfId="1" applyNumberFormat="1" applyFont="1" applyBorder="1"/>
    <xf numFmtId="1" fontId="24" fillId="0" borderId="27" xfId="2" applyNumberFormat="1" applyFont="1" applyBorder="1"/>
    <xf numFmtId="1" fontId="30" fillId="0" borderId="0" xfId="2" applyNumberFormat="1" applyFont="1" applyBorder="1"/>
    <xf numFmtId="1" fontId="30" fillId="0" borderId="21" xfId="2" applyNumberFormat="1" applyFont="1" applyBorder="1"/>
    <xf numFmtId="164" fontId="19" fillId="0" borderId="18" xfId="1" applyNumberFormat="1" applyFont="1" applyBorder="1"/>
    <xf numFmtId="164" fontId="19" fillId="0" borderId="19" xfId="1" applyNumberFormat="1" applyFont="1" applyBorder="1"/>
    <xf numFmtId="0" fontId="22" fillId="0" borderId="18" xfId="0" applyFont="1" applyBorder="1" applyAlignment="1">
      <alignment horizontal="center"/>
    </xf>
    <xf numFmtId="164" fontId="24" fillId="0" borderId="15" xfId="1" applyNumberFormat="1" applyFont="1" applyBorder="1"/>
    <xf numFmtId="164" fontId="24" fillId="0" borderId="40" xfId="1" applyNumberFormat="1" applyFont="1" applyBorder="1"/>
    <xf numFmtId="165" fontId="18" fillId="0" borderId="0" xfId="0" applyNumberFormat="1" applyFont="1"/>
    <xf numFmtId="0" fontId="32" fillId="0" borderId="0" xfId="0" applyFont="1" applyFill="1"/>
    <xf numFmtId="166" fontId="32" fillId="0" borderId="0" xfId="3" applyNumberFormat="1" applyFont="1" applyFill="1"/>
    <xf numFmtId="165" fontId="32" fillId="0" borderId="0" xfId="0" applyNumberFormat="1" applyFont="1" applyFill="1"/>
    <xf numFmtId="166" fontId="22" fillId="0" borderId="14" xfId="3" applyNumberFormat="1" applyFont="1" applyFill="1" applyBorder="1" applyAlignment="1">
      <alignment horizontal="center"/>
    </xf>
    <xf numFmtId="165" fontId="22" fillId="0" borderId="14" xfId="0" applyNumberFormat="1" applyFont="1" applyFill="1" applyBorder="1" applyAlignment="1">
      <alignment horizontal="center"/>
    </xf>
    <xf numFmtId="165" fontId="22" fillId="0" borderId="16" xfId="0" applyNumberFormat="1" applyFont="1" applyFill="1" applyBorder="1" applyAlignment="1">
      <alignment horizontal="center"/>
    </xf>
    <xf numFmtId="165" fontId="22" fillId="0" borderId="48" xfId="0" applyNumberFormat="1" applyFont="1" applyFill="1" applyBorder="1" applyAlignment="1">
      <alignment horizontal="center"/>
    </xf>
    <xf numFmtId="166" fontId="22" fillId="0" borderId="0" xfId="3" applyNumberFormat="1" applyFont="1" applyFill="1" applyBorder="1" applyAlignment="1">
      <alignment horizontal="center"/>
    </xf>
    <xf numFmtId="165" fontId="22" fillId="0" borderId="0" xfId="0" applyNumberFormat="1" applyFont="1" applyFill="1" applyBorder="1" applyAlignment="1">
      <alignment horizontal="center"/>
    </xf>
    <xf numFmtId="165" fontId="22" fillId="0" borderId="20" xfId="0" applyNumberFormat="1" applyFont="1" applyFill="1" applyBorder="1" applyAlignment="1">
      <alignment horizontal="center"/>
    </xf>
    <xf numFmtId="165" fontId="22" fillId="0" borderId="49" xfId="0" applyNumberFormat="1" applyFont="1" applyFill="1" applyBorder="1" applyAlignment="1">
      <alignment horizontal="center"/>
    </xf>
    <xf numFmtId="166" fontId="22" fillId="0" borderId="13" xfId="3" applyNumberFormat="1" applyFont="1" applyFill="1" applyBorder="1" applyAlignment="1">
      <alignment horizontal="center"/>
    </xf>
    <xf numFmtId="165" fontId="22" fillId="0" borderId="13" xfId="0" applyNumberFormat="1" applyFont="1" applyFill="1" applyBorder="1" applyAlignment="1">
      <alignment horizontal="center"/>
    </xf>
    <xf numFmtId="165" fontId="22" fillId="0" borderId="24" xfId="0" applyNumberFormat="1" applyFont="1" applyFill="1" applyBorder="1" applyAlignment="1">
      <alignment horizontal="center"/>
    </xf>
    <xf numFmtId="165" fontId="22" fillId="0" borderId="50" xfId="0" applyNumberFormat="1" applyFont="1" applyFill="1" applyBorder="1" applyAlignment="1">
      <alignment horizontal="center"/>
    </xf>
    <xf numFmtId="165" fontId="24" fillId="0" borderId="26" xfId="2" applyNumberFormat="1" applyFont="1" applyFill="1" applyBorder="1" applyAlignment="1">
      <alignment horizontal="center"/>
    </xf>
    <xf numFmtId="165" fontId="24" fillId="0" borderId="26" xfId="3" applyNumberFormat="1" applyFont="1" applyFill="1" applyBorder="1" applyAlignment="1">
      <alignment horizontal="center"/>
    </xf>
    <xf numFmtId="165" fontId="24" fillId="0" borderId="27" xfId="3" applyNumberFormat="1" applyFont="1" applyFill="1" applyBorder="1" applyAlignment="1">
      <alignment horizontal="center"/>
    </xf>
    <xf numFmtId="165" fontId="24" fillId="0" borderId="0" xfId="2" applyNumberFormat="1" applyFont="1" applyFill="1" applyBorder="1"/>
    <xf numFmtId="165" fontId="24" fillId="0" borderId="21" xfId="3" applyNumberFormat="1" applyFont="1" applyBorder="1"/>
    <xf numFmtId="166" fontId="19" fillId="0" borderId="30" xfId="3" applyNumberFormat="1" applyFont="1" applyBorder="1"/>
    <xf numFmtId="165" fontId="19" fillId="0" borderId="33" xfId="2" applyNumberFormat="1" applyFont="1" applyBorder="1"/>
    <xf numFmtId="165" fontId="19" fillId="0" borderId="31" xfId="3" applyNumberFormat="1" applyFont="1" applyBorder="1"/>
    <xf numFmtId="165" fontId="24" fillId="0" borderId="26" xfId="2" applyNumberFormat="1" applyFont="1" applyBorder="1"/>
    <xf numFmtId="165" fontId="24" fillId="0" borderId="26" xfId="3" applyNumberFormat="1" applyFont="1" applyBorder="1"/>
    <xf numFmtId="165" fontId="24" fillId="0" borderId="27" xfId="3" applyNumberFormat="1" applyFont="1" applyBorder="1"/>
    <xf numFmtId="166" fontId="0" fillId="0" borderId="0" xfId="3" applyNumberFormat="1" applyFont="1" applyBorder="1"/>
    <xf numFmtId="165" fontId="0" fillId="0" borderId="0" xfId="2" applyNumberFormat="1" applyFont="1" applyBorder="1"/>
    <xf numFmtId="165" fontId="0" fillId="0" borderId="0" xfId="3" applyNumberFormat="1" applyFont="1" applyBorder="1"/>
    <xf numFmtId="165" fontId="0" fillId="0" borderId="21" xfId="3" applyNumberFormat="1" applyFont="1" applyBorder="1"/>
    <xf numFmtId="166" fontId="19" fillId="0" borderId="18" xfId="3" applyNumberFormat="1" applyFont="1" applyBorder="1"/>
    <xf numFmtId="165" fontId="19" fillId="0" borderId="18" xfId="3" applyNumberFormat="1" applyFont="1" applyBorder="1"/>
    <xf numFmtId="165" fontId="19" fillId="0" borderId="19" xfId="3" applyNumberFormat="1" applyFont="1" applyBorder="1"/>
    <xf numFmtId="165" fontId="0" fillId="0" borderId="0" xfId="0" applyNumberFormat="1"/>
    <xf numFmtId="0" fontId="37" fillId="0" borderId="0" xfId="0" applyFont="1"/>
    <xf numFmtId="164" fontId="32" fillId="0" borderId="0" xfId="1" applyNumberFormat="1" applyFont="1" applyFill="1"/>
    <xf numFmtId="0" fontId="0" fillId="0" borderId="13" xfId="0" applyBorder="1"/>
    <xf numFmtId="164" fontId="22" fillId="0" borderId="44" xfId="1" applyNumberFormat="1" applyFont="1" applyFill="1" applyBorder="1" applyAlignment="1">
      <alignment horizontal="center"/>
    </xf>
    <xf numFmtId="164" fontId="22" fillId="0" borderId="38" xfId="1" applyNumberFormat="1" applyFont="1" applyFill="1" applyBorder="1" applyAlignment="1">
      <alignment horizontal="center"/>
    </xf>
    <xf numFmtId="164" fontId="22" fillId="0" borderId="10" xfId="1" applyNumberFormat="1" applyFont="1" applyFill="1" applyBorder="1"/>
    <xf numFmtId="164" fontId="22" fillId="0" borderId="38" xfId="1" applyNumberFormat="1" applyFont="1" applyFill="1" applyBorder="1"/>
    <xf numFmtId="164" fontId="22" fillId="0" borderId="44" xfId="1" applyNumberFormat="1" applyFont="1" applyFill="1" applyBorder="1"/>
    <xf numFmtId="164" fontId="22" fillId="0" borderId="0" xfId="1" applyNumberFormat="1" applyFont="1" applyFill="1" applyBorder="1"/>
    <xf numFmtId="164" fontId="22" fillId="0" borderId="32" xfId="1" applyNumberFormat="1" applyFont="1" applyFill="1" applyBorder="1" applyAlignment="1">
      <alignment horizontal="center"/>
    </xf>
    <xf numFmtId="164" fontId="22" fillId="0" borderId="24" xfId="1" applyNumberFormat="1" applyFont="1" applyFill="1" applyBorder="1" applyAlignment="1">
      <alignment horizontal="center"/>
    </xf>
    <xf numFmtId="164" fontId="22" fillId="0" borderId="13" xfId="1" applyNumberFormat="1" applyFont="1" applyFill="1" applyBorder="1" applyAlignment="1">
      <alignment horizontal="center"/>
    </xf>
    <xf numFmtId="1" fontId="24" fillId="0" borderId="51" xfId="3" applyNumberFormat="1" applyFont="1" applyFill="1" applyBorder="1" applyAlignment="1">
      <alignment horizontal="center"/>
    </xf>
    <xf numFmtId="164" fontId="19" fillId="0" borderId="23" xfId="1" applyNumberFormat="1" applyFont="1" applyBorder="1"/>
    <xf numFmtId="1" fontId="24" fillId="0" borderId="51" xfId="3" applyNumberFormat="1" applyFont="1" applyBorder="1"/>
    <xf numFmtId="164" fontId="18" fillId="0" borderId="33" xfId="1" applyNumberFormat="1" applyFont="1" applyBorder="1"/>
    <xf numFmtId="1" fontId="18" fillId="0" borderId="20" xfId="3" applyNumberFormat="1" applyFont="1" applyBorder="1"/>
    <xf numFmtId="164" fontId="19" fillId="0" borderId="45" xfId="1" applyNumberFormat="1" applyFont="1" applyBorder="1"/>
    <xf numFmtId="1" fontId="19" fillId="0" borderId="0" xfId="0" applyNumberFormat="1" applyFont="1"/>
    <xf numFmtId="164" fontId="24" fillId="0" borderId="16" xfId="1" applyNumberFormat="1" applyFont="1" applyBorder="1"/>
    <xf numFmtId="164" fontId="19" fillId="0" borderId="24" xfId="1" applyNumberFormat="1" applyFont="1" applyBorder="1"/>
    <xf numFmtId="164" fontId="24" fillId="0" borderId="12" xfId="1" applyNumberFormat="1" applyFont="1" applyBorder="1"/>
    <xf numFmtId="166" fontId="32" fillId="0" borderId="0" xfId="3" applyNumberFormat="1" applyFont="1"/>
    <xf numFmtId="2" fontId="32" fillId="0" borderId="0" xfId="3" applyNumberFormat="1" applyFont="1"/>
    <xf numFmtId="2" fontId="32" fillId="0" borderId="0" xfId="3" applyNumberFormat="1" applyFont="1" applyFill="1"/>
    <xf numFmtId="2" fontId="32" fillId="0" borderId="0" xfId="2" applyNumberFormat="1" applyFont="1" applyFill="1"/>
    <xf numFmtId="0" fontId="22" fillId="0" borderId="14" xfId="0" applyFont="1" applyFill="1" applyBorder="1" applyAlignment="1">
      <alignment horizontal="centerContinuous"/>
    </xf>
    <xf numFmtId="166" fontId="22" fillId="0" borderId="14" xfId="3" applyNumberFormat="1" applyFont="1" applyFill="1" applyBorder="1" applyAlignment="1">
      <alignment horizontal="centerContinuous"/>
    </xf>
    <xf numFmtId="2" fontId="22" fillId="0" borderId="16" xfId="3" applyNumberFormat="1" applyFont="1" applyFill="1" applyBorder="1" applyAlignment="1">
      <alignment horizontal="center"/>
    </xf>
    <xf numFmtId="2" fontId="22" fillId="0" borderId="15" xfId="3" applyNumberFormat="1" applyFont="1" applyFill="1" applyBorder="1" applyAlignment="1">
      <alignment horizontal="center"/>
    </xf>
    <xf numFmtId="2" fontId="22" fillId="0" borderId="15" xfId="2" applyNumberFormat="1" applyFont="1" applyFill="1" applyBorder="1" applyAlignment="1">
      <alignment horizontal="center"/>
    </xf>
    <xf numFmtId="166" fontId="22" fillId="0" borderId="38" xfId="3" applyNumberFormat="1" applyFont="1" applyFill="1" applyBorder="1" applyAlignment="1">
      <alignment horizontal="center"/>
    </xf>
    <xf numFmtId="2" fontId="22" fillId="0" borderId="20" xfId="3" applyNumberFormat="1" applyFont="1" applyFill="1" applyBorder="1" applyAlignment="1">
      <alignment horizontal="center"/>
    </xf>
    <xf numFmtId="2" fontId="22" fillId="0" borderId="21" xfId="3" applyNumberFormat="1" applyFont="1" applyFill="1" applyBorder="1" applyAlignment="1">
      <alignment horizontal="center"/>
    </xf>
    <xf numFmtId="2" fontId="22" fillId="0" borderId="21" xfId="2" applyNumberFormat="1" applyFont="1" applyFill="1" applyBorder="1" applyAlignment="1">
      <alignment horizontal="center"/>
    </xf>
    <xf numFmtId="2" fontId="24" fillId="0" borderId="27" xfId="3" applyNumberFormat="1" applyFont="1" applyFill="1" applyBorder="1" applyAlignment="1">
      <alignment horizontal="center"/>
    </xf>
    <xf numFmtId="171" fontId="24" fillId="0" borderId="0" xfId="3" applyNumberFormat="1" applyFont="1"/>
    <xf numFmtId="2" fontId="24" fillId="0" borderId="0" xfId="3" applyNumberFormat="1" applyFont="1"/>
    <xf numFmtId="166" fontId="0" fillId="0" borderId="0" xfId="0" applyNumberFormat="1"/>
    <xf numFmtId="171" fontId="19" fillId="0" borderId="33" xfId="3" applyNumberFormat="1" applyFont="1" applyBorder="1"/>
    <xf numFmtId="2" fontId="19" fillId="0" borderId="33" xfId="3" applyNumberFormat="1" applyFont="1" applyBorder="1"/>
    <xf numFmtId="44" fontId="19" fillId="0" borderId="31" xfId="2" applyFont="1" applyBorder="1"/>
    <xf numFmtId="171" fontId="24" fillId="0" borderId="26" xfId="3" applyNumberFormat="1" applyFont="1" applyBorder="1"/>
    <xf numFmtId="2" fontId="24" fillId="0" borderId="27" xfId="3" applyNumberFormat="1" applyFont="1" applyBorder="1"/>
    <xf numFmtId="171" fontId="18" fillId="0" borderId="0" xfId="3" applyNumberFormat="1" applyFont="1" applyBorder="1"/>
    <xf numFmtId="2" fontId="18" fillId="0" borderId="21" xfId="3" applyNumberFormat="1" applyFont="1" applyBorder="1"/>
    <xf numFmtId="172" fontId="19" fillId="0" borderId="18" xfId="1" applyNumberFormat="1" applyFont="1" applyBorder="1"/>
    <xf numFmtId="43" fontId="19" fillId="0" borderId="18" xfId="1" applyNumberFormat="1" applyFont="1" applyBorder="1"/>
    <xf numFmtId="44" fontId="19" fillId="0" borderId="19" xfId="2" applyFont="1" applyBorder="1"/>
    <xf numFmtId="0" fontId="35" fillId="0" borderId="0" xfId="0" applyFont="1" applyAlignment="1">
      <alignment horizontal="right"/>
    </xf>
    <xf numFmtId="2" fontId="19" fillId="0" borderId="0" xfId="0" applyNumberFormat="1" applyFont="1"/>
    <xf numFmtId="2" fontId="18" fillId="0" borderId="0" xfId="3" applyNumberFormat="1" applyFont="1"/>
    <xf numFmtId="2" fontId="18" fillId="0" borderId="0" xfId="2" applyNumberFormat="1" applyFont="1"/>
    <xf numFmtId="2" fontId="0" fillId="0" borderId="0" xfId="3" applyNumberFormat="1" applyFont="1"/>
    <xf numFmtId="9" fontId="24" fillId="0" borderId="0" xfId="3" applyFont="1" applyBorder="1"/>
    <xf numFmtId="2" fontId="18" fillId="0" borderId="0" xfId="0" applyNumberFormat="1" applyFont="1"/>
    <xf numFmtId="2" fontId="32" fillId="0" borderId="0" xfId="0" applyNumberFormat="1" applyFont="1" applyFill="1"/>
    <xf numFmtId="0" fontId="22" fillId="0" borderId="15" xfId="0" applyFont="1" applyFill="1" applyBorder="1" applyAlignment="1">
      <alignment horizontal="centerContinuous"/>
    </xf>
    <xf numFmtId="166" fontId="22" fillId="0" borderId="19" xfId="3" applyNumberFormat="1" applyFont="1" applyFill="1" applyBorder="1" applyAlignment="1">
      <alignment horizontal="centerContinuous"/>
    </xf>
    <xf numFmtId="0" fontId="22" fillId="0" borderId="15" xfId="0" applyFont="1" applyFill="1" applyBorder="1" applyAlignment="1">
      <alignment horizontal="center"/>
    </xf>
    <xf numFmtId="2" fontId="22" fillId="0" borderId="14" xfId="0" applyNumberFormat="1" applyFont="1" applyFill="1" applyBorder="1" applyAlignment="1">
      <alignment horizontal="center"/>
    </xf>
    <xf numFmtId="0" fontId="22" fillId="0" borderId="16" xfId="0" applyFont="1" applyFill="1" applyBorder="1" applyAlignment="1">
      <alignment horizontal="center"/>
    </xf>
    <xf numFmtId="2" fontId="22" fillId="0" borderId="16" xfId="0" applyNumberFormat="1" applyFont="1" applyFill="1" applyBorder="1" applyAlignment="1">
      <alignment horizontal="center"/>
    </xf>
    <xf numFmtId="164" fontId="22" fillId="0" borderId="46" xfId="1" applyNumberFormat="1" applyFont="1" applyFill="1" applyBorder="1" applyAlignment="1">
      <alignment horizontal="center"/>
    </xf>
    <xf numFmtId="0" fontId="22" fillId="0" borderId="38" xfId="0" applyFont="1" applyFill="1" applyBorder="1"/>
    <xf numFmtId="0" fontId="22" fillId="0" borderId="21" xfId="0" applyFont="1" applyFill="1" applyBorder="1" applyAlignment="1">
      <alignment horizontal="center"/>
    </xf>
    <xf numFmtId="2" fontId="22" fillId="0" borderId="0" xfId="0" applyNumberFormat="1" applyFont="1" applyFill="1" applyBorder="1" applyAlignment="1">
      <alignment horizontal="center"/>
    </xf>
    <xf numFmtId="0" fontId="22" fillId="0" borderId="20" xfId="0" applyFont="1" applyFill="1" applyBorder="1" applyAlignment="1">
      <alignment horizontal="center"/>
    </xf>
    <xf numFmtId="2" fontId="22" fillId="0" borderId="20" xfId="0" applyNumberFormat="1" applyFont="1" applyFill="1" applyBorder="1" applyAlignment="1">
      <alignment horizontal="center"/>
    </xf>
    <xf numFmtId="164" fontId="22" fillId="0" borderId="20" xfId="1" applyNumberFormat="1" applyFont="1" applyFill="1" applyBorder="1" applyAlignment="1">
      <alignment horizontal="center"/>
    </xf>
    <xf numFmtId="0" fontId="22" fillId="0" borderId="24" xfId="0" applyFont="1" applyFill="1" applyBorder="1" applyAlignment="1">
      <alignment horizontal="center"/>
    </xf>
    <xf numFmtId="2" fontId="22" fillId="0" borderId="24" xfId="0" applyNumberFormat="1" applyFont="1" applyFill="1" applyBorder="1" applyAlignment="1">
      <alignment horizontal="center"/>
    </xf>
    <xf numFmtId="170" fontId="24" fillId="0" borderId="0" xfId="1" applyNumberFormat="1" applyFont="1"/>
    <xf numFmtId="164" fontId="19" fillId="0" borderId="30" xfId="1" applyNumberFormat="1" applyFont="1" applyBorder="1"/>
    <xf numFmtId="170" fontId="19" fillId="0" borderId="33" xfId="1" applyNumberFormat="1" applyFont="1" applyBorder="1"/>
    <xf numFmtId="3" fontId="24" fillId="0" borderId="37" xfId="0" applyNumberFormat="1" applyFont="1" applyFill="1" applyBorder="1"/>
    <xf numFmtId="165" fontId="19" fillId="0" borderId="33" xfId="3" applyNumberFormat="1" applyFont="1" applyBorder="1"/>
    <xf numFmtId="170" fontId="19" fillId="0" borderId="36" xfId="1" applyNumberFormat="1" applyFont="1" applyBorder="1"/>
    <xf numFmtId="164" fontId="19" fillId="0" borderId="40" xfId="1" applyNumberFormat="1" applyFont="1" applyBorder="1"/>
    <xf numFmtId="164" fontId="0" fillId="0" borderId="21" xfId="1" applyNumberFormat="1" applyFont="1" applyBorder="1"/>
    <xf numFmtId="166" fontId="19" fillId="0" borderId="0" xfId="3" applyNumberFormat="1" applyFont="1"/>
    <xf numFmtId="164" fontId="19" fillId="0" borderId="0" xfId="1" applyNumberFormat="1" applyFont="1"/>
    <xf numFmtId="164" fontId="0" fillId="0" borderId="0" xfId="1" applyNumberFormat="1" applyFont="1"/>
    <xf numFmtId="43" fontId="24" fillId="0" borderId="0" xfId="1" applyNumberFormat="1" applyFont="1" applyBorder="1"/>
    <xf numFmtId="0" fontId="22" fillId="0" borderId="0" xfId="0" applyFont="1" applyFill="1"/>
    <xf numFmtId="2" fontId="22" fillId="0" borderId="16" xfId="0" applyNumberFormat="1" applyFont="1" applyFill="1" applyBorder="1" applyAlignment="1">
      <alignment horizontal="centerContinuous"/>
    </xf>
    <xf numFmtId="0" fontId="22" fillId="0" borderId="44" xfId="0" applyFont="1" applyFill="1" applyBorder="1"/>
    <xf numFmtId="0" fontId="22" fillId="0" borderId="44" xfId="0" applyFont="1" applyFill="1" applyBorder="1" applyAlignment="1">
      <alignment horizontal="center"/>
    </xf>
    <xf numFmtId="0" fontId="22" fillId="0" borderId="10" xfId="0" applyFont="1" applyFill="1" applyBorder="1"/>
    <xf numFmtId="0" fontId="22" fillId="0" borderId="10" xfId="0" applyFont="1" applyFill="1" applyBorder="1" applyAlignment="1">
      <alignment horizontal="center"/>
    </xf>
    <xf numFmtId="0" fontId="24" fillId="0" borderId="44" xfId="0" applyFont="1" applyFill="1" applyBorder="1"/>
    <xf numFmtId="0" fontId="24" fillId="0" borderId="10" xfId="0" applyFont="1" applyFill="1" applyBorder="1"/>
    <xf numFmtId="2" fontId="22" fillId="0" borderId="44" xfId="0" applyNumberFormat="1" applyFont="1" applyFill="1" applyBorder="1" applyAlignment="1">
      <alignment horizontal="center"/>
    </xf>
    <xf numFmtId="0" fontId="22" fillId="0" borderId="32" xfId="0" applyFont="1" applyFill="1" applyBorder="1" applyAlignment="1">
      <alignment horizontal="center"/>
    </xf>
    <xf numFmtId="0" fontId="22" fillId="0" borderId="23" xfId="0" applyFont="1" applyFill="1" applyBorder="1" applyAlignment="1">
      <alignment horizontal="center"/>
    </xf>
    <xf numFmtId="43" fontId="24" fillId="0" borderId="14" xfId="1" applyNumberFormat="1" applyFont="1" applyBorder="1"/>
    <xf numFmtId="43" fontId="19" fillId="0" borderId="33" xfId="1" applyNumberFormat="1" applyFont="1" applyBorder="1"/>
    <xf numFmtId="43" fontId="19" fillId="0" borderId="36" xfId="1" applyNumberFormat="1" applyFont="1" applyBorder="1"/>
    <xf numFmtId="170" fontId="19" fillId="0" borderId="35" xfId="1" applyNumberFormat="1" applyFont="1" applyBorder="1"/>
    <xf numFmtId="164" fontId="18" fillId="0" borderId="31" xfId="1" applyNumberFormat="1" applyFont="1" applyBorder="1"/>
    <xf numFmtId="164" fontId="35" fillId="0" borderId="0" xfId="1" applyNumberFormat="1" applyFont="1"/>
    <xf numFmtId="164" fontId="37" fillId="0" borderId="0" xfId="0" applyNumberFormat="1" applyFont="1"/>
    <xf numFmtId="0" fontId="32" fillId="0" borderId="0" xfId="0" applyFont="1" applyFill="1" applyAlignment="1">
      <alignment horizontal="left"/>
    </xf>
    <xf numFmtId="164" fontId="32" fillId="0" borderId="0" xfId="0" applyNumberFormat="1" applyFont="1" applyFill="1" applyAlignment="1">
      <alignment horizontal="left"/>
    </xf>
    <xf numFmtId="0" fontId="32" fillId="0" borderId="0" xfId="0" applyFont="1" applyFill="1" applyBorder="1"/>
    <xf numFmtId="164" fontId="23" fillId="0" borderId="45" xfId="0" applyNumberFormat="1" applyFont="1" applyFill="1" applyBorder="1" applyAlignment="1">
      <alignment vertical="center"/>
    </xf>
    <xf numFmtId="164" fontId="22" fillId="0" borderId="46" xfId="0" applyNumberFormat="1" applyFont="1" applyFill="1" applyBorder="1" applyAlignment="1">
      <alignment horizontal="center"/>
    </xf>
    <xf numFmtId="164" fontId="22" fillId="0" borderId="16" xfId="0" applyNumberFormat="1" applyFont="1" applyFill="1" applyBorder="1" applyAlignment="1">
      <alignment horizontal="center"/>
    </xf>
    <xf numFmtId="0" fontId="36" fillId="0" borderId="21" xfId="0" applyFont="1" applyBorder="1" applyAlignment="1">
      <alignment vertical="center"/>
    </xf>
    <xf numFmtId="164" fontId="22" fillId="0" borderId="12" xfId="0" applyNumberFormat="1" applyFont="1" applyFill="1" applyBorder="1" applyAlignment="1">
      <alignment horizontal="center"/>
    </xf>
    <xf numFmtId="164" fontId="22" fillId="0" borderId="20" xfId="0" applyNumberFormat="1" applyFont="1" applyFill="1" applyBorder="1" applyAlignment="1">
      <alignment horizontal="center"/>
    </xf>
    <xf numFmtId="0" fontId="22" fillId="0" borderId="12" xfId="0" applyFont="1" applyFill="1" applyBorder="1" applyAlignment="1">
      <alignment horizontal="center"/>
    </xf>
    <xf numFmtId="164" fontId="22" fillId="0" borderId="0" xfId="0" applyNumberFormat="1" applyFont="1" applyFill="1" applyBorder="1" applyAlignment="1">
      <alignment horizontal="center"/>
    </xf>
    <xf numFmtId="0" fontId="36" fillId="0" borderId="22" xfId="0" applyFont="1" applyBorder="1" applyAlignment="1">
      <alignment vertical="center"/>
    </xf>
    <xf numFmtId="164" fontId="22" fillId="0" borderId="32" xfId="0" applyNumberFormat="1" applyFont="1" applyFill="1" applyBorder="1" applyAlignment="1">
      <alignment horizontal="center"/>
    </xf>
    <xf numFmtId="164" fontId="22" fillId="0" borderId="24" xfId="0" applyNumberFormat="1" applyFont="1" applyFill="1" applyBorder="1" applyAlignment="1">
      <alignment horizontal="center"/>
    </xf>
    <xf numFmtId="164" fontId="24" fillId="0" borderId="13" xfId="1" applyNumberFormat="1" applyFont="1" applyBorder="1"/>
    <xf numFmtId="164" fontId="24" fillId="0" borderId="22" xfId="1" applyNumberFormat="1" applyFont="1" applyBorder="1"/>
    <xf numFmtId="3" fontId="24" fillId="0" borderId="34" xfId="0" applyNumberFormat="1" applyFont="1" applyFill="1" applyBorder="1"/>
    <xf numFmtId="164" fontId="24" fillId="0" borderId="32" xfId="1" applyNumberFormat="1" applyFont="1" applyBorder="1"/>
    <xf numFmtId="164" fontId="19" fillId="0" borderId="34" xfId="1" applyNumberFormat="1" applyFont="1" applyBorder="1"/>
    <xf numFmtId="164" fontId="18" fillId="0" borderId="34" xfId="1" applyNumberFormat="1" applyFont="1" applyBorder="1"/>
    <xf numFmtId="164" fontId="18" fillId="0" borderId="36" xfId="0" applyNumberFormat="1" applyFont="1" applyBorder="1"/>
    <xf numFmtId="164" fontId="18" fillId="0" borderId="38" xfId="0" applyNumberFormat="1" applyFont="1" applyBorder="1"/>
    <xf numFmtId="164" fontId="35" fillId="0" borderId="0" xfId="0" applyNumberFormat="1" applyFont="1"/>
    <xf numFmtId="164" fontId="19" fillId="0" borderId="0" xfId="0" applyNumberFormat="1" applyFont="1"/>
    <xf numFmtId="164" fontId="0" fillId="0" borderId="0" xfId="0" applyNumberFormat="1"/>
    <xf numFmtId="0" fontId="23" fillId="0" borderId="14" xfId="0" applyFont="1" applyFill="1" applyBorder="1" applyAlignment="1">
      <alignment vertical="center"/>
    </xf>
    <xf numFmtId="164" fontId="30" fillId="0" borderId="20" xfId="0" applyNumberFormat="1" applyFont="1" applyFill="1" applyBorder="1"/>
    <xf numFmtId="164" fontId="37" fillId="0" borderId="13" xfId="0" applyNumberFormat="1" applyFont="1" applyBorder="1"/>
    <xf numFmtId="3" fontId="24" fillId="0" borderId="17" xfId="0" applyNumberFormat="1" applyFont="1" applyFill="1" applyBorder="1"/>
    <xf numFmtId="164" fontId="24" fillId="0" borderId="46" xfId="1" applyNumberFormat="1" applyFont="1" applyBorder="1"/>
    <xf numFmtId="0" fontId="19" fillId="0" borderId="0" xfId="0" applyFont="1" applyFill="1" applyAlignment="1">
      <alignment horizontal="right"/>
    </xf>
    <xf numFmtId="4" fontId="19" fillId="0" borderId="0" xfId="0" applyNumberFormat="1" applyFont="1" applyFill="1" applyAlignment="1">
      <alignment horizontal="right"/>
    </xf>
    <xf numFmtId="0" fontId="22" fillId="0" borderId="21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22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/>
    </xf>
    <xf numFmtId="0" fontId="22" fillId="0" borderId="22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24" fillId="0" borderId="27" xfId="0" applyFont="1" applyBorder="1"/>
    <xf numFmtId="0" fontId="19" fillId="0" borderId="13" xfId="0" applyFont="1" applyFill="1" applyBorder="1" applyAlignment="1">
      <alignment horizontal="center"/>
    </xf>
    <xf numFmtId="164" fontId="19" fillId="0" borderId="13" xfId="1" applyNumberFormat="1" applyFont="1" applyBorder="1"/>
    <xf numFmtId="164" fontId="24" fillId="0" borderId="39" xfId="1" applyNumberFormat="1" applyFont="1" applyBorder="1"/>
    <xf numFmtId="0" fontId="24" fillId="0" borderId="0" xfId="0" applyFont="1" applyAlignment="1">
      <alignment vertical="center"/>
    </xf>
    <xf numFmtId="0" fontId="25" fillId="0" borderId="54" xfId="0" applyFont="1" applyBorder="1" applyProtection="1"/>
    <xf numFmtId="3" fontId="25" fillId="0" borderId="38" xfId="0" applyNumberFormat="1" applyFont="1" applyBorder="1" applyAlignment="1" applyProtection="1">
      <alignment horizontal="center"/>
    </xf>
    <xf numFmtId="4" fontId="25" fillId="0" borderId="38" xfId="0" applyNumberFormat="1" applyFont="1" applyBorder="1" applyAlignment="1" applyProtection="1">
      <alignment horizontal="center"/>
    </xf>
    <xf numFmtId="4" fontId="25" fillId="0" borderId="44" xfId="0" applyNumberFormat="1" applyFont="1" applyBorder="1" applyAlignment="1" applyProtection="1">
      <alignment horizontal="center"/>
    </xf>
    <xf numFmtId="3" fontId="25" fillId="0" borderId="55" xfId="0" applyNumberFormat="1" applyFont="1" applyBorder="1" applyAlignment="1" applyProtection="1">
      <alignment horizontal="center"/>
    </xf>
    <xf numFmtId="0" fontId="25" fillId="0" borderId="56" xfId="0" applyFont="1" applyBorder="1" applyProtection="1"/>
    <xf numFmtId="3" fontId="25" fillId="0" borderId="21" xfId="0" applyNumberFormat="1" applyFont="1" applyBorder="1" applyAlignment="1" applyProtection="1">
      <alignment horizontal="center"/>
    </xf>
    <xf numFmtId="4" fontId="25" fillId="0" borderId="21" xfId="0" applyNumberFormat="1" applyFont="1" applyBorder="1" applyAlignment="1" applyProtection="1">
      <alignment horizontal="center"/>
    </xf>
    <xf numFmtId="4" fontId="25" fillId="0" borderId="20" xfId="0" applyNumberFormat="1" applyFont="1" applyBorder="1" applyAlignment="1" applyProtection="1">
      <alignment horizontal="center"/>
    </xf>
    <xf numFmtId="3" fontId="25" fillId="0" borderId="49" xfId="0" applyNumberFormat="1" applyFont="1" applyBorder="1" applyAlignment="1" applyProtection="1">
      <alignment horizontal="center"/>
    </xf>
    <xf numFmtId="0" fontId="25" fillId="0" borderId="57" xfId="0" applyFont="1" applyBorder="1" applyAlignment="1" applyProtection="1">
      <alignment horizontal="center"/>
    </xf>
    <xf numFmtId="3" fontId="25" fillId="0" borderId="28" xfId="0" applyNumberFormat="1" applyFont="1" applyBorder="1" applyAlignment="1" applyProtection="1">
      <alignment horizontal="center"/>
    </xf>
    <xf numFmtId="4" fontId="25" fillId="0" borderId="28" xfId="0" applyNumberFormat="1" applyFont="1" applyBorder="1" applyAlignment="1" applyProtection="1">
      <alignment horizontal="center"/>
    </xf>
    <xf numFmtId="3" fontId="25" fillId="0" borderId="58" xfId="0" applyNumberFormat="1" applyFont="1" applyBorder="1" applyAlignment="1" applyProtection="1">
      <alignment horizontal="center"/>
    </xf>
    <xf numFmtId="0" fontId="25" fillId="0" borderId="59" xfId="0" applyFont="1" applyBorder="1" applyAlignment="1" applyProtection="1">
      <alignment horizontal="center"/>
    </xf>
    <xf numFmtId="3" fontId="25" fillId="0" borderId="37" xfId="0" applyNumberFormat="1" applyFont="1" applyFill="1" applyBorder="1" applyAlignment="1">
      <alignment horizontal="center"/>
    </xf>
    <xf numFmtId="4" fontId="25" fillId="0" borderId="37" xfId="0" applyNumberFormat="1" applyFont="1" applyFill="1" applyBorder="1" applyAlignment="1">
      <alignment horizontal="center"/>
    </xf>
    <xf numFmtId="3" fontId="25" fillId="0" borderId="60" xfId="0" applyNumberFormat="1" applyFont="1" applyFill="1" applyBorder="1" applyAlignment="1">
      <alignment horizontal="center"/>
    </xf>
    <xf numFmtId="0" fontId="25" fillId="0" borderId="59" xfId="0" applyFont="1" applyBorder="1" applyAlignment="1">
      <alignment horizontal="center"/>
    </xf>
    <xf numFmtId="3" fontId="25" fillId="0" borderId="34" xfId="1" applyNumberFormat="1" applyFont="1" applyBorder="1" applyAlignment="1">
      <alignment horizontal="center"/>
    </xf>
    <xf numFmtId="37" fontId="25" fillId="0" borderId="34" xfId="1" applyNumberFormat="1" applyFont="1" applyBorder="1" applyAlignment="1">
      <alignment horizontal="center"/>
    </xf>
    <xf numFmtId="3" fontId="25" fillId="0" borderId="61" xfId="1" applyNumberFormat="1" applyFont="1" applyBorder="1" applyAlignment="1">
      <alignment horizontal="center"/>
    </xf>
    <xf numFmtId="3" fontId="25" fillId="0" borderId="35" xfId="0" applyNumberFormat="1" applyFont="1" applyFill="1" applyBorder="1" applyAlignment="1">
      <alignment horizontal="center"/>
    </xf>
    <xf numFmtId="3" fontId="25" fillId="0" borderId="35" xfId="1" applyNumberFormat="1" applyFont="1" applyFill="1" applyBorder="1" applyAlignment="1">
      <alignment horizontal="center"/>
    </xf>
    <xf numFmtId="3" fontId="25" fillId="0" borderId="61" xfId="0" applyNumberFormat="1" applyFont="1" applyFill="1" applyBorder="1" applyAlignment="1">
      <alignment horizontal="center"/>
    </xf>
    <xf numFmtId="3" fontId="25" fillId="0" borderId="40" xfId="0" applyNumberFormat="1" applyFont="1" applyBorder="1" applyAlignment="1" applyProtection="1">
      <alignment horizontal="center"/>
    </xf>
    <xf numFmtId="4" fontId="25" fillId="0" borderId="40" xfId="0" applyNumberFormat="1" applyFont="1" applyBorder="1" applyAlignment="1" applyProtection="1">
      <alignment horizontal="center"/>
    </xf>
    <xf numFmtId="3" fontId="25" fillId="0" borderId="37" xfId="0" applyNumberFormat="1" applyFont="1" applyFill="1" applyBorder="1" applyAlignment="1" applyProtection="1">
      <alignment horizontal="center"/>
    </xf>
    <xf numFmtId="4" fontId="25" fillId="0" borderId="60" xfId="0" applyNumberFormat="1" applyFont="1" applyFill="1" applyBorder="1" applyAlignment="1">
      <alignment horizontal="center"/>
    </xf>
    <xf numFmtId="37" fontId="25" fillId="0" borderId="37" xfId="1" applyNumberFormat="1" applyFont="1" applyBorder="1" applyAlignment="1">
      <alignment horizontal="center"/>
    </xf>
    <xf numFmtId="3" fontId="25" fillId="0" borderId="37" xfId="1" applyNumberFormat="1" applyFont="1" applyBorder="1" applyAlignment="1">
      <alignment horizontal="center"/>
    </xf>
    <xf numFmtId="37" fontId="25" fillId="0" borderId="37" xfId="1" applyNumberFormat="1" applyFont="1" applyFill="1" applyBorder="1" applyAlignment="1">
      <alignment horizontal="center"/>
    </xf>
    <xf numFmtId="3" fontId="25" fillId="0" borderId="37" xfId="1" applyNumberFormat="1" applyFont="1" applyBorder="1" applyAlignment="1">
      <alignment horizontal="center" vertical="center"/>
    </xf>
    <xf numFmtId="3" fontId="25" fillId="0" borderId="34" xfId="0" applyNumberFormat="1" applyFont="1" applyBorder="1" applyAlignment="1">
      <alignment horizontal="center"/>
    </xf>
    <xf numFmtId="37" fontId="25" fillId="0" borderId="35" xfId="1" applyNumberFormat="1" applyFont="1" applyFill="1" applyBorder="1" applyAlignment="1">
      <alignment horizontal="center"/>
    </xf>
    <xf numFmtId="4" fontId="25" fillId="0" borderId="37" xfId="0" applyNumberFormat="1" applyFont="1" applyFill="1" applyBorder="1" applyAlignment="1" applyProtection="1">
      <alignment horizontal="center"/>
    </xf>
    <xf numFmtId="3" fontId="25" fillId="0" borderId="20" xfId="0" applyNumberFormat="1" applyFont="1" applyFill="1" applyBorder="1" applyAlignment="1">
      <alignment horizontal="center"/>
    </xf>
    <xf numFmtId="3" fontId="25" fillId="0" borderId="20" xfId="0" applyNumberFormat="1" applyFont="1" applyFill="1" applyBorder="1" applyAlignment="1" applyProtection="1">
      <alignment horizontal="center"/>
    </xf>
    <xf numFmtId="166" fontId="25" fillId="0" borderId="49" xfId="3" applyNumberFormat="1" applyFont="1" applyFill="1" applyBorder="1" applyAlignment="1" applyProtection="1">
      <alignment horizontal="center"/>
    </xf>
    <xf numFmtId="1" fontId="25" fillId="0" borderId="34" xfId="0" applyNumberFormat="1" applyFont="1" applyBorder="1" applyAlignment="1">
      <alignment horizontal="center"/>
    </xf>
    <xf numFmtId="1" fontId="25" fillId="0" borderId="34" xfId="1" applyNumberFormat="1" applyFont="1" applyBorder="1" applyAlignment="1">
      <alignment horizontal="center"/>
    </xf>
    <xf numFmtId="166" fontId="25" fillId="0" borderId="61" xfId="3" applyNumberFormat="1" applyFont="1" applyBorder="1" applyAlignment="1">
      <alignment horizontal="center"/>
    </xf>
    <xf numFmtId="3" fontId="25" fillId="0" borderId="38" xfId="0" applyNumberFormat="1" applyFont="1" applyFill="1" applyBorder="1" applyAlignment="1">
      <alignment horizontal="center"/>
    </xf>
    <xf numFmtId="166" fontId="25" fillId="0" borderId="63" xfId="3" applyNumberFormat="1" applyFont="1" applyFill="1" applyBorder="1" applyAlignment="1">
      <alignment horizontal="center"/>
    </xf>
    <xf numFmtId="0" fontId="25" fillId="0" borderId="64" xfId="0" applyFont="1" applyBorder="1" applyAlignment="1" applyProtection="1">
      <alignment horizontal="center"/>
    </xf>
    <xf numFmtId="3" fontId="25" fillId="0" borderId="23" xfId="0" applyNumberFormat="1" applyFont="1" applyFill="1" applyBorder="1" applyAlignment="1">
      <alignment horizontal="center"/>
    </xf>
    <xf numFmtId="3" fontId="25" fillId="0" borderId="65" xfId="0" applyNumberFormat="1" applyFont="1" applyFill="1" applyBorder="1" applyAlignment="1">
      <alignment horizontal="center"/>
    </xf>
    <xf numFmtId="0" fontId="25" fillId="0" borderId="0" xfId="0" applyFont="1" applyFill="1" applyBorder="1" applyAlignment="1" applyProtection="1">
      <alignment horizontal="left"/>
    </xf>
    <xf numFmtId="164" fontId="25" fillId="0" borderId="0" xfId="1" applyNumberFormat="1" applyFont="1"/>
    <xf numFmtId="0" fontId="41" fillId="0" borderId="0" xfId="0" applyFont="1"/>
    <xf numFmtId="1" fontId="19" fillId="0" borderId="13" xfId="2" applyNumberFormat="1" applyFont="1" applyBorder="1" applyAlignment="1">
      <alignment horizontal="center"/>
    </xf>
    <xf numFmtId="164" fontId="18" fillId="0" borderId="13" xfId="1" applyNumberFormat="1" applyFont="1" applyBorder="1"/>
    <xf numFmtId="43" fontId="0" fillId="0" borderId="0" xfId="0" applyNumberFormat="1"/>
    <xf numFmtId="0" fontId="22" fillId="0" borderId="26" xfId="0" applyFont="1" applyFill="1" applyBorder="1" applyAlignment="1">
      <alignment horizontal="center"/>
    </xf>
    <xf numFmtId="0" fontId="0" fillId="0" borderId="0" xfId="0" applyFill="1"/>
    <xf numFmtId="14" fontId="0" fillId="0" borderId="0" xfId="0" applyNumberFormat="1"/>
    <xf numFmtId="8" fontId="0" fillId="0" borderId="0" xfId="0" applyNumberFormat="1"/>
    <xf numFmtId="4" fontId="25" fillId="0" borderId="39" xfId="1" applyNumberFormat="1" applyFont="1" applyBorder="1"/>
    <xf numFmtId="1" fontId="24" fillId="0" borderId="27" xfId="2" applyNumberFormat="1" applyFont="1" applyFill="1" applyBorder="1" applyAlignment="1">
      <alignment horizontal="center"/>
    </xf>
    <xf numFmtId="1" fontId="19" fillId="0" borderId="22" xfId="2" applyNumberFormat="1" applyFont="1" applyBorder="1"/>
    <xf numFmtId="1" fontId="19" fillId="0" borderId="31" xfId="2" applyNumberFormat="1" applyFont="1" applyBorder="1"/>
    <xf numFmtId="1" fontId="19" fillId="0" borderId="35" xfId="2" applyNumberFormat="1" applyFont="1" applyBorder="1"/>
    <xf numFmtId="1" fontId="18" fillId="0" borderId="21" xfId="2" applyNumberFormat="1" applyFont="1" applyBorder="1"/>
    <xf numFmtId="1" fontId="19" fillId="0" borderId="19" xfId="2" applyNumberFormat="1" applyFont="1" applyBorder="1"/>
    <xf numFmtId="0" fontId="24" fillId="0" borderId="0" xfId="3" applyNumberFormat="1" applyFont="1"/>
    <xf numFmtId="1" fontId="19" fillId="0" borderId="22" xfId="2" applyNumberFormat="1" applyFont="1" applyBorder="1" applyAlignment="1">
      <alignment horizontal="center"/>
    </xf>
    <xf numFmtId="0" fontId="25" fillId="0" borderId="66" xfId="0" applyFont="1" applyBorder="1" applyAlignment="1">
      <alignment horizontal="center"/>
    </xf>
    <xf numFmtId="166" fontId="25" fillId="0" borderId="60" xfId="3" applyNumberFormat="1" applyFont="1" applyFill="1" applyBorder="1" applyAlignment="1" applyProtection="1">
      <alignment horizontal="center"/>
    </xf>
    <xf numFmtId="0" fontId="25" fillId="0" borderId="56" xfId="0" applyFont="1" applyBorder="1" applyAlignment="1" applyProtection="1">
      <alignment horizontal="center"/>
    </xf>
    <xf numFmtId="0" fontId="25" fillId="0" borderId="57" xfId="0" applyFont="1" applyBorder="1" applyAlignment="1">
      <alignment horizontal="center"/>
    </xf>
    <xf numFmtId="0" fontId="40" fillId="0" borderId="62" xfId="0" applyFont="1" applyBorder="1" applyAlignment="1" applyProtection="1">
      <alignment horizontal="center" vertical="center"/>
    </xf>
    <xf numFmtId="0" fontId="40" fillId="0" borderId="39" xfId="0" applyFont="1" applyBorder="1" applyAlignment="1" applyProtection="1">
      <alignment horizontal="center" vertical="center"/>
    </xf>
    <xf numFmtId="0" fontId="40" fillId="0" borderId="58" xfId="0" applyFont="1" applyBorder="1" applyAlignment="1" applyProtection="1">
      <alignment horizontal="center" vertical="center"/>
    </xf>
    <xf numFmtId="4" fontId="23" fillId="0" borderId="0" xfId="0" applyNumberFormat="1" applyFont="1" applyAlignment="1">
      <alignment horizontal="center"/>
    </xf>
    <xf numFmtId="0" fontId="24" fillId="0" borderId="0" xfId="0" applyFont="1" applyAlignment="1"/>
    <xf numFmtId="0" fontId="38" fillId="0" borderId="0" xfId="0" applyFont="1" applyBorder="1" applyAlignment="1">
      <alignment horizontal="center"/>
    </xf>
    <xf numFmtId="3" fontId="26" fillId="0" borderId="0" xfId="0" applyNumberFormat="1" applyFont="1" applyAlignment="1" applyProtection="1">
      <alignment horizontal="center"/>
    </xf>
    <xf numFmtId="0" fontId="39" fillId="0" borderId="13" xfId="0" applyFont="1" applyBorder="1" applyAlignment="1" applyProtection="1">
      <alignment horizontal="center"/>
    </xf>
    <xf numFmtId="0" fontId="40" fillId="0" borderId="52" xfId="0" applyFont="1" applyBorder="1" applyAlignment="1" applyProtection="1">
      <alignment horizontal="center" vertical="center"/>
    </xf>
    <xf numFmtId="0" fontId="40" fillId="0" borderId="18" xfId="0" applyFont="1" applyBorder="1" applyAlignment="1" applyProtection="1">
      <alignment horizontal="center" vertical="center"/>
    </xf>
    <xf numFmtId="0" fontId="40" fillId="0" borderId="53" xfId="0" applyFont="1" applyBorder="1" applyAlignment="1" applyProtection="1">
      <alignment horizontal="center" vertical="center"/>
    </xf>
    <xf numFmtId="0" fontId="19" fillId="0" borderId="30" xfId="0" applyFont="1" applyFill="1" applyBorder="1" applyAlignment="1">
      <alignment horizontal="center"/>
    </xf>
    <xf numFmtId="0" fontId="19" fillId="0" borderId="31" xfId="0" applyFont="1" applyFill="1" applyBorder="1" applyAlignment="1">
      <alignment horizontal="center"/>
    </xf>
    <xf numFmtId="0" fontId="22" fillId="0" borderId="25" xfId="0" applyFont="1" applyFill="1" applyBorder="1" applyAlignment="1">
      <alignment horizontal="center"/>
    </xf>
    <xf numFmtId="0" fontId="22" fillId="0" borderId="26" xfId="0" applyFont="1" applyFill="1" applyBorder="1" applyAlignment="1">
      <alignment horizontal="center"/>
    </xf>
    <xf numFmtId="0" fontId="19" fillId="0" borderId="34" xfId="0" applyFont="1" applyFill="1" applyBorder="1" applyAlignment="1">
      <alignment horizontal="center"/>
    </xf>
    <xf numFmtId="0" fontId="19" fillId="0" borderId="35" xfId="0" applyFont="1" applyFill="1" applyBorder="1" applyAlignment="1">
      <alignment horizontal="center"/>
    </xf>
    <xf numFmtId="0" fontId="27" fillId="0" borderId="17" xfId="0" applyFont="1" applyFill="1" applyBorder="1" applyAlignment="1">
      <alignment horizontal="center"/>
    </xf>
    <xf numFmtId="0" fontId="27" fillId="0" borderId="19" xfId="0" applyFont="1" applyFill="1" applyBorder="1" applyAlignment="1">
      <alignment horizontal="center"/>
    </xf>
    <xf numFmtId="164" fontId="22" fillId="0" borderId="20" xfId="1" applyNumberFormat="1" applyFont="1" applyFill="1" applyBorder="1" applyAlignment="1">
      <alignment horizontal="center" wrapText="1"/>
    </xf>
    <xf numFmtId="164" fontId="22" fillId="0" borderId="24" xfId="1" applyNumberFormat="1" applyFont="1" applyFill="1" applyBorder="1" applyAlignment="1">
      <alignment horizontal="center" wrapText="1"/>
    </xf>
    <xf numFmtId="0" fontId="22" fillId="0" borderId="14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2" fillId="0" borderId="13" xfId="0" applyFont="1" applyFill="1" applyBorder="1" applyAlignment="1">
      <alignment horizontal="center"/>
    </xf>
    <xf numFmtId="0" fontId="23" fillId="0" borderId="15" xfId="0" applyFont="1" applyFill="1" applyBorder="1" applyAlignment="1">
      <alignment vertical="center"/>
    </xf>
    <xf numFmtId="0" fontId="23" fillId="0" borderId="21" xfId="0" applyFont="1" applyFill="1" applyBorder="1" applyAlignment="1">
      <alignment vertical="center"/>
    </xf>
    <xf numFmtId="0" fontId="23" fillId="0" borderId="22" xfId="0" applyFont="1" applyFill="1" applyBorder="1" applyAlignment="1">
      <alignment vertical="center"/>
    </xf>
    <xf numFmtId="0" fontId="22" fillId="0" borderId="16" xfId="2" applyNumberFormat="1" applyFont="1" applyFill="1" applyBorder="1" applyAlignment="1">
      <alignment horizontal="center" wrapText="1"/>
    </xf>
    <xf numFmtId="0" fontId="22" fillId="0" borderId="20" xfId="2" applyNumberFormat="1" applyFont="1" applyFill="1" applyBorder="1" applyAlignment="1">
      <alignment horizontal="center" wrapText="1"/>
    </xf>
    <xf numFmtId="0" fontId="22" fillId="0" borderId="24" xfId="2" applyNumberFormat="1" applyFont="1" applyFill="1" applyBorder="1" applyAlignment="1">
      <alignment horizontal="center" wrapText="1"/>
    </xf>
    <xf numFmtId="164" fontId="22" fillId="0" borderId="16" xfId="1" applyNumberFormat="1" applyFont="1" applyFill="1" applyBorder="1" applyAlignment="1">
      <alignment horizontal="center" wrapText="1"/>
    </xf>
    <xf numFmtId="164" fontId="22" fillId="0" borderId="17" xfId="1" applyNumberFormat="1" applyFont="1" applyFill="1" applyBorder="1" applyAlignment="1">
      <alignment horizontal="center"/>
    </xf>
    <xf numFmtId="164" fontId="22" fillId="0" borderId="18" xfId="1" applyNumberFormat="1" applyFont="1" applyFill="1" applyBorder="1" applyAlignment="1">
      <alignment horizontal="center"/>
    </xf>
    <xf numFmtId="164" fontId="22" fillId="0" borderId="19" xfId="1" applyNumberFormat="1" applyFont="1" applyFill="1" applyBorder="1" applyAlignment="1">
      <alignment horizontal="center"/>
    </xf>
    <xf numFmtId="0" fontId="22" fillId="0" borderId="21" xfId="0" applyFont="1" applyBorder="1" applyAlignment="1">
      <alignment vertical="center"/>
    </xf>
    <xf numFmtId="0" fontId="22" fillId="0" borderId="22" xfId="0" applyFont="1" applyBorder="1" applyAlignment="1">
      <alignment vertical="center"/>
    </xf>
    <xf numFmtId="0" fontId="19" fillId="0" borderId="30" xfId="0" applyFont="1" applyFill="1" applyBorder="1" applyAlignment="1">
      <alignment horizontal="right"/>
    </xf>
    <xf numFmtId="0" fontId="19" fillId="0" borderId="33" xfId="0" applyFont="1" applyFill="1" applyBorder="1" applyAlignment="1">
      <alignment horizontal="right"/>
    </xf>
    <xf numFmtId="0" fontId="19" fillId="0" borderId="31" xfId="0" applyFont="1" applyFill="1" applyBorder="1" applyAlignment="1">
      <alignment horizontal="right"/>
    </xf>
    <xf numFmtId="0" fontId="19" fillId="0" borderId="34" xfId="0" applyFont="1" applyFill="1" applyBorder="1" applyAlignment="1">
      <alignment horizontal="right"/>
    </xf>
    <xf numFmtId="0" fontId="19" fillId="0" borderId="35" xfId="0" applyFont="1" applyFill="1" applyBorder="1" applyAlignment="1">
      <alignment horizontal="right"/>
    </xf>
    <xf numFmtId="4" fontId="22" fillId="0" borderId="17" xfId="0" applyNumberFormat="1" applyFont="1" applyFill="1" applyBorder="1" applyAlignment="1">
      <alignment horizontal="center"/>
    </xf>
    <xf numFmtId="4" fontId="22" fillId="0" borderId="18" xfId="0" applyNumberFormat="1" applyFont="1" applyFill="1" applyBorder="1" applyAlignment="1">
      <alignment horizontal="center"/>
    </xf>
    <xf numFmtId="4" fontId="22" fillId="0" borderId="19" xfId="0" applyNumberFormat="1" applyFont="1" applyFill="1" applyBorder="1" applyAlignment="1">
      <alignment horizontal="center"/>
    </xf>
    <xf numFmtId="0" fontId="23" fillId="0" borderId="15" xfId="0" applyFont="1" applyFill="1" applyBorder="1" applyAlignment="1"/>
    <xf numFmtId="0" fontId="23" fillId="0" borderId="40" xfId="0" applyFont="1" applyBorder="1" applyAlignment="1"/>
    <xf numFmtId="0" fontId="19" fillId="0" borderId="33" xfId="0" applyFont="1" applyFill="1" applyBorder="1" applyAlignment="1">
      <alignment horizontal="center"/>
    </xf>
    <xf numFmtId="168" fontId="19" fillId="0" borderId="34" xfId="0" applyNumberFormat="1" applyFont="1" applyFill="1" applyBorder="1" applyAlignment="1">
      <alignment horizontal="center"/>
    </xf>
    <xf numFmtId="168" fontId="19" fillId="0" borderId="36" xfId="0" applyNumberFormat="1" applyFont="1" applyFill="1" applyBorder="1" applyAlignment="1">
      <alignment horizontal="center"/>
    </xf>
    <xf numFmtId="0" fontId="27" fillId="0" borderId="18" xfId="0" applyFont="1" applyFill="1" applyBorder="1" applyAlignment="1">
      <alignment horizontal="center"/>
    </xf>
    <xf numFmtId="0" fontId="23" fillId="0" borderId="15" xfId="0" applyFont="1" applyFill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23" fillId="0" borderId="15" xfId="0" applyFont="1" applyFill="1" applyBorder="1" applyAlignment="1">
      <alignment horizontal="left" vertical="center"/>
    </xf>
    <xf numFmtId="0" fontId="36" fillId="0" borderId="21" xfId="0" applyFont="1" applyBorder="1" applyAlignment="1">
      <alignment horizontal="left" vertical="center"/>
    </xf>
    <xf numFmtId="0" fontId="36" fillId="0" borderId="22" xfId="0" applyFont="1" applyBorder="1" applyAlignment="1">
      <alignment horizontal="left" vertical="center"/>
    </xf>
    <xf numFmtId="0" fontId="22" fillId="0" borderId="17" xfId="0" applyFont="1" applyBorder="1" applyAlignment="1">
      <alignment horizontal="center"/>
    </xf>
    <xf numFmtId="0" fontId="22" fillId="0" borderId="18" xfId="0" applyFont="1" applyBorder="1" applyAlignment="1">
      <alignment horizontal="center"/>
    </xf>
    <xf numFmtId="0" fontId="22" fillId="0" borderId="19" xfId="0" applyFont="1" applyBorder="1" applyAlignment="1">
      <alignment horizontal="center"/>
    </xf>
    <xf numFmtId="0" fontId="36" fillId="0" borderId="21" xfId="0" applyFont="1" applyBorder="1" applyAlignment="1">
      <alignment vertical="center"/>
    </xf>
    <xf numFmtId="0" fontId="36" fillId="0" borderId="22" xfId="0" applyFont="1" applyBorder="1" applyAlignment="1">
      <alignment vertical="center"/>
    </xf>
    <xf numFmtId="164" fontId="22" fillId="0" borderId="46" xfId="1" applyNumberFormat="1" applyFont="1" applyFill="1" applyBorder="1" applyAlignment="1">
      <alignment horizontal="center"/>
    </xf>
    <xf numFmtId="164" fontId="22" fillId="0" borderId="14" xfId="1" applyNumberFormat="1" applyFont="1" applyFill="1" applyBorder="1" applyAlignment="1">
      <alignment horizontal="center"/>
    </xf>
    <xf numFmtId="164" fontId="22" fillId="0" borderId="15" xfId="1" applyNumberFormat="1" applyFont="1" applyFill="1" applyBorder="1" applyAlignment="1">
      <alignment horizontal="center"/>
    </xf>
    <xf numFmtId="1" fontId="22" fillId="0" borderId="16" xfId="0" applyNumberFormat="1" applyFont="1" applyFill="1" applyBorder="1" applyAlignment="1">
      <alignment horizontal="center" wrapText="1"/>
    </xf>
    <xf numFmtId="1" fontId="22" fillId="0" borderId="20" xfId="0" applyNumberFormat="1" applyFont="1" applyFill="1" applyBorder="1" applyAlignment="1">
      <alignment horizontal="center" wrapText="1"/>
    </xf>
    <xf numFmtId="1" fontId="22" fillId="0" borderId="24" xfId="0" applyNumberFormat="1" applyFont="1" applyFill="1" applyBorder="1" applyAlignment="1">
      <alignment horizontal="center" wrapText="1"/>
    </xf>
    <xf numFmtId="0" fontId="27" fillId="0" borderId="30" xfId="0" applyFont="1" applyFill="1" applyBorder="1" applyAlignment="1">
      <alignment horizontal="center"/>
    </xf>
    <xf numFmtId="0" fontId="27" fillId="0" borderId="31" xfId="0" applyFont="1" applyFill="1" applyBorder="1" applyAlignment="1">
      <alignment horizontal="center"/>
    </xf>
    <xf numFmtId="164" fontId="24" fillId="0" borderId="19" xfId="1" applyNumberFormat="1" applyFont="1" applyBorder="1" applyAlignment="1">
      <alignment horizontal="center"/>
    </xf>
    <xf numFmtId="0" fontId="22" fillId="0" borderId="15" xfId="0" applyFont="1" applyFill="1" applyBorder="1" applyAlignment="1">
      <alignment horizontal="center"/>
    </xf>
    <xf numFmtId="0" fontId="22" fillId="0" borderId="46" xfId="0" applyFont="1" applyFill="1" applyBorder="1" applyAlignment="1">
      <alignment horizontal="center"/>
    </xf>
    <xf numFmtId="0" fontId="24" fillId="0" borderId="15" xfId="0" applyFont="1" applyBorder="1" applyAlignment="1"/>
    <xf numFmtId="0" fontId="22" fillId="0" borderId="29" xfId="0" applyFont="1" applyFill="1" applyBorder="1" applyAlignment="1">
      <alignment horizontal="center"/>
    </xf>
    <xf numFmtId="0" fontId="22" fillId="0" borderId="40" xfId="0" applyFont="1" applyFill="1" applyBorder="1" applyAlignment="1">
      <alignment horizontal="center"/>
    </xf>
    <xf numFmtId="0" fontId="22" fillId="0" borderId="17" xfId="0" applyFont="1" applyFill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19" xfId="0" applyFont="1" applyFill="1" applyBorder="1" applyAlignment="1">
      <alignment horizontal="center"/>
    </xf>
    <xf numFmtId="0" fontId="19" fillId="0" borderId="19" xfId="0" applyFont="1" applyFill="1" applyBorder="1" applyAlignment="1">
      <alignment horizontal="center"/>
    </xf>
  </cellXfs>
  <cellStyles count="45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Currency" xfId="2" builtinId="4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te" xfId="18" builtinId="10" customBuiltin="1"/>
    <cellStyle name="Output" xfId="13" builtinId="21" customBuiltin="1"/>
    <cellStyle name="Percent" xfId="3" builtinId="5"/>
    <cellStyle name="Title" xfId="4" builtinId="15" customBuiltin="1"/>
    <cellStyle name="Total" xfId="20" builtinId="25" customBuiltin="1"/>
    <cellStyle name="Warning Text" xfId="17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%20Data%20Coordinator/PLS/FY16-17/Tables/Draft/FY16-17DraftStatisticalReports.xls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%20Data%20Coordinator/PLS/FY2015-2016/Tables/2015-2016StatisticalReportsTable_Draft_upd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Table 1"/>
      <sheetName val="Table 2"/>
      <sheetName val="Table 3"/>
      <sheetName val="Table  4"/>
      <sheetName val="Table 5"/>
      <sheetName val="Table 6"/>
      <sheetName val="Table 7"/>
      <sheetName val="Table 8"/>
      <sheetName val="Table 9"/>
      <sheetName val="Table 10"/>
      <sheetName val="Table 11"/>
      <sheetName val="Table 12"/>
      <sheetName val="Table 13"/>
      <sheetName val="Table 14"/>
      <sheetName val="All"/>
    </sheetNames>
    <definedNames>
      <definedName name="Data" refersTo="='All'!$A$4:$MB$84"/>
    </definedNames>
    <sheetDataSet>
      <sheetData sheetId="0">
        <row r="4">
          <cell r="B4" t="str">
            <v xml:space="preserve">                           DRAFT  Statistical Report of North Carolina Public Libraries, July 1, 2016- June 30, 2017</v>
          </cell>
        </row>
        <row r="6">
          <cell r="B6" t="str">
            <v>Collections/Circulation</v>
          </cell>
        </row>
        <row r="7">
          <cell r="C7" t="str">
            <v>Total</v>
          </cell>
          <cell r="D7" t="str">
            <v>Print Book</v>
          </cell>
          <cell r="E7" t="str">
            <v xml:space="preserve">Total </v>
          </cell>
          <cell r="F7" t="str">
            <v>Print Book</v>
          </cell>
          <cell r="G7" t="str">
            <v xml:space="preserve">Electronic </v>
          </cell>
          <cell r="H7" t="str">
            <v>Cost per</v>
          </cell>
          <cell r="I7" t="str">
            <v>Grand</v>
          </cell>
        </row>
        <row r="8">
          <cell r="C8" t="str">
            <v>Print Book</v>
          </cell>
          <cell r="D8" t="str">
            <v>Volumes</v>
          </cell>
          <cell r="E8" t="str">
            <v>Print Book</v>
          </cell>
          <cell r="F8" t="str">
            <v>Circulation</v>
          </cell>
          <cell r="G8" t="str">
            <v>Materials</v>
          </cell>
          <cell r="H8" t="str">
            <v>Total</v>
          </cell>
          <cell r="I8" t="str">
            <v>Total</v>
          </cell>
        </row>
        <row r="9">
          <cell r="B9" t="str">
            <v>Year</v>
          </cell>
          <cell r="C9" t="str">
            <v>Volumes</v>
          </cell>
          <cell r="D9" t="str">
            <v>Per Capita</v>
          </cell>
          <cell r="E9" t="str">
            <v>Circulation</v>
          </cell>
          <cell r="F9" t="str">
            <v>Per Capita</v>
          </cell>
          <cell r="G9" t="str">
            <v>Usage*</v>
          </cell>
          <cell r="H9" t="str">
            <v>Circulation ($)</v>
          </cell>
          <cell r="I9" t="str">
            <v>Circulation**</v>
          </cell>
        </row>
        <row r="10">
          <cell r="B10" t="str">
            <v>2012-2013</v>
          </cell>
          <cell r="C10">
            <v>16516721</v>
          </cell>
          <cell r="D10">
            <v>1.6423626955329107</v>
          </cell>
          <cell r="E10">
            <v>41433833</v>
          </cell>
          <cell r="F10">
            <v>4.1200297354505455</v>
          </cell>
          <cell r="G10">
            <v>1923426</v>
          </cell>
          <cell r="H10">
            <v>3.6978150634223197</v>
          </cell>
          <cell r="I10">
            <v>52705420</v>
          </cell>
        </row>
        <row r="11">
          <cell r="B11" t="str">
            <v>2013-2014</v>
          </cell>
          <cell r="C11">
            <v>16751726</v>
          </cell>
          <cell r="D11">
            <v>1.6657307384552142</v>
          </cell>
          <cell r="E11">
            <v>40655365</v>
          </cell>
          <cell r="F11">
            <v>4.04262170737608</v>
          </cell>
          <cell r="G11">
            <v>2555501</v>
          </cell>
          <cell r="H11">
            <v>3.8299368362597574</v>
          </cell>
          <cell r="I11">
            <v>52848517</v>
          </cell>
        </row>
        <row r="12">
          <cell r="B12" t="str">
            <v>2014-2015</v>
          </cell>
          <cell r="C12">
            <v>16035113</v>
          </cell>
          <cell r="D12">
            <v>1.5944733467287375</v>
          </cell>
          <cell r="E12">
            <v>39279024</v>
          </cell>
          <cell r="F12">
            <v>3.9057633615377951</v>
          </cell>
          <cell r="G12">
            <v>3279927</v>
          </cell>
          <cell r="H12">
            <v>4.0853234694953935</v>
          </cell>
          <cell r="I12">
            <v>51495304</v>
          </cell>
        </row>
        <row r="13">
          <cell r="B13" t="str">
            <v>2015-2016</v>
          </cell>
          <cell r="C13">
            <v>15583977</v>
          </cell>
          <cell r="D13">
            <v>1.549614022834368</v>
          </cell>
          <cell r="E13">
            <v>37314196</v>
          </cell>
          <cell r="F13">
            <v>3.7103880076562024</v>
          </cell>
          <cell r="G13">
            <v>11200066</v>
          </cell>
          <cell r="H13">
            <v>3.8003045074653068</v>
          </cell>
          <cell r="I13">
            <v>56914204</v>
          </cell>
        </row>
        <row r="14">
          <cell r="B14" t="str">
            <v>2016-2017</v>
          </cell>
          <cell r="C14">
            <v>15523774</v>
          </cell>
          <cell r="D14">
            <v>1.5171803334444229</v>
          </cell>
          <cell r="E14">
            <v>36562723</v>
          </cell>
          <cell r="F14">
            <v>3.5733736057208811</v>
          </cell>
          <cell r="G14">
            <v>13496305</v>
          </cell>
          <cell r="H14">
            <v>5.6770193124896835</v>
          </cell>
          <cell r="I14">
            <v>57878758</v>
          </cell>
        </row>
        <row r="15">
          <cell r="B15" t="str">
            <v>Trend</v>
          </cell>
        </row>
        <row r="16">
          <cell r="B16" t="str">
            <v>Operating Income</v>
          </cell>
        </row>
        <row r="17">
          <cell r="C17" t="str">
            <v>Local</v>
          </cell>
          <cell r="D17" t="str">
            <v>Local Income</v>
          </cell>
          <cell r="E17" t="str">
            <v>Total</v>
          </cell>
          <cell r="F17" t="str">
            <v>State Aid</v>
          </cell>
          <cell r="G17" t="str">
            <v>Federal</v>
          </cell>
          <cell r="H17" t="str">
            <v>Total</v>
          </cell>
          <cell r="I17" t="str">
            <v>Total Income</v>
          </cell>
        </row>
        <row r="18">
          <cell r="B18" t="str">
            <v>Year</v>
          </cell>
          <cell r="C18" t="str">
            <v>Income ($)</v>
          </cell>
          <cell r="D18" t="str">
            <v>Per Capita ($)</v>
          </cell>
          <cell r="E18" t="str">
            <v>State Aid ($)</v>
          </cell>
          <cell r="F18" t="str">
            <v>Per Capita ($)</v>
          </cell>
          <cell r="G18" t="str">
            <v>Income</v>
          </cell>
          <cell r="H18" t="str">
            <v>Income</v>
          </cell>
          <cell r="I18" t="str">
            <v>Per capita ($)</v>
          </cell>
        </row>
        <row r="19">
          <cell r="B19" t="str">
            <v>2012-2013</v>
          </cell>
          <cell r="C19">
            <v>177206394</v>
          </cell>
          <cell r="D19">
            <v>17.62075964808675</v>
          </cell>
          <cell r="E19">
            <v>13518665</v>
          </cell>
          <cell r="F19">
            <v>1.3442469052668757</v>
          </cell>
          <cell r="G19">
            <v>1675778</v>
          </cell>
          <cell r="H19">
            <v>206160285</v>
          </cell>
          <cell r="I19">
            <v>20.49982931747973</v>
          </cell>
        </row>
        <row r="20">
          <cell r="B20" t="str">
            <v>2013-2014</v>
          </cell>
          <cell r="C20">
            <v>183175780</v>
          </cell>
          <cell r="D20">
            <v>18.214333692331756</v>
          </cell>
          <cell r="E20">
            <v>13851494</v>
          </cell>
          <cell r="F20">
            <v>1.3773422111445692</v>
          </cell>
          <cell r="G20">
            <v>1606642</v>
          </cell>
          <cell r="H20">
            <v>212601150</v>
          </cell>
          <cell r="I20">
            <v>21.140285519589312</v>
          </cell>
        </row>
        <row r="21">
          <cell r="B21" t="str">
            <v>2014-2015</v>
          </cell>
          <cell r="C21">
            <v>192488470</v>
          </cell>
          <cell r="D21">
            <v>19.140353732935601</v>
          </cell>
          <cell r="E21">
            <v>13231062</v>
          </cell>
          <cell r="F21">
            <v>1.3156487084260287</v>
          </cell>
          <cell r="G21">
            <v>1669041</v>
          </cell>
          <cell r="H21">
            <v>218302244</v>
          </cell>
          <cell r="I21">
            <v>21.707181582635148</v>
          </cell>
        </row>
        <row r="22">
          <cell r="B22" t="str">
            <v>2015-2016</v>
          </cell>
          <cell r="C22">
            <v>197009535</v>
          </cell>
          <cell r="D22">
            <v>19.589912001800197</v>
          </cell>
          <cell r="E22">
            <v>14207033</v>
          </cell>
          <cell r="F22">
            <v>1.4126957168680767</v>
          </cell>
          <cell r="G22">
            <v>1811433</v>
          </cell>
          <cell r="H22">
            <v>223704770</v>
          </cell>
          <cell r="I22">
            <v>22.244389129099524</v>
          </cell>
        </row>
        <row r="23">
          <cell r="B23" t="str">
            <v>2016-2017</v>
          </cell>
          <cell r="C23">
            <v>209514071</v>
          </cell>
          <cell r="D23">
            <v>20.476375661039544</v>
          </cell>
          <cell r="E23">
            <v>14796434</v>
          </cell>
          <cell r="F23">
            <v>1.4460954320713761</v>
          </cell>
          <cell r="G23">
            <v>1607567</v>
          </cell>
          <cell r="H23">
            <v>236262819</v>
          </cell>
          <cell r="I23">
            <v>23.090603000980259</v>
          </cell>
        </row>
        <row r="24">
          <cell r="B24" t="str">
            <v>Trend</v>
          </cell>
        </row>
        <row r="25">
          <cell r="B25" t="str">
            <v>Operating Expenditures</v>
          </cell>
        </row>
        <row r="26">
          <cell r="C26" t="str">
            <v>Personnel</v>
          </cell>
          <cell r="D26" t="str">
            <v>Personnel</v>
          </cell>
          <cell r="E26" t="str">
            <v>Materials</v>
          </cell>
          <cell r="F26" t="str">
            <v>Materials</v>
          </cell>
          <cell r="G26" t="str">
            <v>Other</v>
          </cell>
          <cell r="H26" t="str">
            <v>Other</v>
          </cell>
          <cell r="I26" t="str">
            <v>Total</v>
          </cell>
        </row>
        <row r="27">
          <cell r="B27" t="str">
            <v>Year</v>
          </cell>
          <cell r="C27" t="str">
            <v>Expenses ($)</v>
          </cell>
          <cell r="D27" t="str">
            <v>Per Capita ($)</v>
          </cell>
          <cell r="E27" t="str">
            <v>Expenses ($)</v>
          </cell>
          <cell r="F27" t="str">
            <v>Per Capita ($)</v>
          </cell>
          <cell r="G27" t="str">
            <v>Expenses ($)</v>
          </cell>
          <cell r="H27" t="str">
            <v>Per Capita ($)</v>
          </cell>
          <cell r="I27" t="str">
            <v>Per Capita ($)</v>
          </cell>
        </row>
        <row r="28">
          <cell r="B28" t="str">
            <v>2012-2013</v>
          </cell>
          <cell r="C28">
            <v>137651547</v>
          </cell>
          <cell r="D28">
            <v>13.687569450086077</v>
          </cell>
          <cell r="E28">
            <v>20902474</v>
          </cell>
          <cell r="F28">
            <v>2.0784660309965024</v>
          </cell>
          <cell r="G28">
            <v>36340875</v>
          </cell>
          <cell r="H28">
            <v>3.6136045055810153</v>
          </cell>
          <cell r="I28">
            <v>19.379639986663594</v>
          </cell>
        </row>
        <row r="29">
          <cell r="B29" t="str">
            <v>2013-2014</v>
          </cell>
          <cell r="C29">
            <v>142247644</v>
          </cell>
          <cell r="D29">
            <v>14.14458862827833</v>
          </cell>
          <cell r="E29">
            <v>21679327</v>
          </cell>
          <cell r="F29">
            <v>2.1557134693417304</v>
          </cell>
          <cell r="G29">
            <v>38479511</v>
          </cell>
          <cell r="H29">
            <v>3.8262626951649961</v>
          </cell>
          <cell r="I29">
            <v>20.126564792785057</v>
          </cell>
        </row>
        <row r="30">
          <cell r="B30" t="str">
            <v>2014-2015</v>
          </cell>
          <cell r="C30">
            <v>148060276</v>
          </cell>
          <cell r="D30">
            <v>14.722575624587153</v>
          </cell>
          <cell r="E30">
            <v>22816663</v>
          </cell>
          <cell r="F30">
            <v>2.2688060267982992</v>
          </cell>
          <cell r="G30">
            <v>39498035</v>
          </cell>
          <cell r="H30">
            <v>3.9275410192406381</v>
          </cell>
          <cell r="I30">
            <v>20.918922670626092</v>
          </cell>
        </row>
        <row r="31">
          <cell r="B31" t="str">
            <v>2015-2016</v>
          </cell>
          <cell r="C31">
            <v>151564562</v>
          </cell>
          <cell r="D31">
            <v>15.071029085832775</v>
          </cell>
          <cell r="E31">
            <v>23318997</v>
          </cell>
          <cell r="F31">
            <v>2.3187562937004178</v>
          </cell>
          <cell r="G31">
            <v>41407747</v>
          </cell>
          <cell r="H31">
            <v>4.1174358384369878</v>
          </cell>
          <cell r="I31">
            <v>21.50722121797018</v>
          </cell>
        </row>
        <row r="32">
          <cell r="B32" t="str">
            <v>2016-2017</v>
          </cell>
          <cell r="C32">
            <v>157518816</v>
          </cell>
          <cell r="D32">
            <v>15.394739048806732</v>
          </cell>
          <cell r="E32">
            <v>25610589</v>
          </cell>
          <cell r="F32">
            <v>2.5029919888506535</v>
          </cell>
          <cell r="G32">
            <v>42826978</v>
          </cell>
          <cell r="H32">
            <v>4.1855961548046858</v>
          </cell>
          <cell r="I32">
            <v>22.117017999431194</v>
          </cell>
        </row>
        <row r="33">
          <cell r="B33" t="str">
            <v>Trend</v>
          </cell>
        </row>
        <row r="34">
          <cell r="B34" t="str">
            <v>Service Measures</v>
          </cell>
        </row>
        <row r="35">
          <cell r="D35" t="str">
            <v>Reference</v>
          </cell>
          <cell r="F35" t="str">
            <v xml:space="preserve">Library </v>
          </cell>
          <cell r="H35" t="str">
            <v xml:space="preserve">Public </v>
          </cell>
        </row>
        <row r="36">
          <cell r="C36" t="str">
            <v>Reference</v>
          </cell>
          <cell r="D36" t="str">
            <v>Questions</v>
          </cell>
          <cell r="E36" t="str">
            <v>Library</v>
          </cell>
          <cell r="F36" t="str">
            <v>Visits</v>
          </cell>
          <cell r="G36" t="str">
            <v>Registered</v>
          </cell>
          <cell r="H36" t="str">
            <v>Computer</v>
          </cell>
          <cell r="I36" t="str">
            <v>Annual</v>
          </cell>
        </row>
        <row r="37">
          <cell r="B37" t="str">
            <v>Year</v>
          </cell>
          <cell r="C37" t="str">
            <v>Questions</v>
          </cell>
          <cell r="D37" t="str">
            <v>Per Capita</v>
          </cell>
          <cell r="E37" t="str">
            <v>Visits</v>
          </cell>
          <cell r="F37" t="str">
            <v>Per Capita</v>
          </cell>
          <cell r="G37" t="str">
            <v>Borrowers</v>
          </cell>
          <cell r="H37" t="str">
            <v>Usage</v>
          </cell>
          <cell r="I37" t="str">
            <v>Hours</v>
          </cell>
        </row>
        <row r="38">
          <cell r="B38" t="str">
            <v>2012-2013</v>
          </cell>
          <cell r="C38">
            <v>9103160</v>
          </cell>
          <cell r="D38">
            <v>0.90518513907617448</v>
          </cell>
          <cell r="E38">
            <v>35655287</v>
          </cell>
          <cell r="F38">
            <v>3.5454321270741058</v>
          </cell>
          <cell r="G38">
            <v>5441968</v>
          </cell>
          <cell r="H38">
            <v>8582110</v>
          </cell>
          <cell r="I38">
            <v>919597</v>
          </cell>
        </row>
        <row r="39">
          <cell r="B39" t="str">
            <v>2013-2014</v>
          </cell>
          <cell r="C39">
            <v>6723220</v>
          </cell>
          <cell r="D39">
            <v>0.66853255690768021</v>
          </cell>
          <cell r="E39">
            <v>35106249</v>
          </cell>
          <cell r="F39">
            <v>3.4908377841878879</v>
          </cell>
          <cell r="G39">
            <v>5059879</v>
          </cell>
          <cell r="H39">
            <v>7806189</v>
          </cell>
          <cell r="I39">
            <v>920240</v>
          </cell>
        </row>
        <row r="40">
          <cell r="B40" t="str">
            <v>2014-2015</v>
          </cell>
          <cell r="C40">
            <v>6718938</v>
          </cell>
          <cell r="D40">
            <v>0.66810677039337918</v>
          </cell>
          <cell r="E40">
            <v>35523633</v>
          </cell>
          <cell r="F40">
            <v>3.5323409318957353</v>
          </cell>
          <cell r="G40">
            <v>5128357</v>
          </cell>
          <cell r="H40">
            <v>7340714</v>
          </cell>
          <cell r="I40">
            <v>928242</v>
          </cell>
        </row>
        <row r="41">
          <cell r="B41" t="str">
            <v>2015-2016</v>
          </cell>
          <cell r="C41">
            <v>6421224</v>
          </cell>
          <cell r="D41">
            <v>0.63850317246750243</v>
          </cell>
          <cell r="E41">
            <v>33462021</v>
          </cell>
          <cell r="F41">
            <v>3.3273417288781997</v>
          </cell>
          <cell r="G41">
            <v>5497023</v>
          </cell>
          <cell r="H41">
            <v>6576183</v>
          </cell>
          <cell r="I41">
            <v>943313</v>
          </cell>
        </row>
        <row r="42">
          <cell r="B42" t="str">
            <v>2016-2017</v>
          </cell>
          <cell r="C42">
            <v>6946172</v>
          </cell>
          <cell r="D42">
            <v>0.67886813806502944</v>
          </cell>
          <cell r="E42">
            <v>32621293</v>
          </cell>
          <cell r="F42">
            <v>3.1881670134548608</v>
          </cell>
          <cell r="G42">
            <v>5647452</v>
          </cell>
          <cell r="H42">
            <v>5924918</v>
          </cell>
          <cell r="I42">
            <v>944993</v>
          </cell>
        </row>
        <row r="43">
          <cell r="B43" t="str">
            <v>Trend</v>
          </cell>
        </row>
        <row r="44">
          <cell r="B44" t="str">
            <v>Program/FTE Staff Measures</v>
          </cell>
        </row>
        <row r="45">
          <cell r="C45" t="str">
            <v>Total</v>
          </cell>
          <cell r="D45" t="str">
            <v>Program</v>
          </cell>
          <cell r="E45" t="str">
            <v>Attendance</v>
          </cell>
          <cell r="F45" t="str">
            <v>Total</v>
          </cell>
          <cell r="G45" t="str">
            <v>Total</v>
          </cell>
          <cell r="H45" t="str">
            <v>FTE Staff Per</v>
          </cell>
          <cell r="I45" t="str">
            <v>% Staff</v>
          </cell>
        </row>
        <row r="46">
          <cell r="B46" t="str">
            <v>Year</v>
          </cell>
          <cell r="C46" t="str">
            <v>Programs</v>
          </cell>
          <cell r="D46" t="str">
            <v>Attendance</v>
          </cell>
          <cell r="E46" t="str">
            <v>Per Capita</v>
          </cell>
          <cell r="F46" t="str">
            <v>ALA MLS</v>
          </cell>
          <cell r="G46" t="str">
            <v>FTE Staff</v>
          </cell>
          <cell r="H46" t="str">
            <v>25,000 Pop.</v>
          </cell>
          <cell r="I46" t="str">
            <v>with ALA MLS</v>
          </cell>
        </row>
        <row r="47">
          <cell r="B47" t="str">
            <v>2012-2013</v>
          </cell>
          <cell r="C47">
            <v>111799</v>
          </cell>
          <cell r="D47">
            <v>2592184</v>
          </cell>
          <cell r="E47">
            <v>0.25775735399037636</v>
          </cell>
          <cell r="F47">
            <v>717.02999999999986</v>
          </cell>
          <cell r="G47">
            <v>2881.07</v>
          </cell>
          <cell r="H47">
            <v>7.1620781921832481</v>
          </cell>
          <cell r="I47">
            <v>0.2488762855466892</v>
          </cell>
        </row>
        <row r="48">
          <cell r="B48" t="str">
            <v>2013-2014</v>
          </cell>
          <cell r="C48">
            <v>120019</v>
          </cell>
          <cell r="D48">
            <v>2605492</v>
          </cell>
          <cell r="E48">
            <v>0.25908065313384143</v>
          </cell>
          <cell r="F48">
            <v>718.87999999999988</v>
          </cell>
          <cell r="G48">
            <v>2906.83</v>
          </cell>
          <cell r="H48">
            <v>7.2261152111486462</v>
          </cell>
          <cell r="I48">
            <v>0.2473072040676613</v>
          </cell>
        </row>
        <row r="49">
          <cell r="B49" t="str">
            <v>2014-2015</v>
          </cell>
          <cell r="C49">
            <v>126622</v>
          </cell>
          <cell r="D49">
            <v>2697782</v>
          </cell>
          <cell r="E49">
            <v>0.26825763524613433</v>
          </cell>
          <cell r="F49">
            <v>743.64</v>
          </cell>
          <cell r="G49">
            <v>2966.3499999999995</v>
          </cell>
          <cell r="H49">
            <v>7.3740765220500624</v>
          </cell>
          <cell r="I49">
            <v>0.20174361498595209</v>
          </cell>
        </row>
        <row r="50">
          <cell r="B50" t="str">
            <v>2015-2016</v>
          </cell>
          <cell r="C50">
            <v>141704</v>
          </cell>
          <cell r="D50">
            <v>2969203</v>
          </cell>
          <cell r="E50">
            <v>0.29524675283092844</v>
          </cell>
          <cell r="F50">
            <v>763.56</v>
          </cell>
          <cell r="G50">
            <v>3038.36</v>
          </cell>
          <cell r="H50">
            <v>7.5530868378768634</v>
          </cell>
          <cell r="I50">
            <v>0.25130000000000002</v>
          </cell>
        </row>
        <row r="51">
          <cell r="B51" t="str">
            <v>2016-2017</v>
          </cell>
          <cell r="C51">
            <v>146417</v>
          </cell>
          <cell r="D51">
            <v>3027660</v>
          </cell>
          <cell r="E51">
            <v>0.29590138379728675</v>
          </cell>
          <cell r="F51">
            <v>669.43000000000006</v>
          </cell>
          <cell r="G51">
            <v>3059.0300000000016</v>
          </cell>
          <cell r="H51">
            <v>7.474181464211755</v>
          </cell>
          <cell r="I51">
            <v>0.20592469135802474</v>
          </cell>
        </row>
        <row r="52">
          <cell r="B52" t="str">
            <v>Trend</v>
          </cell>
        </row>
        <row r="55">
          <cell r="B55" t="str">
            <v xml:space="preserve">*2015-16 includes database usage along with ebooks, downloadable audio, downloadable video, and eperiodicals for the first time. </v>
          </cell>
        </row>
        <row r="56">
          <cell r="B56" t="str">
            <v>**The number also includes database usage for the first time.</v>
          </cell>
        </row>
      </sheetData>
      <sheetData sheetId="1">
        <row r="4">
          <cell r="C4" t="str">
            <v>NC Dept. of Commerce tier designation (2014)</v>
          </cell>
          <cell r="D4" t="str">
            <v>Legal service population area</v>
          </cell>
          <cell r="E4" t="str">
            <v>Service outlets</v>
          </cell>
          <cell r="I4" t="str">
            <v>Annual hours</v>
          </cell>
        </row>
        <row r="5">
          <cell r="E5" t="str">
            <v>Central</v>
          </cell>
          <cell r="F5" t="str">
            <v>Branches</v>
          </cell>
          <cell r="G5" t="str">
            <v>Bookmobiles</v>
          </cell>
          <cell r="H5" t="str">
            <v>Other mobile units</v>
          </cell>
        </row>
        <row r="6">
          <cell r="E6" t="str">
            <v>Central</v>
          </cell>
          <cell r="F6" t="str">
            <v>Branches</v>
          </cell>
          <cell r="G6" t="str">
            <v>Bookmobiles</v>
          </cell>
          <cell r="H6" t="str">
            <v>Mobile units</v>
          </cell>
        </row>
        <row r="7">
          <cell r="B7" t="str">
            <v>County Libraries</v>
          </cell>
        </row>
        <row r="8">
          <cell r="A8" t="str">
            <v>NC0103</v>
          </cell>
          <cell r="B8" t="str">
            <v>Alamance</v>
          </cell>
          <cell r="D8">
            <v>159054</v>
          </cell>
          <cell r="E8">
            <v>1</v>
          </cell>
          <cell r="F8">
            <v>4</v>
          </cell>
          <cell r="G8">
            <v>0</v>
          </cell>
          <cell r="H8">
            <v>0</v>
          </cell>
          <cell r="I8">
            <v>11648</v>
          </cell>
        </row>
        <row r="9">
          <cell r="A9" t="str">
            <v>NC0016</v>
          </cell>
          <cell r="B9" t="str">
            <v>Alexander</v>
          </cell>
          <cell r="D9">
            <v>38284</v>
          </cell>
          <cell r="E9">
            <v>1</v>
          </cell>
          <cell r="F9">
            <v>1</v>
          </cell>
          <cell r="G9">
            <v>0</v>
          </cell>
          <cell r="H9">
            <v>0</v>
          </cell>
          <cell r="I9">
            <v>3801</v>
          </cell>
        </row>
        <row r="10">
          <cell r="A10" t="str">
            <v>NC0017</v>
          </cell>
          <cell r="B10" t="str">
            <v>Bladen</v>
          </cell>
          <cell r="D10">
            <v>34667</v>
          </cell>
          <cell r="E10">
            <v>1</v>
          </cell>
          <cell r="F10">
            <v>2</v>
          </cell>
          <cell r="G10">
            <v>1</v>
          </cell>
          <cell r="H10">
            <v>2</v>
          </cell>
          <cell r="I10">
            <v>6494</v>
          </cell>
        </row>
        <row r="11">
          <cell r="A11" t="str">
            <v>NC0018</v>
          </cell>
          <cell r="B11" t="str">
            <v>Brunswick</v>
          </cell>
          <cell r="D11">
            <v>127750</v>
          </cell>
          <cell r="E11">
            <v>0</v>
          </cell>
          <cell r="F11">
            <v>5</v>
          </cell>
          <cell r="G11">
            <v>0</v>
          </cell>
          <cell r="H11">
            <v>0</v>
          </cell>
          <cell r="I11">
            <v>11850</v>
          </cell>
        </row>
        <row r="12">
          <cell r="A12" t="str">
            <v>NC0019</v>
          </cell>
          <cell r="B12" t="str">
            <v>Buncombe</v>
          </cell>
          <cell r="D12">
            <v>258406</v>
          </cell>
          <cell r="E12">
            <v>1</v>
          </cell>
          <cell r="F12">
            <v>12</v>
          </cell>
          <cell r="G12">
            <v>0</v>
          </cell>
          <cell r="H12">
            <v>0</v>
          </cell>
          <cell r="I12">
            <v>32084</v>
          </cell>
        </row>
        <row r="13">
          <cell r="A13" t="str">
            <v>NC0020</v>
          </cell>
          <cell r="B13" t="str">
            <v>Burke</v>
          </cell>
          <cell r="D13">
            <v>89747</v>
          </cell>
          <cell r="E13">
            <v>1</v>
          </cell>
          <cell r="F13">
            <v>2</v>
          </cell>
          <cell r="G13">
            <v>0</v>
          </cell>
          <cell r="H13">
            <v>1</v>
          </cell>
          <cell r="I13">
            <v>7332</v>
          </cell>
        </row>
        <row r="14">
          <cell r="A14" t="str">
            <v>NC0021</v>
          </cell>
          <cell r="B14" t="str">
            <v>Cabarrus</v>
          </cell>
          <cell r="D14">
            <v>200663</v>
          </cell>
          <cell r="E14">
            <v>1</v>
          </cell>
          <cell r="F14">
            <v>3</v>
          </cell>
          <cell r="G14">
            <v>0</v>
          </cell>
          <cell r="H14">
            <v>1</v>
          </cell>
          <cell r="I14">
            <v>11354</v>
          </cell>
        </row>
        <row r="15">
          <cell r="A15" t="str">
            <v>NC0022</v>
          </cell>
          <cell r="B15" t="str">
            <v>Caldwell</v>
          </cell>
          <cell r="D15">
            <v>82772</v>
          </cell>
          <cell r="E15">
            <v>1</v>
          </cell>
          <cell r="F15">
            <v>2</v>
          </cell>
          <cell r="G15">
            <v>0</v>
          </cell>
          <cell r="H15">
            <v>0</v>
          </cell>
          <cell r="I15">
            <v>7228</v>
          </cell>
        </row>
        <row r="16">
          <cell r="A16" t="str">
            <v>NC0107</v>
          </cell>
          <cell r="B16" t="str">
            <v>Caswell</v>
          </cell>
          <cell r="D16">
            <v>23689</v>
          </cell>
          <cell r="E16">
            <v>1</v>
          </cell>
          <cell r="F16">
            <v>0</v>
          </cell>
          <cell r="G16">
            <v>0</v>
          </cell>
          <cell r="H16">
            <v>1</v>
          </cell>
          <cell r="I16">
            <v>2387</v>
          </cell>
        </row>
        <row r="17">
          <cell r="A17" t="str">
            <v>NC0023</v>
          </cell>
          <cell r="B17" t="str">
            <v>Catawba</v>
          </cell>
          <cell r="D17">
            <v>116108</v>
          </cell>
          <cell r="E17">
            <v>1</v>
          </cell>
          <cell r="F17">
            <v>6</v>
          </cell>
          <cell r="G17">
            <v>0</v>
          </cell>
          <cell r="H17">
            <v>0</v>
          </cell>
          <cell r="I17">
            <v>16796</v>
          </cell>
        </row>
        <row r="18">
          <cell r="A18" t="str">
            <v>NC0104</v>
          </cell>
          <cell r="B18" t="str">
            <v>Chatham</v>
          </cell>
          <cell r="D18">
            <v>73286</v>
          </cell>
          <cell r="E18">
            <v>1</v>
          </cell>
          <cell r="F18">
            <v>2</v>
          </cell>
          <cell r="G18">
            <v>0</v>
          </cell>
          <cell r="H18">
            <v>0</v>
          </cell>
          <cell r="I18">
            <v>7100</v>
          </cell>
        </row>
        <row r="19">
          <cell r="A19" t="str">
            <v>NC0024</v>
          </cell>
          <cell r="B19" t="str">
            <v>Cleveland</v>
          </cell>
          <cell r="D19">
            <v>88601</v>
          </cell>
          <cell r="E19">
            <v>1</v>
          </cell>
          <cell r="F19">
            <v>1</v>
          </cell>
          <cell r="G19">
            <v>0</v>
          </cell>
          <cell r="H19">
            <v>1</v>
          </cell>
          <cell r="I19">
            <v>3597</v>
          </cell>
        </row>
        <row r="20">
          <cell r="A20" t="str">
            <v>NC0025</v>
          </cell>
          <cell r="B20" t="str">
            <v>Columbus</v>
          </cell>
          <cell r="D20">
            <v>57182</v>
          </cell>
          <cell r="E20">
            <v>1</v>
          </cell>
          <cell r="F20">
            <v>5</v>
          </cell>
          <cell r="G20">
            <v>1</v>
          </cell>
          <cell r="H20">
            <v>2</v>
          </cell>
          <cell r="I20">
            <v>13244</v>
          </cell>
        </row>
        <row r="21">
          <cell r="A21" t="str">
            <v>NC0026</v>
          </cell>
          <cell r="B21" t="str">
            <v>Cumberland</v>
          </cell>
          <cell r="D21">
            <v>329824</v>
          </cell>
          <cell r="E21">
            <v>1</v>
          </cell>
          <cell r="F21">
            <v>8</v>
          </cell>
          <cell r="G21">
            <v>0</v>
          </cell>
          <cell r="H21">
            <v>1</v>
          </cell>
          <cell r="I21">
            <v>30108</v>
          </cell>
        </row>
        <row r="22">
          <cell r="A22" t="str">
            <v>NC0027</v>
          </cell>
          <cell r="B22" t="str">
            <v>Davidson</v>
          </cell>
          <cell r="D22">
            <v>160128</v>
          </cell>
          <cell r="E22">
            <v>1</v>
          </cell>
          <cell r="F22">
            <v>4</v>
          </cell>
          <cell r="G22">
            <v>1</v>
          </cell>
          <cell r="H22">
            <v>0</v>
          </cell>
          <cell r="I22">
            <v>16172</v>
          </cell>
        </row>
        <row r="23">
          <cell r="A23" t="str">
            <v>NC0028</v>
          </cell>
          <cell r="B23" t="str">
            <v>Davie</v>
          </cell>
          <cell r="D23">
            <v>42211</v>
          </cell>
          <cell r="E23">
            <v>1</v>
          </cell>
          <cell r="F23">
            <v>1</v>
          </cell>
          <cell r="G23">
            <v>0</v>
          </cell>
          <cell r="H23">
            <v>1</v>
          </cell>
          <cell r="I23">
            <v>4638</v>
          </cell>
        </row>
        <row r="24">
          <cell r="A24" t="str">
            <v>NC0029</v>
          </cell>
          <cell r="B24" t="str">
            <v>Duplin</v>
          </cell>
          <cell r="D24">
            <v>59597</v>
          </cell>
          <cell r="E24">
            <v>1</v>
          </cell>
          <cell r="F24">
            <v>5</v>
          </cell>
          <cell r="G24">
            <v>0</v>
          </cell>
          <cell r="H24">
            <v>0</v>
          </cell>
          <cell r="I24">
            <v>7624</v>
          </cell>
        </row>
        <row r="25">
          <cell r="A25" t="str">
            <v>NC0030</v>
          </cell>
          <cell r="B25" t="str">
            <v>Durham</v>
          </cell>
          <cell r="D25">
            <v>298360</v>
          </cell>
          <cell r="E25">
            <v>0</v>
          </cell>
          <cell r="F25">
            <v>7</v>
          </cell>
          <cell r="G25">
            <v>1</v>
          </cell>
          <cell r="H25">
            <v>2</v>
          </cell>
          <cell r="I25">
            <v>18114</v>
          </cell>
        </row>
        <row r="26">
          <cell r="A26" t="str">
            <v>NC0031</v>
          </cell>
          <cell r="B26" t="str">
            <v>Edgecombe</v>
          </cell>
          <cell r="D26">
            <v>53502</v>
          </cell>
          <cell r="E26">
            <v>1</v>
          </cell>
          <cell r="F26">
            <v>1</v>
          </cell>
          <cell r="G26">
            <v>0</v>
          </cell>
          <cell r="H26">
            <v>1</v>
          </cell>
          <cell r="I26">
            <v>4750</v>
          </cell>
        </row>
        <row r="27">
          <cell r="A27" t="str">
            <v>NC0032</v>
          </cell>
          <cell r="B27" t="str">
            <v>Forsyth</v>
          </cell>
          <cell r="D27">
            <v>369113</v>
          </cell>
          <cell r="E27">
            <v>1</v>
          </cell>
          <cell r="F27">
            <v>11</v>
          </cell>
          <cell r="G27">
            <v>2</v>
          </cell>
          <cell r="H27">
            <v>4</v>
          </cell>
          <cell r="I27">
            <v>33265</v>
          </cell>
        </row>
        <row r="28">
          <cell r="A28" t="str">
            <v>NC0033</v>
          </cell>
          <cell r="B28" t="str">
            <v>Franklin</v>
          </cell>
          <cell r="D28">
            <v>65445</v>
          </cell>
          <cell r="E28">
            <v>1</v>
          </cell>
          <cell r="F28">
            <v>3</v>
          </cell>
          <cell r="G28">
            <v>1</v>
          </cell>
          <cell r="H28">
            <v>0</v>
          </cell>
          <cell r="I28">
            <v>9430</v>
          </cell>
        </row>
        <row r="29">
          <cell r="A29" t="str">
            <v>NC0105</v>
          </cell>
          <cell r="B29" t="str">
            <v>Gaston</v>
          </cell>
          <cell r="D29">
            <v>214413</v>
          </cell>
          <cell r="E29">
            <v>1</v>
          </cell>
          <cell r="F29">
            <v>9</v>
          </cell>
          <cell r="G29">
            <v>0</v>
          </cell>
          <cell r="H29">
            <v>0</v>
          </cell>
          <cell r="I29">
            <v>14222</v>
          </cell>
        </row>
        <row r="30">
          <cell r="A30" t="str">
            <v>NC0034</v>
          </cell>
          <cell r="B30" t="str">
            <v>Granville</v>
          </cell>
          <cell r="D30">
            <v>59433</v>
          </cell>
          <cell r="E30">
            <v>1</v>
          </cell>
          <cell r="F30">
            <v>3</v>
          </cell>
          <cell r="G30">
            <v>0</v>
          </cell>
          <cell r="H30">
            <v>3</v>
          </cell>
          <cell r="I30">
            <v>7644</v>
          </cell>
        </row>
        <row r="31">
          <cell r="A31" t="str">
            <v>NC0035</v>
          </cell>
          <cell r="B31" t="str">
            <v>Guilford (Greensboro)</v>
          </cell>
          <cell r="D31">
            <v>416036</v>
          </cell>
          <cell r="E31">
            <v>1</v>
          </cell>
          <cell r="F31">
            <v>7</v>
          </cell>
          <cell r="G31">
            <v>0</v>
          </cell>
          <cell r="H31">
            <v>0</v>
          </cell>
          <cell r="I31">
            <v>27652</v>
          </cell>
        </row>
        <row r="32">
          <cell r="A32" t="str">
            <v>NC0036</v>
          </cell>
          <cell r="B32" t="str">
            <v>Halifax</v>
          </cell>
          <cell r="D32">
            <v>37059</v>
          </cell>
          <cell r="E32">
            <v>1</v>
          </cell>
          <cell r="F32">
            <v>4</v>
          </cell>
          <cell r="G32">
            <v>0</v>
          </cell>
          <cell r="H32">
            <v>1</v>
          </cell>
          <cell r="I32">
            <v>12428</v>
          </cell>
        </row>
        <row r="33">
          <cell r="A33" t="str">
            <v>NC0037</v>
          </cell>
          <cell r="B33" t="str">
            <v>Harnett</v>
          </cell>
          <cell r="D33">
            <v>128783</v>
          </cell>
          <cell r="E33">
            <v>1</v>
          </cell>
          <cell r="F33">
            <v>6</v>
          </cell>
          <cell r="G33">
            <v>0</v>
          </cell>
          <cell r="H33">
            <v>1</v>
          </cell>
          <cell r="I33">
            <v>11345</v>
          </cell>
        </row>
        <row r="34">
          <cell r="A34" t="str">
            <v>NC0038</v>
          </cell>
          <cell r="B34" t="str">
            <v>Haywood</v>
          </cell>
          <cell r="D34">
            <v>61771</v>
          </cell>
          <cell r="E34">
            <v>1</v>
          </cell>
          <cell r="F34">
            <v>3</v>
          </cell>
          <cell r="G34">
            <v>0</v>
          </cell>
          <cell r="H34">
            <v>1</v>
          </cell>
          <cell r="I34">
            <v>7022</v>
          </cell>
        </row>
        <row r="35">
          <cell r="A35" t="str">
            <v>NC0039</v>
          </cell>
          <cell r="B35" t="str">
            <v>Henderson</v>
          </cell>
          <cell r="D35">
            <v>114385</v>
          </cell>
          <cell r="E35">
            <v>1</v>
          </cell>
          <cell r="F35">
            <v>5</v>
          </cell>
          <cell r="G35">
            <v>0</v>
          </cell>
          <cell r="H35">
            <v>0</v>
          </cell>
          <cell r="I35">
            <v>13600</v>
          </cell>
        </row>
        <row r="36">
          <cell r="A36" t="str">
            <v>NC0040</v>
          </cell>
          <cell r="B36" t="str">
            <v>Iredell</v>
          </cell>
          <cell r="D36">
            <v>134323</v>
          </cell>
          <cell r="E36">
            <v>1</v>
          </cell>
          <cell r="F36">
            <v>2</v>
          </cell>
          <cell r="G36">
            <v>0</v>
          </cell>
          <cell r="H36">
            <v>0</v>
          </cell>
          <cell r="I36">
            <v>9048</v>
          </cell>
        </row>
        <row r="37">
          <cell r="A37" t="str">
            <v>NC0041</v>
          </cell>
          <cell r="B37" t="str">
            <v>Johnston</v>
          </cell>
          <cell r="D37">
            <v>170033</v>
          </cell>
          <cell r="E37">
            <v>1</v>
          </cell>
          <cell r="F37">
            <v>5</v>
          </cell>
          <cell r="G37">
            <v>0</v>
          </cell>
          <cell r="H37">
            <v>1</v>
          </cell>
          <cell r="I37">
            <v>12298</v>
          </cell>
        </row>
        <row r="38">
          <cell r="A38" t="str">
            <v>NC0042</v>
          </cell>
          <cell r="B38" t="str">
            <v>Lee</v>
          </cell>
          <cell r="D38">
            <v>59244</v>
          </cell>
          <cell r="E38">
            <v>1</v>
          </cell>
          <cell r="F38">
            <v>1</v>
          </cell>
          <cell r="G38">
            <v>0</v>
          </cell>
          <cell r="H38">
            <v>2</v>
          </cell>
          <cell r="I38">
            <v>3484</v>
          </cell>
        </row>
        <row r="39">
          <cell r="A39" t="str">
            <v>NC0106</v>
          </cell>
          <cell r="B39" t="str">
            <v>Lincoln</v>
          </cell>
          <cell r="D39">
            <v>82033</v>
          </cell>
          <cell r="E39">
            <v>1</v>
          </cell>
          <cell r="F39">
            <v>2</v>
          </cell>
          <cell r="G39">
            <v>0</v>
          </cell>
          <cell r="H39">
            <v>1</v>
          </cell>
          <cell r="I39">
            <v>7529</v>
          </cell>
        </row>
        <row r="40">
          <cell r="A40" t="str">
            <v>NC0043</v>
          </cell>
          <cell r="B40" t="str">
            <v>Madison</v>
          </cell>
          <cell r="D40">
            <v>21979</v>
          </cell>
          <cell r="E40">
            <v>1</v>
          </cell>
          <cell r="F40">
            <v>2</v>
          </cell>
          <cell r="G40">
            <v>0</v>
          </cell>
          <cell r="H40">
            <v>0</v>
          </cell>
          <cell r="I40">
            <v>6697</v>
          </cell>
        </row>
        <row r="41">
          <cell r="A41" t="str">
            <v>NC0044</v>
          </cell>
          <cell r="B41" t="str">
            <v>McDowell</v>
          </cell>
          <cell r="D41">
            <v>45510</v>
          </cell>
          <cell r="E41">
            <v>1</v>
          </cell>
          <cell r="F41">
            <v>1</v>
          </cell>
          <cell r="G41">
            <v>0</v>
          </cell>
          <cell r="H41">
            <v>0</v>
          </cell>
          <cell r="I41">
            <v>4186</v>
          </cell>
        </row>
        <row r="42">
          <cell r="A42" t="str">
            <v>NC0045</v>
          </cell>
          <cell r="B42" t="str">
            <v>Mecklenburg</v>
          </cell>
          <cell r="D42">
            <v>1053545</v>
          </cell>
          <cell r="E42">
            <v>1</v>
          </cell>
          <cell r="F42">
            <v>19</v>
          </cell>
          <cell r="G42">
            <v>0</v>
          </cell>
          <cell r="H42">
            <v>0</v>
          </cell>
          <cell r="I42">
            <v>61912</v>
          </cell>
        </row>
        <row r="43">
          <cell r="A43" t="str">
            <v>NC0046</v>
          </cell>
          <cell r="B43" t="str">
            <v>Nash (Braswell)</v>
          </cell>
          <cell r="D43">
            <v>89190</v>
          </cell>
          <cell r="E43">
            <v>1</v>
          </cell>
          <cell r="F43">
            <v>2</v>
          </cell>
          <cell r="G43">
            <v>0</v>
          </cell>
          <cell r="H43">
            <v>3</v>
          </cell>
          <cell r="I43">
            <v>4628</v>
          </cell>
        </row>
        <row r="44">
          <cell r="A44" t="str">
            <v>NC0047</v>
          </cell>
          <cell r="B44" t="str">
            <v>New Hanover</v>
          </cell>
          <cell r="D44">
            <v>223608</v>
          </cell>
          <cell r="E44">
            <v>1</v>
          </cell>
          <cell r="F44">
            <v>3</v>
          </cell>
          <cell r="G44">
            <v>0</v>
          </cell>
          <cell r="H44">
            <v>1</v>
          </cell>
          <cell r="I44">
            <v>11856</v>
          </cell>
        </row>
        <row r="45">
          <cell r="A45" t="str">
            <v>NC0048</v>
          </cell>
          <cell r="B45" t="str">
            <v>Onslow</v>
          </cell>
          <cell r="D45">
            <v>193914</v>
          </cell>
          <cell r="E45">
            <v>1</v>
          </cell>
          <cell r="F45">
            <v>3</v>
          </cell>
          <cell r="G45">
            <v>0</v>
          </cell>
          <cell r="H45">
            <v>0</v>
          </cell>
          <cell r="I45">
            <v>10852</v>
          </cell>
        </row>
        <row r="46">
          <cell r="A46" t="str">
            <v>NC0108</v>
          </cell>
          <cell r="B46" t="str">
            <v>Orange</v>
          </cell>
          <cell r="D46">
            <v>84161</v>
          </cell>
          <cell r="E46">
            <v>1</v>
          </cell>
          <cell r="F46">
            <v>2</v>
          </cell>
          <cell r="G46">
            <v>0</v>
          </cell>
          <cell r="H46">
            <v>0</v>
          </cell>
          <cell r="I46">
            <v>6916</v>
          </cell>
        </row>
        <row r="47">
          <cell r="A47" t="str">
            <v>NC0049</v>
          </cell>
          <cell r="B47" t="str">
            <v>Pender</v>
          </cell>
          <cell r="D47">
            <v>59459</v>
          </cell>
          <cell r="E47">
            <v>1</v>
          </cell>
          <cell r="F47">
            <v>1</v>
          </cell>
          <cell r="G47">
            <v>0</v>
          </cell>
          <cell r="H47">
            <v>0</v>
          </cell>
          <cell r="I47">
            <v>4556</v>
          </cell>
        </row>
        <row r="48">
          <cell r="A48" t="str">
            <v>NC0109</v>
          </cell>
          <cell r="B48" t="str">
            <v>Person</v>
          </cell>
          <cell r="D48">
            <v>39728</v>
          </cell>
          <cell r="E48">
            <v>1</v>
          </cell>
          <cell r="F48">
            <v>0</v>
          </cell>
          <cell r="G48">
            <v>0</v>
          </cell>
          <cell r="H48">
            <v>1</v>
          </cell>
          <cell r="I48">
            <v>3020</v>
          </cell>
        </row>
        <row r="49">
          <cell r="A49" t="str">
            <v>NC0050</v>
          </cell>
          <cell r="B49" t="str">
            <v>Pitt (Sheppard)</v>
          </cell>
          <cell r="D49">
            <v>171215</v>
          </cell>
          <cell r="E49">
            <v>1</v>
          </cell>
          <cell r="F49">
            <v>4</v>
          </cell>
          <cell r="G49">
            <v>1</v>
          </cell>
          <cell r="H49">
            <v>0</v>
          </cell>
          <cell r="I49">
            <v>14478</v>
          </cell>
        </row>
        <row r="50">
          <cell r="A50" t="str">
            <v>NC0051</v>
          </cell>
          <cell r="B50" t="str">
            <v>Polk</v>
          </cell>
          <cell r="D50">
            <v>21030</v>
          </cell>
          <cell r="E50">
            <v>1</v>
          </cell>
          <cell r="F50">
            <v>1</v>
          </cell>
          <cell r="G50">
            <v>0</v>
          </cell>
          <cell r="H50">
            <v>1</v>
          </cell>
          <cell r="I50">
            <v>5350</v>
          </cell>
        </row>
        <row r="51">
          <cell r="A51" t="str">
            <v>NC0052</v>
          </cell>
          <cell r="B51" t="str">
            <v>Randolph</v>
          </cell>
          <cell r="D51">
            <v>143701</v>
          </cell>
          <cell r="E51">
            <v>1</v>
          </cell>
          <cell r="F51">
            <v>6</v>
          </cell>
          <cell r="G51">
            <v>0</v>
          </cell>
          <cell r="H51">
            <v>3</v>
          </cell>
          <cell r="I51">
            <v>16406</v>
          </cell>
        </row>
        <row r="52">
          <cell r="A52" t="str">
            <v>NC0053</v>
          </cell>
          <cell r="B52" t="str">
            <v>Robeson</v>
          </cell>
          <cell r="D52">
            <v>132657</v>
          </cell>
          <cell r="E52">
            <v>1</v>
          </cell>
          <cell r="F52">
            <v>6</v>
          </cell>
          <cell r="G52">
            <v>0</v>
          </cell>
          <cell r="H52">
            <v>2</v>
          </cell>
          <cell r="I52">
            <v>12314</v>
          </cell>
        </row>
        <row r="53">
          <cell r="A53" t="str">
            <v>NC0054</v>
          </cell>
          <cell r="B53" t="str">
            <v>Rockingham</v>
          </cell>
          <cell r="D53">
            <v>91891</v>
          </cell>
          <cell r="E53">
            <v>0</v>
          </cell>
          <cell r="F53">
            <v>4</v>
          </cell>
          <cell r="G53">
            <v>1</v>
          </cell>
          <cell r="H53">
            <v>1</v>
          </cell>
          <cell r="I53">
            <v>12324</v>
          </cell>
        </row>
        <row r="54">
          <cell r="A54" t="str">
            <v>NC0055</v>
          </cell>
          <cell r="B54" t="str">
            <v>Rowan</v>
          </cell>
          <cell r="D54">
            <v>140970</v>
          </cell>
          <cell r="E54">
            <v>1</v>
          </cell>
          <cell r="F54">
            <v>2</v>
          </cell>
          <cell r="G54">
            <v>1</v>
          </cell>
          <cell r="H54">
            <v>1</v>
          </cell>
          <cell r="I54">
            <v>9564</v>
          </cell>
        </row>
        <row r="55">
          <cell r="A55" t="str">
            <v>NC0056</v>
          </cell>
          <cell r="B55" t="str">
            <v>Rutherford</v>
          </cell>
          <cell r="D55">
            <v>67703</v>
          </cell>
          <cell r="E55">
            <v>1</v>
          </cell>
          <cell r="F55">
            <v>2</v>
          </cell>
          <cell r="G55">
            <v>0</v>
          </cell>
          <cell r="H55">
            <v>1</v>
          </cell>
          <cell r="I55">
            <v>6734</v>
          </cell>
        </row>
        <row r="56">
          <cell r="A56" t="str">
            <v>NC0057</v>
          </cell>
          <cell r="B56" t="str">
            <v>Sampson</v>
          </cell>
          <cell r="D56">
            <v>63499</v>
          </cell>
          <cell r="E56">
            <v>1</v>
          </cell>
          <cell r="F56">
            <v>3</v>
          </cell>
          <cell r="G56">
            <v>0</v>
          </cell>
          <cell r="H56">
            <v>2</v>
          </cell>
          <cell r="I56">
            <v>7644</v>
          </cell>
        </row>
        <row r="57">
          <cell r="A57" t="str">
            <v>NC0058</v>
          </cell>
          <cell r="B57" t="str">
            <v>Scotland</v>
          </cell>
          <cell r="D57">
            <v>35789</v>
          </cell>
          <cell r="E57">
            <v>1</v>
          </cell>
          <cell r="F57">
            <v>0</v>
          </cell>
          <cell r="G57">
            <v>1</v>
          </cell>
          <cell r="H57">
            <v>0</v>
          </cell>
          <cell r="I57">
            <v>2782</v>
          </cell>
        </row>
        <row r="58">
          <cell r="A58" t="str">
            <v>NC0059</v>
          </cell>
          <cell r="B58" t="str">
            <v>Stanly</v>
          </cell>
          <cell r="D58">
            <v>61751</v>
          </cell>
          <cell r="E58">
            <v>1</v>
          </cell>
          <cell r="F58">
            <v>4</v>
          </cell>
          <cell r="G58">
            <v>0</v>
          </cell>
          <cell r="H58">
            <v>0</v>
          </cell>
          <cell r="I58">
            <v>8064</v>
          </cell>
        </row>
        <row r="59">
          <cell r="A59" t="str">
            <v>NC0060</v>
          </cell>
          <cell r="B59" t="str">
            <v>Transylvania</v>
          </cell>
          <cell r="D59">
            <v>34139</v>
          </cell>
          <cell r="E59">
            <v>1</v>
          </cell>
          <cell r="F59">
            <v>0</v>
          </cell>
          <cell r="G59">
            <v>1</v>
          </cell>
          <cell r="H59">
            <v>0</v>
          </cell>
          <cell r="I59">
            <v>3440</v>
          </cell>
        </row>
        <row r="60">
          <cell r="A60" t="str">
            <v>NC0061</v>
          </cell>
          <cell r="B60" t="str">
            <v>Union</v>
          </cell>
          <cell r="D60">
            <v>223915</v>
          </cell>
          <cell r="E60">
            <v>1</v>
          </cell>
          <cell r="F60">
            <v>3</v>
          </cell>
          <cell r="G60">
            <v>0</v>
          </cell>
          <cell r="H60">
            <v>0</v>
          </cell>
          <cell r="I60">
            <v>10772</v>
          </cell>
        </row>
        <row r="61">
          <cell r="A61" t="str">
            <v>NC0062</v>
          </cell>
          <cell r="B61" t="str">
            <v>Vance (Perry)</v>
          </cell>
          <cell r="D61">
            <v>44945</v>
          </cell>
          <cell r="E61">
            <v>1</v>
          </cell>
          <cell r="F61">
            <v>0</v>
          </cell>
          <cell r="G61">
            <v>0</v>
          </cell>
          <cell r="H61">
            <v>0</v>
          </cell>
          <cell r="I61">
            <v>2500</v>
          </cell>
        </row>
        <row r="62">
          <cell r="A62" t="str">
            <v>NC0063</v>
          </cell>
          <cell r="B62" t="str">
            <v>Wake</v>
          </cell>
          <cell r="D62">
            <v>1026748</v>
          </cell>
          <cell r="E62">
            <v>0</v>
          </cell>
          <cell r="F62">
            <v>22</v>
          </cell>
          <cell r="G62">
            <v>0</v>
          </cell>
          <cell r="H62">
            <v>1</v>
          </cell>
          <cell r="I62">
            <v>64707</v>
          </cell>
        </row>
        <row r="63">
          <cell r="A63" t="str">
            <v>NC0101</v>
          </cell>
          <cell r="B63" t="str">
            <v>Warren</v>
          </cell>
          <cell r="D63">
            <v>20121</v>
          </cell>
          <cell r="E63">
            <v>1</v>
          </cell>
          <cell r="F63">
            <v>0</v>
          </cell>
          <cell r="G63">
            <v>0</v>
          </cell>
          <cell r="H63">
            <v>1</v>
          </cell>
          <cell r="I63">
            <v>2704</v>
          </cell>
        </row>
        <row r="64">
          <cell r="A64" t="str">
            <v>NC0065</v>
          </cell>
          <cell r="B64" t="str">
            <v>Wayne</v>
          </cell>
          <cell r="D64">
            <v>124808</v>
          </cell>
          <cell r="E64">
            <v>1</v>
          </cell>
          <cell r="F64">
            <v>3</v>
          </cell>
          <cell r="G64">
            <v>0</v>
          </cell>
          <cell r="H64">
            <v>1</v>
          </cell>
          <cell r="I64">
            <v>8128</v>
          </cell>
        </row>
        <row r="65">
          <cell r="A65" t="str">
            <v>NC0066</v>
          </cell>
          <cell r="B65" t="str">
            <v>Wilson</v>
          </cell>
          <cell r="D65">
            <v>81758</v>
          </cell>
          <cell r="E65">
            <v>1</v>
          </cell>
          <cell r="F65">
            <v>5</v>
          </cell>
          <cell r="G65">
            <v>1</v>
          </cell>
          <cell r="H65">
            <v>0</v>
          </cell>
          <cell r="I65">
            <v>11066</v>
          </cell>
        </row>
        <row r="66">
          <cell r="C66" t="str">
            <v>Total:</v>
          </cell>
          <cell r="D66">
            <v>8503636</v>
          </cell>
          <cell r="H66" t="str">
            <v>Mean average:</v>
          </cell>
          <cell r="I66">
            <v>12049.793103448275</v>
          </cell>
        </row>
        <row r="67">
          <cell r="A67" t="str">
            <v>Regional Libraries</v>
          </cell>
        </row>
        <row r="68">
          <cell r="A68" t="str">
            <v>NC0001</v>
          </cell>
          <cell r="B68" t="str">
            <v>Albemarle</v>
          </cell>
          <cell r="D68">
            <v>76564</v>
          </cell>
          <cell r="E68">
            <v>1</v>
          </cell>
          <cell r="F68">
            <v>6</v>
          </cell>
          <cell r="G68">
            <v>0</v>
          </cell>
          <cell r="H68">
            <v>2</v>
          </cell>
          <cell r="I68">
            <v>15106</v>
          </cell>
        </row>
        <row r="69">
          <cell r="A69" t="str">
            <v>NC0003</v>
          </cell>
          <cell r="B69" t="str">
            <v>AMY</v>
          </cell>
          <cell r="D69">
            <v>51506</v>
          </cell>
          <cell r="E69">
            <v>0</v>
          </cell>
          <cell r="F69">
            <v>4</v>
          </cell>
          <cell r="G69">
            <v>1</v>
          </cell>
          <cell r="H69">
            <v>1</v>
          </cell>
          <cell r="I69">
            <v>11832</v>
          </cell>
        </row>
        <row r="70">
          <cell r="A70" t="str">
            <v>NC0002</v>
          </cell>
          <cell r="B70" t="str">
            <v>Appalachian</v>
          </cell>
          <cell r="D70">
            <v>152363</v>
          </cell>
          <cell r="E70">
            <v>0</v>
          </cell>
          <cell r="F70">
            <v>5</v>
          </cell>
          <cell r="G70">
            <v>0</v>
          </cell>
          <cell r="H70">
            <v>3</v>
          </cell>
          <cell r="I70">
            <v>11300</v>
          </cell>
        </row>
        <row r="71">
          <cell r="A71" t="str">
            <v>NC0004</v>
          </cell>
          <cell r="B71" t="str">
            <v>BHM</v>
          </cell>
          <cell r="D71">
            <v>67276</v>
          </cell>
          <cell r="E71">
            <v>1</v>
          </cell>
          <cell r="F71">
            <v>7</v>
          </cell>
          <cell r="G71">
            <v>0</v>
          </cell>
          <cell r="H71">
            <v>1</v>
          </cell>
          <cell r="I71">
            <v>15496</v>
          </cell>
        </row>
        <row r="72">
          <cell r="A72" t="str">
            <v>NC0006</v>
          </cell>
          <cell r="B72" t="str">
            <v>CPC</v>
          </cell>
          <cell r="D72">
            <v>186954</v>
          </cell>
          <cell r="E72">
            <v>0</v>
          </cell>
          <cell r="F72">
            <v>10</v>
          </cell>
          <cell r="G72">
            <v>0</v>
          </cell>
          <cell r="H72">
            <v>2</v>
          </cell>
          <cell r="I72">
            <v>25094</v>
          </cell>
        </row>
        <row r="73">
          <cell r="A73" t="str">
            <v>NC0007</v>
          </cell>
          <cell r="B73" t="str">
            <v>E. Albemarle</v>
          </cell>
          <cell r="D73">
            <v>113059</v>
          </cell>
          <cell r="E73">
            <v>1</v>
          </cell>
          <cell r="F73">
            <v>7</v>
          </cell>
          <cell r="G73">
            <v>1</v>
          </cell>
          <cell r="H73">
            <v>2</v>
          </cell>
          <cell r="I73">
            <v>19598</v>
          </cell>
        </row>
        <row r="74">
          <cell r="A74" t="str">
            <v>NC0008</v>
          </cell>
          <cell r="B74" t="str">
            <v>Fontana</v>
          </cell>
          <cell r="D74">
            <v>91321</v>
          </cell>
          <cell r="E74">
            <v>0</v>
          </cell>
          <cell r="F74">
            <v>6</v>
          </cell>
          <cell r="G74">
            <v>0</v>
          </cell>
          <cell r="H74">
            <v>1</v>
          </cell>
          <cell r="I74">
            <v>12901</v>
          </cell>
        </row>
        <row r="75">
          <cell r="A75" t="str">
            <v>NC0011</v>
          </cell>
          <cell r="B75" t="str">
            <v>Nantahala</v>
          </cell>
          <cell r="D75">
            <v>48746</v>
          </cell>
          <cell r="E75">
            <v>0</v>
          </cell>
          <cell r="F75">
            <v>5</v>
          </cell>
          <cell r="G75">
            <v>1</v>
          </cell>
          <cell r="H75">
            <v>0</v>
          </cell>
          <cell r="I75">
            <v>11986</v>
          </cell>
        </row>
        <row r="76">
          <cell r="A76" t="str">
            <v>NC0012</v>
          </cell>
          <cell r="B76" t="str">
            <v>Neuse</v>
          </cell>
          <cell r="D76">
            <v>89362</v>
          </cell>
          <cell r="E76">
            <v>1</v>
          </cell>
          <cell r="F76">
            <v>7</v>
          </cell>
          <cell r="G76">
            <v>0</v>
          </cell>
          <cell r="H76">
            <v>4</v>
          </cell>
          <cell r="I76">
            <v>17368</v>
          </cell>
        </row>
        <row r="77">
          <cell r="A77" t="str">
            <v>NC0013</v>
          </cell>
          <cell r="B77" t="str">
            <v>Northwestern</v>
          </cell>
          <cell r="D77">
            <v>168521</v>
          </cell>
          <cell r="E77">
            <v>0</v>
          </cell>
          <cell r="F77">
            <v>13</v>
          </cell>
          <cell r="G77">
            <v>1</v>
          </cell>
          <cell r="H77">
            <v>0</v>
          </cell>
          <cell r="I77">
            <v>33362</v>
          </cell>
        </row>
        <row r="78">
          <cell r="A78" t="str">
            <v>NC0014</v>
          </cell>
          <cell r="B78" t="str">
            <v>Pettigrew</v>
          </cell>
          <cell r="D78">
            <v>44532</v>
          </cell>
          <cell r="E78">
            <v>0</v>
          </cell>
          <cell r="F78">
            <v>4</v>
          </cell>
          <cell r="G78">
            <v>0</v>
          </cell>
          <cell r="H78">
            <v>1</v>
          </cell>
          <cell r="I78">
            <v>9334</v>
          </cell>
        </row>
        <row r="79">
          <cell r="A79" t="str">
            <v>NC0015</v>
          </cell>
          <cell r="B79" t="str">
            <v>Sandhill</v>
          </cell>
          <cell r="D79">
            <v>232868</v>
          </cell>
          <cell r="E79">
            <v>0</v>
          </cell>
          <cell r="F79">
            <v>15</v>
          </cell>
          <cell r="G79">
            <v>2</v>
          </cell>
          <cell r="H79">
            <v>1</v>
          </cell>
          <cell r="I79">
            <v>27523</v>
          </cell>
        </row>
        <row r="80">
          <cell r="C80" t="str">
            <v>Total:</v>
          </cell>
          <cell r="D80">
            <v>1400272</v>
          </cell>
          <cell r="H80" t="str">
            <v>Mean average:</v>
          </cell>
          <cell r="I80">
            <v>17575</v>
          </cell>
        </row>
        <row r="81">
          <cell r="B81" t="str">
            <v>Municipal Libraries</v>
          </cell>
        </row>
        <row r="82">
          <cell r="A82" t="str">
            <v>NC0071</v>
          </cell>
          <cell r="B82" t="str">
            <v>Chapel Hill</v>
          </cell>
          <cell r="D82">
            <v>59852</v>
          </cell>
          <cell r="E82">
            <v>1</v>
          </cell>
          <cell r="F82">
            <v>0</v>
          </cell>
          <cell r="G82">
            <v>0</v>
          </cell>
          <cell r="H82">
            <v>1</v>
          </cell>
          <cell r="I82">
            <v>3489</v>
          </cell>
        </row>
        <row r="83">
          <cell r="A83" t="str">
            <v>NC0110</v>
          </cell>
          <cell r="B83" t="str">
            <v>Clayton</v>
          </cell>
          <cell r="D83">
            <v>19427</v>
          </cell>
          <cell r="E83">
            <v>1</v>
          </cell>
          <cell r="F83">
            <v>0</v>
          </cell>
          <cell r="G83">
            <v>0</v>
          </cell>
          <cell r="H83">
            <v>0</v>
          </cell>
          <cell r="I83">
            <v>2756</v>
          </cell>
        </row>
        <row r="84">
          <cell r="A84" t="str">
            <v>NC0075</v>
          </cell>
          <cell r="B84" t="str">
            <v>Farmville</v>
          </cell>
          <cell r="D84">
            <v>4670</v>
          </cell>
          <cell r="E84">
            <v>1</v>
          </cell>
          <cell r="F84">
            <v>0</v>
          </cell>
          <cell r="G84">
            <v>0</v>
          </cell>
          <cell r="H84">
            <v>0</v>
          </cell>
          <cell r="I84">
            <v>2548</v>
          </cell>
        </row>
        <row r="85">
          <cell r="D85">
            <v>40453</v>
          </cell>
        </row>
        <row r="86">
          <cell r="D86">
            <v>110244</v>
          </cell>
        </row>
        <row r="87">
          <cell r="D87">
            <v>10719</v>
          </cell>
        </row>
        <row r="88">
          <cell r="D88">
            <v>39068</v>
          </cell>
        </row>
        <row r="89">
          <cell r="D89">
            <v>5231</v>
          </cell>
        </row>
        <row r="90">
          <cell r="D90">
            <v>15101</v>
          </cell>
        </row>
        <row r="91">
          <cell r="D91">
            <v>13756</v>
          </cell>
        </row>
        <row r="92">
          <cell r="D92">
            <v>9561</v>
          </cell>
        </row>
      </sheetData>
      <sheetData sheetId="2">
        <row r="4">
          <cell r="D4" t="str">
            <v>FTE</v>
          </cell>
          <cell r="E4" t="str">
            <v>Total</v>
          </cell>
          <cell r="H4" t="str">
            <v>FTE Per</v>
          </cell>
          <cell r="I4" t="str">
            <v>% of Staff</v>
          </cell>
        </row>
        <row r="5">
          <cell r="C5" t="str">
            <v>FTE</v>
          </cell>
          <cell r="D5" t="str">
            <v>MLS</v>
          </cell>
          <cell r="E5" t="str">
            <v>FTE</v>
          </cell>
          <cell r="F5" t="str">
            <v>Other</v>
          </cell>
          <cell r="G5" t="str">
            <v>Total</v>
          </cell>
          <cell r="H5">
            <v>25000</v>
          </cell>
          <cell r="I5" t="str">
            <v>with</v>
          </cell>
        </row>
        <row r="6">
          <cell r="C6" t="str">
            <v>ALA/MLS</v>
          </cell>
          <cell r="D6" t="str">
            <v>Not ALA</v>
          </cell>
          <cell r="E6" t="str">
            <v>MLS</v>
          </cell>
          <cell r="F6" t="str">
            <v>Paid Staff</v>
          </cell>
          <cell r="G6" t="str">
            <v>FTE Staff</v>
          </cell>
          <cell r="H6" t="str">
            <v>Population</v>
          </cell>
          <cell r="I6" t="str">
            <v>ALA/MLS</v>
          </cell>
        </row>
        <row r="7">
          <cell r="B7" t="str">
            <v>County Libraries</v>
          </cell>
        </row>
        <row r="8">
          <cell r="A8" t="str">
            <v>NC0103</v>
          </cell>
          <cell r="B8" t="str">
            <v>Alamance</v>
          </cell>
          <cell r="C8">
            <v>10</v>
          </cell>
          <cell r="D8">
            <v>0</v>
          </cell>
          <cell r="E8">
            <v>10</v>
          </cell>
          <cell r="F8">
            <v>35.380000000000003</v>
          </cell>
          <cell r="G8">
            <v>45.38</v>
          </cell>
          <cell r="H8">
            <v>7.1327976662014159</v>
          </cell>
          <cell r="I8">
            <v>0.22040000000000001</v>
          </cell>
        </row>
        <row r="9">
          <cell r="A9" t="str">
            <v>NC0016</v>
          </cell>
          <cell r="B9" t="str">
            <v>Alexander</v>
          </cell>
          <cell r="C9">
            <v>1</v>
          </cell>
          <cell r="D9">
            <v>0</v>
          </cell>
          <cell r="E9">
            <v>1</v>
          </cell>
          <cell r="F9">
            <v>8.33</v>
          </cell>
          <cell r="G9">
            <v>9.33</v>
          </cell>
          <cell r="H9">
            <v>6.0926235503082227</v>
          </cell>
          <cell r="I9">
            <v>0.1072</v>
          </cell>
        </row>
        <row r="10">
          <cell r="A10" t="str">
            <v>NC0017</v>
          </cell>
          <cell r="B10" t="str">
            <v>Bladen</v>
          </cell>
          <cell r="C10">
            <v>1</v>
          </cell>
          <cell r="D10">
            <v>0</v>
          </cell>
          <cell r="E10">
            <v>1</v>
          </cell>
          <cell r="F10">
            <v>9.26</v>
          </cell>
          <cell r="G10">
            <v>10.26</v>
          </cell>
          <cell r="H10">
            <v>7.3989673176219464</v>
          </cell>
          <cell r="I10">
            <v>9.7500000000000003E-2</v>
          </cell>
        </row>
        <row r="11">
          <cell r="A11" t="str">
            <v>NC0018</v>
          </cell>
          <cell r="B11" t="str">
            <v>Brunswick</v>
          </cell>
          <cell r="C11">
            <v>1</v>
          </cell>
          <cell r="D11">
            <v>0</v>
          </cell>
          <cell r="E11">
            <v>1</v>
          </cell>
          <cell r="F11">
            <v>16</v>
          </cell>
          <cell r="G11">
            <v>17</v>
          </cell>
          <cell r="H11">
            <v>3.3268101761252442</v>
          </cell>
          <cell r="I11">
            <v>5.8799999999999998E-2</v>
          </cell>
        </row>
        <row r="12">
          <cell r="A12" t="str">
            <v>NC0019</v>
          </cell>
          <cell r="B12" t="str">
            <v>Buncombe</v>
          </cell>
          <cell r="C12">
            <v>11</v>
          </cell>
          <cell r="D12">
            <v>1</v>
          </cell>
          <cell r="E12">
            <v>12</v>
          </cell>
          <cell r="F12">
            <v>46</v>
          </cell>
          <cell r="G12">
            <v>58</v>
          </cell>
          <cell r="H12">
            <v>5.6113248144392935</v>
          </cell>
          <cell r="I12">
            <v>0.18970000000000001</v>
          </cell>
        </row>
        <row r="13">
          <cell r="A13" t="str">
            <v>NC0020</v>
          </cell>
          <cell r="B13" t="str">
            <v>Burke</v>
          </cell>
          <cell r="C13">
            <v>2</v>
          </cell>
          <cell r="D13">
            <v>2</v>
          </cell>
          <cell r="E13">
            <v>4</v>
          </cell>
          <cell r="F13">
            <v>17.05</v>
          </cell>
          <cell r="G13">
            <v>21.05</v>
          </cell>
          <cell r="H13">
            <v>5.8637057506100483</v>
          </cell>
          <cell r="I13">
            <v>9.5000000000000001E-2</v>
          </cell>
        </row>
        <row r="14">
          <cell r="A14" t="str">
            <v>NC0021</v>
          </cell>
          <cell r="B14" t="str">
            <v>Cabarrus</v>
          </cell>
          <cell r="C14">
            <v>10</v>
          </cell>
          <cell r="D14">
            <v>0</v>
          </cell>
          <cell r="E14">
            <v>10</v>
          </cell>
          <cell r="F14">
            <v>38</v>
          </cell>
          <cell r="G14">
            <v>48</v>
          </cell>
          <cell r="H14">
            <v>5.9801757174964996</v>
          </cell>
          <cell r="I14">
            <v>0.20830000000000001</v>
          </cell>
        </row>
        <row r="15">
          <cell r="A15" t="str">
            <v>NC0022</v>
          </cell>
          <cell r="B15" t="str">
            <v>Caldwell</v>
          </cell>
          <cell r="C15">
            <v>4</v>
          </cell>
          <cell r="D15">
            <v>1</v>
          </cell>
          <cell r="E15">
            <v>5</v>
          </cell>
          <cell r="F15">
            <v>18</v>
          </cell>
          <cell r="G15">
            <v>23</v>
          </cell>
          <cell r="H15">
            <v>6.9467936017010583</v>
          </cell>
          <cell r="I15">
            <v>0.1739</v>
          </cell>
        </row>
        <row r="16">
          <cell r="A16" t="str">
            <v>NC0107</v>
          </cell>
          <cell r="B16" t="str">
            <v>Caswell</v>
          </cell>
          <cell r="C16">
            <v>1</v>
          </cell>
          <cell r="D16">
            <v>0</v>
          </cell>
          <cell r="E16">
            <v>1</v>
          </cell>
          <cell r="F16">
            <v>4.92</v>
          </cell>
          <cell r="G16">
            <v>5.92</v>
          </cell>
          <cell r="H16">
            <v>6.247625480180675</v>
          </cell>
          <cell r="I16">
            <v>0.16889999999999999</v>
          </cell>
        </row>
        <row r="17">
          <cell r="A17" t="str">
            <v>NC0023</v>
          </cell>
          <cell r="B17" t="str">
            <v>Catawba</v>
          </cell>
          <cell r="C17">
            <v>9</v>
          </cell>
          <cell r="D17">
            <v>2</v>
          </cell>
          <cell r="E17">
            <v>11</v>
          </cell>
          <cell r="F17">
            <v>23.8</v>
          </cell>
          <cell r="G17">
            <v>34.799999999999997</v>
          </cell>
          <cell r="H17">
            <v>7.4930237365211703</v>
          </cell>
          <cell r="I17">
            <v>0.2586</v>
          </cell>
        </row>
        <row r="18">
          <cell r="A18" t="str">
            <v>NC0104</v>
          </cell>
          <cell r="B18" t="str">
            <v>Chatham</v>
          </cell>
          <cell r="C18">
            <v>4</v>
          </cell>
          <cell r="D18">
            <v>0</v>
          </cell>
          <cell r="E18">
            <v>4</v>
          </cell>
          <cell r="F18">
            <v>13.5</v>
          </cell>
          <cell r="G18">
            <v>17.5</v>
          </cell>
          <cell r="H18">
            <v>5.9697623011216336</v>
          </cell>
          <cell r="I18">
            <v>0.2286</v>
          </cell>
        </row>
        <row r="19">
          <cell r="A19" t="str">
            <v>NC0024</v>
          </cell>
          <cell r="B19" t="str">
            <v>Cleveland</v>
          </cell>
          <cell r="C19">
            <v>3</v>
          </cell>
          <cell r="D19">
            <v>0</v>
          </cell>
          <cell r="E19">
            <v>3</v>
          </cell>
          <cell r="F19">
            <v>15.25</v>
          </cell>
          <cell r="G19">
            <v>18.25</v>
          </cell>
          <cell r="H19">
            <v>5.1494904120720983</v>
          </cell>
          <cell r="I19">
            <v>0.16439999999999999</v>
          </cell>
        </row>
        <row r="20">
          <cell r="A20" t="str">
            <v>NC0025</v>
          </cell>
          <cell r="B20" t="str">
            <v>Columbus</v>
          </cell>
          <cell r="C20">
            <v>1</v>
          </cell>
          <cell r="D20">
            <v>0</v>
          </cell>
          <cell r="E20">
            <v>1</v>
          </cell>
          <cell r="F20">
            <v>24</v>
          </cell>
          <cell r="G20">
            <v>25</v>
          </cell>
          <cell r="H20">
            <v>10.930012941135322</v>
          </cell>
          <cell r="I20">
            <v>0.04</v>
          </cell>
        </row>
        <row r="21">
          <cell r="A21" t="str">
            <v>NC0026</v>
          </cell>
          <cell r="B21" t="str">
            <v>Cumberland</v>
          </cell>
          <cell r="C21">
            <v>47</v>
          </cell>
          <cell r="D21">
            <v>0</v>
          </cell>
          <cell r="E21">
            <v>47</v>
          </cell>
          <cell r="F21">
            <v>134.72999999999999</v>
          </cell>
          <cell r="G21">
            <v>181.73</v>
          </cell>
          <cell r="H21">
            <v>13.774770786843892</v>
          </cell>
          <cell r="I21">
            <v>0.2586</v>
          </cell>
        </row>
        <row r="22">
          <cell r="A22" t="str">
            <v>NC0027</v>
          </cell>
          <cell r="B22" t="str">
            <v>Davidson</v>
          </cell>
          <cell r="C22">
            <v>7.5</v>
          </cell>
          <cell r="D22">
            <v>0</v>
          </cell>
          <cell r="E22">
            <v>7.5</v>
          </cell>
          <cell r="F22">
            <v>52.85</v>
          </cell>
          <cell r="G22">
            <v>60.35</v>
          </cell>
          <cell r="H22">
            <v>9.4221497801758591</v>
          </cell>
          <cell r="I22">
            <v>0.12429999999999999</v>
          </cell>
        </row>
        <row r="23">
          <cell r="A23" t="str">
            <v>NC0028</v>
          </cell>
          <cell r="B23" t="str">
            <v>Davie</v>
          </cell>
          <cell r="C23">
            <v>1.88</v>
          </cell>
          <cell r="D23">
            <v>1.41</v>
          </cell>
          <cell r="E23">
            <v>3.29</v>
          </cell>
          <cell r="F23">
            <v>6.66</v>
          </cell>
          <cell r="G23">
            <v>9.9499999999999993</v>
          </cell>
          <cell r="H23">
            <v>5.893013669422662</v>
          </cell>
          <cell r="I23">
            <v>0.18890000000000001</v>
          </cell>
        </row>
        <row r="24">
          <cell r="A24" t="str">
            <v>NC0029</v>
          </cell>
          <cell r="B24" t="str">
            <v>Duplin</v>
          </cell>
          <cell r="C24">
            <v>0</v>
          </cell>
          <cell r="D24">
            <v>1</v>
          </cell>
          <cell r="E24">
            <v>1</v>
          </cell>
          <cell r="F24">
            <v>8</v>
          </cell>
          <cell r="G24">
            <v>9</v>
          </cell>
          <cell r="H24">
            <v>3.7753578200244977</v>
          </cell>
          <cell r="I24">
            <v>0</v>
          </cell>
        </row>
        <row r="25">
          <cell r="A25" t="str">
            <v>NC0030</v>
          </cell>
          <cell r="B25" t="str">
            <v>Durham</v>
          </cell>
          <cell r="C25">
            <v>49.77</v>
          </cell>
          <cell r="D25">
            <v>1</v>
          </cell>
          <cell r="E25">
            <v>50.77</v>
          </cell>
          <cell r="F25">
            <v>77.03</v>
          </cell>
          <cell r="G25">
            <v>127.8</v>
          </cell>
          <cell r="H25">
            <v>10.708540018769272</v>
          </cell>
          <cell r="I25">
            <v>0.38940000000000002</v>
          </cell>
        </row>
        <row r="26">
          <cell r="A26" t="str">
            <v>NC0031</v>
          </cell>
          <cell r="B26" t="str">
            <v>Edgecombe</v>
          </cell>
          <cell r="C26">
            <v>2</v>
          </cell>
          <cell r="D26">
            <v>0</v>
          </cell>
          <cell r="E26">
            <v>2</v>
          </cell>
          <cell r="F26">
            <v>10.95</v>
          </cell>
          <cell r="G26">
            <v>12.95</v>
          </cell>
          <cell r="H26">
            <v>6.0511756569847845</v>
          </cell>
          <cell r="I26">
            <v>0.15440000000000001</v>
          </cell>
        </row>
        <row r="27">
          <cell r="A27" t="str">
            <v>NC0032</v>
          </cell>
          <cell r="B27" t="str">
            <v>Forsyth</v>
          </cell>
          <cell r="C27">
            <v>46.5</v>
          </cell>
          <cell r="D27">
            <v>1</v>
          </cell>
          <cell r="E27">
            <v>47.5</v>
          </cell>
          <cell r="F27">
            <v>56.3</v>
          </cell>
          <cell r="G27">
            <v>103.8</v>
          </cell>
          <cell r="H27">
            <v>7.0303673942667961</v>
          </cell>
          <cell r="I27">
            <v>0.44800000000000001</v>
          </cell>
        </row>
        <row r="28">
          <cell r="A28" t="str">
            <v>NC0033</v>
          </cell>
          <cell r="B28" t="str">
            <v>Franklin</v>
          </cell>
          <cell r="C28">
            <v>3</v>
          </cell>
          <cell r="D28">
            <v>0</v>
          </cell>
          <cell r="E28">
            <v>3</v>
          </cell>
          <cell r="F28">
            <v>10.57</v>
          </cell>
          <cell r="G28">
            <v>13.57</v>
          </cell>
          <cell r="H28">
            <v>5.1837420734968296</v>
          </cell>
          <cell r="I28">
            <v>0.22109999999999999</v>
          </cell>
        </row>
        <row r="29">
          <cell r="A29" t="str">
            <v>NC0105</v>
          </cell>
          <cell r="B29" t="str">
            <v>Gaston</v>
          </cell>
          <cell r="C29">
            <v>13.5</v>
          </cell>
          <cell r="D29">
            <v>8.5</v>
          </cell>
          <cell r="E29">
            <v>22</v>
          </cell>
          <cell r="F29">
            <v>34</v>
          </cell>
          <cell r="G29">
            <v>56</v>
          </cell>
          <cell r="H29">
            <v>6.5294548371600598</v>
          </cell>
          <cell r="I29">
            <v>0.24110000000000001</v>
          </cell>
        </row>
        <row r="30">
          <cell r="A30" t="str">
            <v>NC0034</v>
          </cell>
          <cell r="B30" t="str">
            <v>Granville</v>
          </cell>
          <cell r="C30">
            <v>5</v>
          </cell>
          <cell r="D30">
            <v>0</v>
          </cell>
          <cell r="E30">
            <v>5</v>
          </cell>
          <cell r="F30">
            <v>18.5</v>
          </cell>
          <cell r="G30">
            <v>23.5</v>
          </cell>
          <cell r="H30">
            <v>9.8850806790840107</v>
          </cell>
          <cell r="I30">
            <v>0.21279999999999999</v>
          </cell>
        </row>
        <row r="31">
          <cell r="A31" t="str">
            <v>NC0035</v>
          </cell>
          <cell r="B31" t="str">
            <v>Guilford (Greensboro)</v>
          </cell>
          <cell r="C31">
            <v>26</v>
          </cell>
          <cell r="D31">
            <v>9</v>
          </cell>
          <cell r="E31">
            <v>35</v>
          </cell>
          <cell r="F31">
            <v>60</v>
          </cell>
          <cell r="G31">
            <v>95</v>
          </cell>
          <cell r="H31">
            <v>5.7086405984097528</v>
          </cell>
          <cell r="I31">
            <v>0.2737</v>
          </cell>
        </row>
        <row r="32">
          <cell r="A32" t="str">
            <v>NC0036</v>
          </cell>
          <cell r="B32" t="str">
            <v>Halifax</v>
          </cell>
          <cell r="C32">
            <v>1</v>
          </cell>
          <cell r="D32">
            <v>0</v>
          </cell>
          <cell r="E32">
            <v>1</v>
          </cell>
          <cell r="F32">
            <v>9</v>
          </cell>
          <cell r="G32">
            <v>10</v>
          </cell>
          <cell r="H32">
            <v>6.7459996222240219</v>
          </cell>
          <cell r="I32">
            <v>0.1</v>
          </cell>
        </row>
        <row r="33">
          <cell r="A33" t="str">
            <v>NC0037</v>
          </cell>
          <cell r="B33" t="str">
            <v>Harnett</v>
          </cell>
          <cell r="C33">
            <v>2</v>
          </cell>
          <cell r="D33">
            <v>3</v>
          </cell>
          <cell r="E33">
            <v>5</v>
          </cell>
          <cell r="F33">
            <v>11</v>
          </cell>
          <cell r="G33">
            <v>16</v>
          </cell>
          <cell r="H33">
            <v>3.1060000155299998</v>
          </cell>
          <cell r="I33">
            <v>0.125</v>
          </cell>
        </row>
        <row r="34">
          <cell r="A34" t="str">
            <v>NC0038</v>
          </cell>
          <cell r="B34" t="str">
            <v>Haywood</v>
          </cell>
          <cell r="C34">
            <v>5</v>
          </cell>
          <cell r="D34">
            <v>2</v>
          </cell>
          <cell r="E34">
            <v>7</v>
          </cell>
          <cell r="F34">
            <v>10</v>
          </cell>
          <cell r="G34">
            <v>17</v>
          </cell>
          <cell r="H34">
            <v>6.8802512505868449</v>
          </cell>
          <cell r="I34">
            <v>0.29409999999999997</v>
          </cell>
        </row>
        <row r="35">
          <cell r="A35" t="str">
            <v>NC0039</v>
          </cell>
          <cell r="B35" t="str">
            <v>Henderson</v>
          </cell>
          <cell r="C35">
            <v>9.3800000000000008</v>
          </cell>
          <cell r="D35">
            <v>0</v>
          </cell>
          <cell r="E35">
            <v>9.3800000000000008</v>
          </cell>
          <cell r="F35">
            <v>27.02</v>
          </cell>
          <cell r="G35">
            <v>36.4</v>
          </cell>
          <cell r="H35">
            <v>7.9555885824190229</v>
          </cell>
          <cell r="I35">
            <v>0.25769999999999998</v>
          </cell>
        </row>
        <row r="36">
          <cell r="A36" t="str">
            <v>NC0040</v>
          </cell>
          <cell r="B36" t="str">
            <v>Iredell</v>
          </cell>
          <cell r="C36">
            <v>6</v>
          </cell>
          <cell r="D36">
            <v>1</v>
          </cell>
          <cell r="E36">
            <v>7</v>
          </cell>
          <cell r="F36">
            <v>23.38</v>
          </cell>
          <cell r="G36">
            <v>30.38</v>
          </cell>
          <cell r="H36">
            <v>5.6542810985460425</v>
          </cell>
          <cell r="I36">
            <v>0.19750000000000001</v>
          </cell>
        </row>
        <row r="37">
          <cell r="A37" t="str">
            <v>NC0041</v>
          </cell>
          <cell r="B37" t="str">
            <v>Johnston</v>
          </cell>
          <cell r="C37">
            <v>5</v>
          </cell>
          <cell r="D37">
            <v>1</v>
          </cell>
          <cell r="E37">
            <v>6</v>
          </cell>
          <cell r="F37">
            <v>20</v>
          </cell>
          <cell r="G37">
            <v>26</v>
          </cell>
          <cell r="H37">
            <v>3.8227873412808102</v>
          </cell>
          <cell r="I37">
            <v>0.1923</v>
          </cell>
        </row>
        <row r="38">
          <cell r="A38" t="str">
            <v>NC0042</v>
          </cell>
          <cell r="B38" t="str">
            <v>Lee</v>
          </cell>
          <cell r="C38">
            <v>3</v>
          </cell>
          <cell r="D38">
            <v>0</v>
          </cell>
          <cell r="E38">
            <v>3</v>
          </cell>
          <cell r="F38">
            <v>5</v>
          </cell>
          <cell r="G38">
            <v>8</v>
          </cell>
          <cell r="H38">
            <v>3.3758692863412332</v>
          </cell>
          <cell r="I38">
            <v>0.375</v>
          </cell>
        </row>
        <row r="39">
          <cell r="A39" t="str">
            <v>NC0106</v>
          </cell>
          <cell r="B39" t="str">
            <v>Lincoln</v>
          </cell>
          <cell r="C39">
            <v>3</v>
          </cell>
          <cell r="D39">
            <v>1</v>
          </cell>
          <cell r="E39">
            <v>4</v>
          </cell>
          <cell r="F39">
            <v>18</v>
          </cell>
          <cell r="G39">
            <v>22</v>
          </cell>
          <cell r="H39">
            <v>6.7046188728926159</v>
          </cell>
          <cell r="I39">
            <v>0.13639999999999999</v>
          </cell>
        </row>
        <row r="40">
          <cell r="A40" t="str">
            <v>NC0043</v>
          </cell>
          <cell r="B40" t="str">
            <v>Madison</v>
          </cell>
          <cell r="C40">
            <v>1</v>
          </cell>
          <cell r="D40">
            <v>0</v>
          </cell>
          <cell r="E40">
            <v>1</v>
          </cell>
          <cell r="F40">
            <v>10.63</v>
          </cell>
          <cell r="G40">
            <v>11.63</v>
          </cell>
          <cell r="H40">
            <v>13.228536330133309</v>
          </cell>
          <cell r="I40">
            <v>8.5999999999999993E-2</v>
          </cell>
        </row>
        <row r="41">
          <cell r="A41" t="str">
            <v>NC0044</v>
          </cell>
          <cell r="B41" t="str">
            <v>McDowell</v>
          </cell>
          <cell r="C41">
            <v>2</v>
          </cell>
          <cell r="D41">
            <v>0</v>
          </cell>
          <cell r="E41">
            <v>2</v>
          </cell>
          <cell r="F41">
            <v>17.45</v>
          </cell>
          <cell r="G41">
            <v>19.45</v>
          </cell>
          <cell r="H41">
            <v>10.684464952757635</v>
          </cell>
          <cell r="I41">
            <v>0.1028</v>
          </cell>
        </row>
        <row r="42">
          <cell r="A42" t="str">
            <v>NC0045</v>
          </cell>
          <cell r="B42" t="str">
            <v>Mecklenburg</v>
          </cell>
          <cell r="C42">
            <v>122.6</v>
          </cell>
          <cell r="D42">
            <v>1</v>
          </cell>
          <cell r="E42">
            <v>123.6</v>
          </cell>
          <cell r="F42">
            <v>295.68</v>
          </cell>
          <cell r="G42">
            <v>419.28</v>
          </cell>
          <cell r="H42">
            <v>9.9492665239738205</v>
          </cell>
          <cell r="I42">
            <v>0.29239999999999999</v>
          </cell>
        </row>
        <row r="43">
          <cell r="A43" t="str">
            <v>NC0046</v>
          </cell>
          <cell r="B43" t="str">
            <v>Nash (Braswell)</v>
          </cell>
          <cell r="C43">
            <v>8.9</v>
          </cell>
          <cell r="D43">
            <v>0</v>
          </cell>
          <cell r="E43">
            <v>8.9</v>
          </cell>
          <cell r="F43">
            <v>17.22</v>
          </cell>
          <cell r="G43">
            <v>26.12</v>
          </cell>
          <cell r="H43">
            <v>7.3214485928915796</v>
          </cell>
          <cell r="I43">
            <v>0.3407</v>
          </cell>
        </row>
        <row r="44">
          <cell r="A44" t="str">
            <v>NC0047</v>
          </cell>
          <cell r="B44" t="str">
            <v>New Hanover</v>
          </cell>
          <cell r="C44">
            <v>15</v>
          </cell>
          <cell r="D44">
            <v>0</v>
          </cell>
          <cell r="E44">
            <v>15</v>
          </cell>
          <cell r="F44">
            <v>31</v>
          </cell>
          <cell r="G44">
            <v>46</v>
          </cell>
          <cell r="H44">
            <v>5.1429286966477052</v>
          </cell>
          <cell r="I44">
            <v>0.3261</v>
          </cell>
        </row>
        <row r="45">
          <cell r="A45" t="str">
            <v>NC0048</v>
          </cell>
          <cell r="B45" t="str">
            <v>Onslow</v>
          </cell>
          <cell r="C45">
            <v>6</v>
          </cell>
          <cell r="D45">
            <v>0</v>
          </cell>
          <cell r="E45">
            <v>6</v>
          </cell>
          <cell r="F45">
            <v>28.5</v>
          </cell>
          <cell r="G45">
            <v>34.5</v>
          </cell>
          <cell r="H45">
            <v>4.4478480150994768</v>
          </cell>
          <cell r="I45">
            <v>0.1739</v>
          </cell>
        </row>
        <row r="46">
          <cell r="A46" t="str">
            <v>NC0108</v>
          </cell>
          <cell r="B46" t="str">
            <v>Orange</v>
          </cell>
          <cell r="C46">
            <v>12.15</v>
          </cell>
          <cell r="D46">
            <v>0</v>
          </cell>
          <cell r="E46">
            <v>12.15</v>
          </cell>
          <cell r="F46">
            <v>12.13</v>
          </cell>
          <cell r="G46">
            <v>24.28</v>
          </cell>
          <cell r="H46">
            <v>7.212366773208494</v>
          </cell>
          <cell r="I46">
            <v>0.50039999999999996</v>
          </cell>
        </row>
        <row r="47">
          <cell r="A47" t="str">
            <v>NC0049</v>
          </cell>
          <cell r="B47" t="str">
            <v>Pender</v>
          </cell>
          <cell r="C47">
            <v>2</v>
          </cell>
          <cell r="D47">
            <v>0</v>
          </cell>
          <cell r="E47">
            <v>2</v>
          </cell>
          <cell r="F47">
            <v>10.8</v>
          </cell>
          <cell r="G47">
            <v>12.8</v>
          </cell>
          <cell r="H47">
            <v>5.3818597689163967</v>
          </cell>
          <cell r="I47">
            <v>0.15629999999999999</v>
          </cell>
        </row>
        <row r="48">
          <cell r="A48" t="str">
            <v>NC0109</v>
          </cell>
          <cell r="B48" t="str">
            <v>Person</v>
          </cell>
          <cell r="C48">
            <v>4</v>
          </cell>
          <cell r="D48">
            <v>0</v>
          </cell>
          <cell r="E48">
            <v>4</v>
          </cell>
          <cell r="F48">
            <v>3</v>
          </cell>
          <cell r="G48">
            <v>7</v>
          </cell>
          <cell r="H48">
            <v>4.4049536850583966</v>
          </cell>
          <cell r="I48">
            <v>0.57140000000000002</v>
          </cell>
        </row>
        <row r="49">
          <cell r="A49" t="str">
            <v>NC0050</v>
          </cell>
          <cell r="B49" t="str">
            <v>Pitt (Sheppard)</v>
          </cell>
          <cell r="C49">
            <v>1</v>
          </cell>
          <cell r="D49">
            <v>4</v>
          </cell>
          <cell r="E49">
            <v>5</v>
          </cell>
          <cell r="F49">
            <v>30.81</v>
          </cell>
          <cell r="G49">
            <v>35.81</v>
          </cell>
          <cell r="H49">
            <v>5.2288058873346381</v>
          </cell>
          <cell r="I49">
            <v>2.7900000000000001E-2</v>
          </cell>
        </row>
        <row r="50">
          <cell r="A50" t="str">
            <v>NC0051</v>
          </cell>
          <cell r="B50" t="str">
            <v>Polk</v>
          </cell>
          <cell r="C50">
            <v>2.81</v>
          </cell>
          <cell r="D50">
            <v>0</v>
          </cell>
          <cell r="E50">
            <v>2.81</v>
          </cell>
          <cell r="F50">
            <v>7.95</v>
          </cell>
          <cell r="G50">
            <v>10.76</v>
          </cell>
          <cell r="H50">
            <v>12.791250594388968</v>
          </cell>
          <cell r="I50">
            <v>0.26119999999999999</v>
          </cell>
        </row>
        <row r="51">
          <cell r="A51" t="str">
            <v>NC0052</v>
          </cell>
          <cell r="B51" t="str">
            <v>Randolph</v>
          </cell>
          <cell r="C51">
            <v>14</v>
          </cell>
          <cell r="D51">
            <v>0</v>
          </cell>
          <cell r="E51">
            <v>14</v>
          </cell>
          <cell r="F51">
            <v>716.18000000000006</v>
          </cell>
          <cell r="G51">
            <v>43.95</v>
          </cell>
          <cell r="H51">
            <v>7.6460845783954197</v>
          </cell>
          <cell r="I51">
            <v>0.31850000000000001</v>
          </cell>
        </row>
        <row r="52">
          <cell r="A52" t="str">
            <v>NC0053</v>
          </cell>
          <cell r="B52" t="str">
            <v>Robeson</v>
          </cell>
          <cell r="C52">
            <v>5</v>
          </cell>
          <cell r="D52">
            <v>0</v>
          </cell>
          <cell r="E52">
            <v>5</v>
          </cell>
          <cell r="F52">
            <v>14.85</v>
          </cell>
          <cell r="G52">
            <v>19.850000000000001</v>
          </cell>
          <cell r="H52">
            <v>3.7408504639785312</v>
          </cell>
          <cell r="I52">
            <v>0.25190000000000001</v>
          </cell>
        </row>
        <row r="53">
          <cell r="A53" t="str">
            <v>NC0054</v>
          </cell>
          <cell r="B53" t="str">
            <v>Rockingham</v>
          </cell>
          <cell r="C53">
            <v>8</v>
          </cell>
          <cell r="D53">
            <v>0</v>
          </cell>
          <cell r="E53">
            <v>8</v>
          </cell>
          <cell r="F53">
            <v>28.3</v>
          </cell>
          <cell r="G53">
            <v>36.299999999999997</v>
          </cell>
          <cell r="H53">
            <v>9.8758311477729048</v>
          </cell>
          <cell r="I53">
            <v>0.22040000000000001</v>
          </cell>
        </row>
        <row r="54">
          <cell r="A54" t="str">
            <v>NC0055</v>
          </cell>
          <cell r="B54" t="str">
            <v>Rowan</v>
          </cell>
          <cell r="C54">
            <v>10</v>
          </cell>
          <cell r="D54">
            <v>1</v>
          </cell>
          <cell r="E54">
            <v>11</v>
          </cell>
          <cell r="F54">
            <v>35.799999999999997</v>
          </cell>
          <cell r="G54">
            <v>46.8</v>
          </cell>
          <cell r="H54">
            <v>8.2996382208980624</v>
          </cell>
          <cell r="I54">
            <v>0.2137</v>
          </cell>
        </row>
        <row r="55">
          <cell r="A55" t="str">
            <v>NC0056</v>
          </cell>
          <cell r="B55" t="str">
            <v>Rutherford</v>
          </cell>
          <cell r="C55">
            <v>1</v>
          </cell>
          <cell r="D55">
            <v>2</v>
          </cell>
          <cell r="E55">
            <v>3</v>
          </cell>
          <cell r="F55">
            <v>6.58</v>
          </cell>
          <cell r="G55">
            <v>9.58</v>
          </cell>
          <cell r="H55">
            <v>3.5375094161263165</v>
          </cell>
          <cell r="I55">
            <v>0.10440000000000001</v>
          </cell>
        </row>
        <row r="56">
          <cell r="A56" t="str">
            <v>NC0057</v>
          </cell>
          <cell r="B56" t="str">
            <v>Sampson</v>
          </cell>
          <cell r="C56">
            <v>1</v>
          </cell>
          <cell r="D56">
            <v>0</v>
          </cell>
          <cell r="E56">
            <v>1</v>
          </cell>
          <cell r="F56">
            <v>12.3</v>
          </cell>
          <cell r="G56">
            <v>13.3</v>
          </cell>
          <cell r="H56">
            <v>5.2363029339044704</v>
          </cell>
          <cell r="I56">
            <v>7.5200000000000003E-2</v>
          </cell>
        </row>
        <row r="57">
          <cell r="A57" t="str">
            <v>NC0058</v>
          </cell>
          <cell r="B57" t="str">
            <v>Scotland</v>
          </cell>
          <cell r="C57">
            <v>1</v>
          </cell>
          <cell r="D57">
            <v>0</v>
          </cell>
          <cell r="E57">
            <v>1</v>
          </cell>
          <cell r="F57">
            <v>5.3</v>
          </cell>
          <cell r="G57">
            <v>6.3</v>
          </cell>
          <cell r="H57">
            <v>4.4007935399144991</v>
          </cell>
          <cell r="I57">
            <v>0.15870000000000001</v>
          </cell>
        </row>
        <row r="58">
          <cell r="A58" t="str">
            <v>NC0059</v>
          </cell>
          <cell r="B58" t="str">
            <v>Stanly</v>
          </cell>
          <cell r="C58">
            <v>3.75</v>
          </cell>
          <cell r="D58">
            <v>0</v>
          </cell>
          <cell r="E58">
            <v>3.75</v>
          </cell>
          <cell r="F58">
            <v>10</v>
          </cell>
          <cell r="G58">
            <v>13.75</v>
          </cell>
          <cell r="H58">
            <v>5.566711470259591</v>
          </cell>
          <cell r="I58">
            <v>0.2727</v>
          </cell>
        </row>
        <row r="59">
          <cell r="A59" t="str">
            <v>NC0060</v>
          </cell>
          <cell r="B59" t="str">
            <v>Transylvania</v>
          </cell>
          <cell r="C59">
            <v>4.6900000000000004</v>
          </cell>
          <cell r="D59">
            <v>0.94</v>
          </cell>
          <cell r="E59">
            <v>5.63</v>
          </cell>
          <cell r="F59">
            <v>12.19</v>
          </cell>
          <cell r="G59">
            <v>17.82</v>
          </cell>
          <cell r="H59">
            <v>13.049591376431646</v>
          </cell>
          <cell r="I59">
            <v>0.26319999999999999</v>
          </cell>
        </row>
        <row r="60">
          <cell r="A60" t="str">
            <v>NC0061</v>
          </cell>
          <cell r="B60" t="str">
            <v>Union</v>
          </cell>
          <cell r="C60">
            <v>5</v>
          </cell>
          <cell r="D60">
            <v>4</v>
          </cell>
          <cell r="E60">
            <v>9</v>
          </cell>
          <cell r="F60">
            <v>44.53</v>
          </cell>
          <cell r="G60">
            <v>53.53</v>
          </cell>
          <cell r="H60">
            <v>5.9765982627336269</v>
          </cell>
          <cell r="I60">
            <v>9.3399999999999997E-2</v>
          </cell>
        </row>
        <row r="61">
          <cell r="A61" t="str">
            <v>NC0062</v>
          </cell>
          <cell r="B61" t="str">
            <v>Vance (Perry)</v>
          </cell>
          <cell r="C61">
            <v>3</v>
          </cell>
          <cell r="D61">
            <v>0</v>
          </cell>
          <cell r="E61">
            <v>3</v>
          </cell>
          <cell r="F61">
            <v>12</v>
          </cell>
          <cell r="G61">
            <v>15</v>
          </cell>
          <cell r="H61">
            <v>8.3435309823117141</v>
          </cell>
          <cell r="I61">
            <v>0.2</v>
          </cell>
        </row>
        <row r="62">
          <cell r="A62" t="str">
            <v>NC0063</v>
          </cell>
          <cell r="B62" t="str">
            <v>Wake</v>
          </cell>
          <cell r="C62">
            <v>125</v>
          </cell>
          <cell r="D62">
            <v>1</v>
          </cell>
          <cell r="E62">
            <v>126</v>
          </cell>
          <cell r="F62">
            <v>121</v>
          </cell>
          <cell r="G62">
            <v>247</v>
          </cell>
          <cell r="H62">
            <v>6.0141339452329099</v>
          </cell>
          <cell r="I62">
            <v>0.50609999999999999</v>
          </cell>
        </row>
        <row r="63">
          <cell r="A63" t="str">
            <v>NC0101</v>
          </cell>
          <cell r="B63" t="str">
            <v>Warren</v>
          </cell>
          <cell r="C63">
            <v>1</v>
          </cell>
          <cell r="D63">
            <v>0</v>
          </cell>
          <cell r="E63">
            <v>1</v>
          </cell>
          <cell r="F63">
            <v>7</v>
          </cell>
          <cell r="G63">
            <v>8</v>
          </cell>
          <cell r="H63">
            <v>9.939863823865613</v>
          </cell>
          <cell r="I63">
            <v>0.125</v>
          </cell>
        </row>
        <row r="64">
          <cell r="A64" t="str">
            <v>NC0065</v>
          </cell>
          <cell r="B64" t="str">
            <v>Wayne</v>
          </cell>
          <cell r="C64">
            <v>9</v>
          </cell>
          <cell r="D64">
            <v>5.3</v>
          </cell>
          <cell r="E64">
            <v>14.3</v>
          </cell>
          <cell r="F64">
            <v>22.23</v>
          </cell>
          <cell r="G64">
            <v>36.53</v>
          </cell>
          <cell r="H64">
            <v>7.3172392795333634</v>
          </cell>
          <cell r="I64">
            <v>0.24640000000000001</v>
          </cell>
        </row>
        <row r="65">
          <cell r="A65" t="str">
            <v>NC0066</v>
          </cell>
          <cell r="B65" t="str">
            <v>Wilson</v>
          </cell>
          <cell r="C65">
            <v>6</v>
          </cell>
          <cell r="D65">
            <v>3</v>
          </cell>
          <cell r="E65">
            <v>9</v>
          </cell>
          <cell r="F65">
            <v>19.190000000000001</v>
          </cell>
          <cell r="G65">
            <v>28.19</v>
          </cell>
          <cell r="H65">
            <v>8.6199515643729061</v>
          </cell>
          <cell r="I65">
            <v>0.21279999999999999</v>
          </cell>
        </row>
        <row r="66">
          <cell r="A66" t="str">
            <v>Mean average</v>
          </cell>
          <cell r="C66">
            <v>11.54189655172414</v>
          </cell>
          <cell r="D66">
            <v>1.0025862068965516</v>
          </cell>
          <cell r="E66">
            <v>12.544482758620687</v>
          </cell>
          <cell r="F66">
            <v>41.294827586206921</v>
          </cell>
          <cell r="G66">
            <v>42.007758620689657</v>
          </cell>
          <cell r="H66">
            <v>6.9949855806230259</v>
          </cell>
          <cell r="I66">
            <v>0.21212241379310343</v>
          </cell>
        </row>
        <row r="67">
          <cell r="A67" t="str">
            <v>Regional Libraries</v>
          </cell>
        </row>
        <row r="68">
          <cell r="A68" t="str">
            <v>NC0001</v>
          </cell>
          <cell r="B68" t="str">
            <v>Albemarle</v>
          </cell>
          <cell r="C68">
            <v>1</v>
          </cell>
          <cell r="D68">
            <v>1</v>
          </cell>
          <cell r="E68">
            <v>2</v>
          </cell>
          <cell r="F68">
            <v>17</v>
          </cell>
          <cell r="G68">
            <v>19</v>
          </cell>
          <cell r="H68">
            <v>6.2039600856799542</v>
          </cell>
          <cell r="I68">
            <v>5.2600000000000001E-2</v>
          </cell>
        </row>
        <row r="69">
          <cell r="A69" t="str">
            <v>NC0003</v>
          </cell>
          <cell r="B69" t="str">
            <v>AMY</v>
          </cell>
          <cell r="C69">
            <v>2</v>
          </cell>
          <cell r="D69">
            <v>0</v>
          </cell>
          <cell r="E69">
            <v>2</v>
          </cell>
          <cell r="F69">
            <v>17</v>
          </cell>
          <cell r="G69">
            <v>19</v>
          </cell>
          <cell r="H69">
            <v>9.2222265367141691</v>
          </cell>
          <cell r="I69">
            <v>0.1053</v>
          </cell>
        </row>
        <row r="70">
          <cell r="A70" t="str">
            <v>NC0002</v>
          </cell>
          <cell r="B70" t="str">
            <v>Appalachian</v>
          </cell>
          <cell r="C70">
            <v>4</v>
          </cell>
          <cell r="D70">
            <v>8.6300000000000008</v>
          </cell>
          <cell r="E70">
            <v>12.63</v>
          </cell>
          <cell r="F70">
            <v>33.15</v>
          </cell>
          <cell r="G70">
            <v>45.78</v>
          </cell>
          <cell r="H70">
            <v>7.5116662181763285</v>
          </cell>
          <cell r="I70">
            <v>8.7400000000000005E-2</v>
          </cell>
        </row>
        <row r="71">
          <cell r="A71" t="str">
            <v>NC0004</v>
          </cell>
          <cell r="B71" t="str">
            <v>BHM</v>
          </cell>
          <cell r="C71">
            <v>2</v>
          </cell>
          <cell r="D71">
            <v>1</v>
          </cell>
          <cell r="E71">
            <v>3</v>
          </cell>
          <cell r="F71">
            <v>15.1</v>
          </cell>
          <cell r="G71">
            <v>18.100000000000001</v>
          </cell>
          <cell r="H71">
            <v>6.726024139366193</v>
          </cell>
          <cell r="I71">
            <v>0.1105</v>
          </cell>
        </row>
        <row r="72">
          <cell r="A72" t="str">
            <v>NC0006</v>
          </cell>
          <cell r="B72" t="str">
            <v>CPC</v>
          </cell>
          <cell r="C72">
            <v>4.68</v>
          </cell>
          <cell r="D72">
            <v>5</v>
          </cell>
          <cell r="E72">
            <v>9.68</v>
          </cell>
          <cell r="F72">
            <v>61.05</v>
          </cell>
          <cell r="G72">
            <v>70.73</v>
          </cell>
          <cell r="H72">
            <v>9.4582089711907749</v>
          </cell>
          <cell r="I72">
            <v>6.6199999999999995E-2</v>
          </cell>
        </row>
        <row r="73">
          <cell r="A73" t="str">
            <v>NC0007</v>
          </cell>
          <cell r="B73" t="str">
            <v>E. Albemarle</v>
          </cell>
          <cell r="C73">
            <v>4.6900000000000004</v>
          </cell>
          <cell r="D73">
            <v>0</v>
          </cell>
          <cell r="E73">
            <v>4.6900000000000004</v>
          </cell>
          <cell r="F73">
            <v>42.07</v>
          </cell>
          <cell r="G73">
            <v>46.76</v>
          </cell>
          <cell r="H73">
            <v>10.3397341211226</v>
          </cell>
          <cell r="I73">
            <v>0.1003</v>
          </cell>
        </row>
        <row r="74">
          <cell r="A74" t="str">
            <v>NC0008</v>
          </cell>
          <cell r="B74" t="str">
            <v>Fontana</v>
          </cell>
          <cell r="C74">
            <v>8</v>
          </cell>
          <cell r="D74">
            <v>0</v>
          </cell>
          <cell r="E74">
            <v>8</v>
          </cell>
          <cell r="F74">
            <v>53.5</v>
          </cell>
          <cell r="G74">
            <v>61.5</v>
          </cell>
          <cell r="H74">
            <v>16.836215109339584</v>
          </cell>
          <cell r="I74">
            <v>0.13009999999999999</v>
          </cell>
        </row>
        <row r="75">
          <cell r="A75" t="str">
            <v>NC0011</v>
          </cell>
          <cell r="B75" t="str">
            <v>Nantahala</v>
          </cell>
          <cell r="C75">
            <v>2.88</v>
          </cell>
          <cell r="D75">
            <v>0</v>
          </cell>
          <cell r="E75">
            <v>2.88</v>
          </cell>
          <cell r="F75">
            <v>11.44</v>
          </cell>
          <cell r="G75">
            <v>14.32</v>
          </cell>
          <cell r="H75">
            <v>7.3441923439871992</v>
          </cell>
          <cell r="I75">
            <v>0.2011</v>
          </cell>
        </row>
        <row r="76">
          <cell r="A76" t="str">
            <v>NC0012</v>
          </cell>
          <cell r="B76" t="str">
            <v>Neuse</v>
          </cell>
          <cell r="C76">
            <v>6</v>
          </cell>
          <cell r="D76">
            <v>0</v>
          </cell>
          <cell r="E76">
            <v>6</v>
          </cell>
          <cell r="F76">
            <v>24.08</v>
          </cell>
          <cell r="G76">
            <v>30.08</v>
          </cell>
          <cell r="H76">
            <v>8.4152100445379467</v>
          </cell>
          <cell r="I76">
            <v>0.19950000000000001</v>
          </cell>
        </row>
        <row r="77">
          <cell r="A77" t="str">
            <v>NC0013</v>
          </cell>
          <cell r="B77" t="str">
            <v>Northwestern</v>
          </cell>
          <cell r="C77">
            <v>3</v>
          </cell>
          <cell r="D77">
            <v>0</v>
          </cell>
          <cell r="E77">
            <v>3</v>
          </cell>
          <cell r="F77">
            <v>46.19</v>
          </cell>
          <cell r="G77">
            <v>49.19</v>
          </cell>
          <cell r="H77">
            <v>7.2973101275211985</v>
          </cell>
          <cell r="I77">
            <v>6.0999999999999999E-2</v>
          </cell>
        </row>
        <row r="78">
          <cell r="A78" t="str">
            <v>NC0014</v>
          </cell>
          <cell r="B78" t="str">
            <v>Pettigrew</v>
          </cell>
          <cell r="C78">
            <v>3.5</v>
          </cell>
          <cell r="D78">
            <v>0.88</v>
          </cell>
          <cell r="E78">
            <v>4.38</v>
          </cell>
          <cell r="F78">
            <v>3.94</v>
          </cell>
          <cell r="G78">
            <v>8.32</v>
          </cell>
          <cell r="H78">
            <v>4.6707985269020034</v>
          </cell>
          <cell r="I78">
            <v>0.42070000000000002</v>
          </cell>
        </row>
        <row r="79">
          <cell r="A79" t="str">
            <v>NC0015</v>
          </cell>
          <cell r="B79" t="str">
            <v>Sandhill</v>
          </cell>
          <cell r="C79">
            <v>5</v>
          </cell>
          <cell r="D79">
            <v>1</v>
          </cell>
          <cell r="E79">
            <v>6</v>
          </cell>
          <cell r="F79">
            <v>40.03</v>
          </cell>
          <cell r="G79">
            <v>46.03</v>
          </cell>
          <cell r="H79">
            <v>4.9416407578542358</v>
          </cell>
          <cell r="I79">
            <v>0.1086</v>
          </cell>
        </row>
        <row r="80">
          <cell r="A80" t="str">
            <v>Mean average</v>
          </cell>
          <cell r="C80">
            <v>3.8958333333333335</v>
          </cell>
          <cell r="D80">
            <v>1.4591666666666667</v>
          </cell>
          <cell r="E80">
            <v>5.3550000000000004</v>
          </cell>
          <cell r="F80">
            <v>30.379166666666663</v>
          </cell>
          <cell r="G80">
            <v>35.73416666666666</v>
          </cell>
          <cell r="H80">
            <v>8.2472655818660154</v>
          </cell>
          <cell r="I80">
            <v>0.13694166666666666</v>
          </cell>
        </row>
        <row r="81">
          <cell r="B81" t="str">
            <v>Municipal Libraries</v>
          </cell>
        </row>
        <row r="82">
          <cell r="A82" t="str">
            <v>NC0071</v>
          </cell>
          <cell r="B82" t="str">
            <v>Chapel Hill</v>
          </cell>
          <cell r="C82">
            <v>10</v>
          </cell>
          <cell r="D82">
            <v>0</v>
          </cell>
          <cell r="E82">
            <v>10</v>
          </cell>
          <cell r="F82">
            <v>24.03</v>
          </cell>
          <cell r="G82">
            <v>34.03</v>
          </cell>
          <cell r="H82">
            <v>14.214228430127648</v>
          </cell>
          <cell r="I82">
            <v>0.29389999999999999</v>
          </cell>
          <cell r="J82">
            <v>17.277567318521552</v>
          </cell>
        </row>
        <row r="83">
          <cell r="A83" t="str">
            <v>NC0110</v>
          </cell>
          <cell r="B83" t="str">
            <v>Clayton</v>
          </cell>
          <cell r="C83">
            <v>2</v>
          </cell>
          <cell r="D83">
            <v>0</v>
          </cell>
          <cell r="E83">
            <v>2</v>
          </cell>
          <cell r="F83">
            <v>7.3</v>
          </cell>
          <cell r="G83">
            <v>9.3000000000000007</v>
          </cell>
          <cell r="H83">
            <v>11.967879754980183</v>
          </cell>
          <cell r="I83">
            <v>0.21510000000000001</v>
          </cell>
        </row>
        <row r="84">
          <cell r="A84" t="str">
            <v>NC0075</v>
          </cell>
          <cell r="B84" t="str">
            <v>Farmville</v>
          </cell>
          <cell r="C84">
            <v>1</v>
          </cell>
          <cell r="D84">
            <v>1</v>
          </cell>
          <cell r="E84">
            <v>2</v>
          </cell>
          <cell r="F84">
            <v>2</v>
          </cell>
          <cell r="G84">
            <v>4</v>
          </cell>
          <cell r="H84">
            <v>21.413276231263385</v>
          </cell>
          <cell r="I84">
            <v>0.25</v>
          </cell>
        </row>
        <row r="85">
          <cell r="G85">
            <v>24.94</v>
          </cell>
        </row>
        <row r="86">
          <cell r="G86">
            <v>59.75</v>
          </cell>
        </row>
        <row r="87">
          <cell r="G87">
            <v>8</v>
          </cell>
        </row>
        <row r="88">
          <cell r="G88">
            <v>27</v>
          </cell>
        </row>
        <row r="89">
          <cell r="G89">
            <v>4.25</v>
          </cell>
        </row>
        <row r="90">
          <cell r="G90">
            <v>5.05</v>
          </cell>
        </row>
        <row r="91">
          <cell r="G91">
            <v>10.45</v>
          </cell>
        </row>
        <row r="92">
          <cell r="G92">
            <v>7</v>
          </cell>
        </row>
      </sheetData>
      <sheetData sheetId="3">
        <row r="4">
          <cell r="C4" t="str">
            <v>Staff</v>
          </cell>
          <cell r="D4" t="str">
            <v>Expenditures on</v>
          </cell>
          <cell r="E4" t="str">
            <v>Library Director</v>
          </cell>
          <cell r="I4" t="str">
            <v>Management</v>
          </cell>
          <cell r="N4" t="str">
            <v>Non-Management</v>
          </cell>
        </row>
        <row r="5">
          <cell r="C5" t="str">
            <v>expenditures</v>
          </cell>
          <cell r="D5" t="str">
            <v>salaries &amp; wages</v>
          </cell>
          <cell r="F5" t="str">
            <v>Salary</v>
          </cell>
          <cell r="G5" t="str">
            <v>Year</v>
          </cell>
          <cell r="H5" t="str">
            <v>Assistant</v>
          </cell>
          <cell r="I5" t="str">
            <v>Branch Manager</v>
          </cell>
          <cell r="J5" t="str">
            <v>Adult Services</v>
          </cell>
          <cell r="K5" t="str">
            <v>Youth Services</v>
          </cell>
          <cell r="L5" t="str">
            <v>Technical Services</v>
          </cell>
          <cell r="M5" t="str">
            <v>Circulation</v>
          </cell>
          <cell r="N5" t="str">
            <v>Adult Services</v>
          </cell>
          <cell r="O5" t="str">
            <v>Youth Services</v>
          </cell>
          <cell r="P5" t="str">
            <v>Technical Services</v>
          </cell>
          <cell r="Q5" t="str">
            <v>Circulation</v>
          </cell>
        </row>
        <row r="6">
          <cell r="C6" t="str">
            <v>per capita</v>
          </cell>
          <cell r="D6" t="str">
            <v>per FTE</v>
          </cell>
          <cell r="E6" t="str">
            <v>Salary ($)</v>
          </cell>
          <cell r="F6" t="str">
            <v xml:space="preserve"> range ($)</v>
          </cell>
          <cell r="G6" t="str">
            <v>Appointed</v>
          </cell>
          <cell r="H6" t="str">
            <v>Director</v>
          </cell>
          <cell r="I6" t="str">
            <v>Ave</v>
          </cell>
          <cell r="J6" t="str">
            <v>Ave</v>
          </cell>
          <cell r="K6" t="str">
            <v>Ave</v>
          </cell>
          <cell r="L6" t="str">
            <v>Ave</v>
          </cell>
          <cell r="M6" t="str">
            <v>Ave</v>
          </cell>
          <cell r="N6" t="str">
            <v>Ave</v>
          </cell>
          <cell r="O6" t="str">
            <v>Ave</v>
          </cell>
          <cell r="P6" t="str">
            <v>Ave</v>
          </cell>
          <cell r="Q6" t="str">
            <v>Ave</v>
          </cell>
        </row>
        <row r="7">
          <cell r="B7" t="str">
            <v>County Libraries</v>
          </cell>
        </row>
        <row r="8">
          <cell r="A8" t="str">
            <v>NC0103</v>
          </cell>
          <cell r="B8" t="str">
            <v>Alamance</v>
          </cell>
          <cell r="C8">
            <v>7.6039668713463154E-2</v>
          </cell>
          <cell r="D8">
            <v>46093.52137505509</v>
          </cell>
          <cell r="E8">
            <v>76404</v>
          </cell>
          <cell r="F8" t="str">
            <v>66,245 - 105,991</v>
          </cell>
          <cell r="G8" t="str">
            <v>2010</v>
          </cell>
          <cell r="H8">
            <v>0</v>
          </cell>
          <cell r="I8">
            <v>55455</v>
          </cell>
          <cell r="J8">
            <v>50780</v>
          </cell>
          <cell r="K8">
            <v>50780</v>
          </cell>
          <cell r="L8">
            <v>60559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A9" t="str">
            <v>NC0016</v>
          </cell>
          <cell r="B9" t="str">
            <v>Alexander</v>
          </cell>
          <cell r="C9">
            <v>0.11011559779216558</v>
          </cell>
          <cell r="D9">
            <v>37263.772775991427</v>
          </cell>
          <cell r="E9">
            <v>47983</v>
          </cell>
          <cell r="F9" t="str">
            <v>45670.37-64531.04</v>
          </cell>
          <cell r="G9" t="str">
            <v>2011</v>
          </cell>
          <cell r="H9">
            <v>0</v>
          </cell>
          <cell r="I9">
            <v>28568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29284</v>
          </cell>
          <cell r="P9">
            <v>24633</v>
          </cell>
          <cell r="Q9">
            <v>24543</v>
          </cell>
        </row>
        <row r="10">
          <cell r="A10" t="str">
            <v>NC0017</v>
          </cell>
          <cell r="B10" t="str">
            <v>Bladen</v>
          </cell>
          <cell r="C10">
            <v>7.9715510342988016E-2</v>
          </cell>
          <cell r="D10">
            <v>42386.354775828462</v>
          </cell>
          <cell r="E10">
            <v>51192</v>
          </cell>
          <cell r="F10" t="str">
            <v>$50,081-$64,544</v>
          </cell>
          <cell r="G10" t="str">
            <v>2015</v>
          </cell>
          <cell r="H10">
            <v>43999</v>
          </cell>
          <cell r="I10">
            <v>26902</v>
          </cell>
          <cell r="J10">
            <v>0</v>
          </cell>
          <cell r="K10">
            <v>0</v>
          </cell>
          <cell r="L10">
            <v>39015</v>
          </cell>
          <cell r="M10">
            <v>0</v>
          </cell>
          <cell r="N10">
            <v>0</v>
          </cell>
          <cell r="O10">
            <v>29944</v>
          </cell>
          <cell r="P10">
            <v>0</v>
          </cell>
          <cell r="Q10">
            <v>0</v>
          </cell>
        </row>
        <row r="11">
          <cell r="A11" t="str">
            <v>NC0018</v>
          </cell>
          <cell r="B11" t="str">
            <v>Brunswick</v>
          </cell>
          <cell r="C11">
            <v>0.12928644005359693</v>
          </cell>
          <cell r="D11">
            <v>58124.470588235294</v>
          </cell>
          <cell r="E11">
            <v>109769</v>
          </cell>
          <cell r="F11" t="str">
            <v>71,489 - 114,383</v>
          </cell>
          <cell r="G11" t="str">
            <v>1980</v>
          </cell>
          <cell r="H11">
            <v>0</v>
          </cell>
          <cell r="I11">
            <v>58483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A12" t="str">
            <v>NC0019</v>
          </cell>
          <cell r="B12" t="str">
            <v>Buncombe</v>
          </cell>
          <cell r="C12">
            <v>6.7514462103293163E-2</v>
          </cell>
          <cell r="D12">
            <v>65989.948275862072</v>
          </cell>
          <cell r="E12">
            <v>110777</v>
          </cell>
          <cell r="F12" t="str">
            <v>85,722 - 131,131</v>
          </cell>
          <cell r="G12" t="str">
            <v>2015</v>
          </cell>
          <cell r="H12">
            <v>0</v>
          </cell>
          <cell r="I12">
            <v>43594</v>
          </cell>
          <cell r="J12">
            <v>53059</v>
          </cell>
          <cell r="K12">
            <v>51206</v>
          </cell>
          <cell r="L12">
            <v>48410</v>
          </cell>
          <cell r="M12">
            <v>52492</v>
          </cell>
          <cell r="N12">
            <v>43514</v>
          </cell>
          <cell r="O12">
            <v>43514</v>
          </cell>
          <cell r="P12">
            <v>0</v>
          </cell>
          <cell r="Q12">
            <v>0</v>
          </cell>
        </row>
        <row r="13">
          <cell r="A13" t="str">
            <v>NC0020</v>
          </cell>
          <cell r="B13" t="str">
            <v>Burke</v>
          </cell>
          <cell r="C13">
            <v>9.1809030832497904E-2</v>
          </cell>
          <cell r="D13">
            <v>46438.954869358669</v>
          </cell>
          <cell r="E13">
            <v>72400</v>
          </cell>
          <cell r="F13" t="str">
            <v>55076-85368</v>
          </cell>
          <cell r="G13" t="str">
            <v>2007</v>
          </cell>
          <cell r="H13">
            <v>45125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37120</v>
          </cell>
          <cell r="O13">
            <v>0</v>
          </cell>
          <cell r="P13">
            <v>0</v>
          </cell>
          <cell r="Q13">
            <v>0</v>
          </cell>
        </row>
        <row r="14">
          <cell r="A14" t="str">
            <v>NC0021</v>
          </cell>
          <cell r="B14" t="str">
            <v>Cabarrus</v>
          </cell>
          <cell r="C14">
            <v>8.082092467808652E-2</v>
          </cell>
          <cell r="D14">
            <v>51725.208333333336</v>
          </cell>
          <cell r="E14">
            <v>82326</v>
          </cell>
          <cell r="F14" t="str">
            <v>77,542.40 - 120,868.80</v>
          </cell>
          <cell r="G14" t="str">
            <v>2014</v>
          </cell>
          <cell r="H14">
            <v>0</v>
          </cell>
          <cell r="I14">
            <v>54028</v>
          </cell>
          <cell r="J14">
            <v>46051</v>
          </cell>
          <cell r="K14">
            <v>45042</v>
          </cell>
          <cell r="L14">
            <v>49962</v>
          </cell>
          <cell r="M14">
            <v>48630</v>
          </cell>
          <cell r="N14">
            <v>46051</v>
          </cell>
          <cell r="O14">
            <v>45042</v>
          </cell>
          <cell r="P14">
            <v>49962</v>
          </cell>
          <cell r="Q14">
            <v>48630</v>
          </cell>
        </row>
        <row r="15">
          <cell r="A15" t="str">
            <v>NC0022</v>
          </cell>
          <cell r="B15" t="str">
            <v>Caldwell</v>
          </cell>
          <cell r="C15">
            <v>9.3227039580831977E-2</v>
          </cell>
          <cell r="D15">
            <v>38602.34782608696</v>
          </cell>
          <cell r="E15">
            <v>60000</v>
          </cell>
          <cell r="F15" t="str">
            <v>$54,098.00-$81,146.00</v>
          </cell>
          <cell r="G15" t="str">
            <v>-1</v>
          </cell>
          <cell r="H15">
            <v>0</v>
          </cell>
          <cell r="I15">
            <v>40000</v>
          </cell>
          <cell r="J15">
            <v>40000</v>
          </cell>
          <cell r="K15">
            <v>40000</v>
          </cell>
          <cell r="L15">
            <v>40000</v>
          </cell>
          <cell r="M15">
            <v>0</v>
          </cell>
          <cell r="N15">
            <v>40000</v>
          </cell>
          <cell r="O15">
            <v>40000</v>
          </cell>
          <cell r="P15">
            <v>40000</v>
          </cell>
          <cell r="Q15">
            <v>0</v>
          </cell>
        </row>
        <row r="16">
          <cell r="A16" t="str">
            <v>NC0107</v>
          </cell>
          <cell r="B16" t="str">
            <v>Caswell</v>
          </cell>
          <cell r="C16">
            <v>0.11199996217655041</v>
          </cell>
          <cell r="D16">
            <v>35727.87162162162</v>
          </cell>
          <cell r="E16">
            <v>57657</v>
          </cell>
          <cell r="F16" t="str">
            <v>55,189 - ?</v>
          </cell>
          <cell r="G16" t="str">
            <v>2010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A17" t="str">
            <v>NC0023</v>
          </cell>
          <cell r="B17" t="str">
            <v>Catawba</v>
          </cell>
          <cell r="C17">
            <v>5.8501418851375317E-2</v>
          </cell>
          <cell r="D17">
            <v>57031.724137931036</v>
          </cell>
          <cell r="E17">
            <v>85000</v>
          </cell>
          <cell r="F17" t="str">
            <v>75,840-125,137</v>
          </cell>
          <cell r="G17" t="str">
            <v>2013</v>
          </cell>
          <cell r="H17">
            <v>61500</v>
          </cell>
          <cell r="I17">
            <v>39781</v>
          </cell>
          <cell r="J17">
            <v>43750</v>
          </cell>
          <cell r="K17">
            <v>49500</v>
          </cell>
          <cell r="L17">
            <v>48957</v>
          </cell>
          <cell r="M17">
            <v>0</v>
          </cell>
          <cell r="N17">
            <v>47000</v>
          </cell>
          <cell r="O17">
            <v>0</v>
          </cell>
          <cell r="P17">
            <v>0</v>
          </cell>
          <cell r="Q17">
            <v>0</v>
          </cell>
        </row>
        <row r="18">
          <cell r="A18" t="str">
            <v>NC0104</v>
          </cell>
          <cell r="B18" t="str">
            <v>Chatham</v>
          </cell>
          <cell r="C18">
            <v>7.5989320061176355E-2</v>
          </cell>
          <cell r="D18">
            <v>55110</v>
          </cell>
          <cell r="E18">
            <v>78671</v>
          </cell>
          <cell r="F18" t="str">
            <v>69870-108299</v>
          </cell>
          <cell r="G18" t="str">
            <v>2001</v>
          </cell>
          <cell r="H18">
            <v>0</v>
          </cell>
          <cell r="I18">
            <v>60296</v>
          </cell>
          <cell r="J18">
            <v>0</v>
          </cell>
          <cell r="K18">
            <v>54690</v>
          </cell>
          <cell r="L18">
            <v>0</v>
          </cell>
          <cell r="M18">
            <v>0</v>
          </cell>
          <cell r="N18">
            <v>54690</v>
          </cell>
          <cell r="O18">
            <v>0</v>
          </cell>
          <cell r="P18">
            <v>0</v>
          </cell>
          <cell r="Q18">
            <v>0</v>
          </cell>
        </row>
        <row r="19">
          <cell r="A19" t="str">
            <v>NC0024</v>
          </cell>
          <cell r="B19" t="str">
            <v>Cleveland</v>
          </cell>
          <cell r="C19">
            <v>0.11215060922662522</v>
          </cell>
          <cell r="D19">
            <v>43288.657534246573</v>
          </cell>
          <cell r="E19">
            <v>69401</v>
          </cell>
          <cell r="F19" t="str">
            <v>51183-79889</v>
          </cell>
          <cell r="G19" t="str">
            <v>1986</v>
          </cell>
          <cell r="H19">
            <v>53646</v>
          </cell>
          <cell r="I19">
            <v>32052</v>
          </cell>
          <cell r="J19">
            <v>0</v>
          </cell>
          <cell r="K19">
            <v>0</v>
          </cell>
          <cell r="L19">
            <v>36900</v>
          </cell>
          <cell r="M19">
            <v>32052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A20" t="str">
            <v>NC0025</v>
          </cell>
          <cell r="B20" t="str">
            <v>Columbus</v>
          </cell>
          <cell r="C20">
            <v>5.1455237848422021E-2</v>
          </cell>
          <cell r="D20">
            <v>44451.839999999997</v>
          </cell>
          <cell r="E20">
            <v>58355</v>
          </cell>
          <cell r="F20" t="str">
            <v>52,785 - 75,407</v>
          </cell>
          <cell r="G20" t="str">
            <v>2002</v>
          </cell>
          <cell r="H20">
            <v>0</v>
          </cell>
          <cell r="I20">
            <v>32267</v>
          </cell>
          <cell r="J20">
            <v>39488</v>
          </cell>
          <cell r="K20">
            <v>36885</v>
          </cell>
          <cell r="L20">
            <v>34788</v>
          </cell>
          <cell r="M20">
            <v>30621</v>
          </cell>
          <cell r="N20">
            <v>39488</v>
          </cell>
          <cell r="O20">
            <v>36885</v>
          </cell>
          <cell r="P20">
            <v>34788</v>
          </cell>
          <cell r="Q20">
            <v>30621</v>
          </cell>
        </row>
        <row r="21">
          <cell r="A21" t="str">
            <v>NC0026</v>
          </cell>
          <cell r="B21" t="str">
            <v>Cumberland</v>
          </cell>
          <cell r="C21">
            <v>3.8003905429473378E-2</v>
          </cell>
          <cell r="D21">
            <v>47755.940130963521</v>
          </cell>
          <cell r="E21">
            <v>105318</v>
          </cell>
          <cell r="F21" t="str">
            <v>74,137-124,772</v>
          </cell>
          <cell r="G21" t="str">
            <v>2008</v>
          </cell>
          <cell r="H21">
            <v>69000</v>
          </cell>
          <cell r="I21">
            <v>51379</v>
          </cell>
          <cell r="J21">
            <v>42018</v>
          </cell>
          <cell r="K21">
            <v>42786</v>
          </cell>
          <cell r="L21">
            <v>46488</v>
          </cell>
          <cell r="M21">
            <v>0</v>
          </cell>
          <cell r="N21">
            <v>38866</v>
          </cell>
          <cell r="O21">
            <v>39333</v>
          </cell>
          <cell r="P21">
            <v>37580</v>
          </cell>
          <cell r="Q21">
            <v>0</v>
          </cell>
        </row>
        <row r="22">
          <cell r="A22" t="str">
            <v>NC0027</v>
          </cell>
          <cell r="B22" t="str">
            <v>Davidson</v>
          </cell>
          <cell r="C22">
            <v>6.5419968925841593E-2</v>
          </cell>
          <cell r="D22">
            <v>40558.293289146641</v>
          </cell>
          <cell r="E22">
            <v>72313</v>
          </cell>
          <cell r="F22" t="str">
            <v>$60,538 - $90,807</v>
          </cell>
          <cell r="G22" t="str">
            <v>2004</v>
          </cell>
          <cell r="H22">
            <v>52280</v>
          </cell>
          <cell r="I22">
            <v>48836</v>
          </cell>
          <cell r="J22">
            <v>0</v>
          </cell>
          <cell r="K22">
            <v>0</v>
          </cell>
          <cell r="L22">
            <v>42253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33078</v>
          </cell>
        </row>
        <row r="23">
          <cell r="A23" t="str">
            <v>NC0028</v>
          </cell>
          <cell r="B23" t="str">
            <v>Davie</v>
          </cell>
          <cell r="C23">
            <v>9.4632888689608785E-2</v>
          </cell>
          <cell r="D23">
            <v>44829.14572864322</v>
          </cell>
          <cell r="E23">
            <v>62241</v>
          </cell>
          <cell r="F23" t="str">
            <v>57971-89899</v>
          </cell>
          <cell r="G23" t="str">
            <v>2010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50043</v>
          </cell>
          <cell r="O23">
            <v>50043</v>
          </cell>
          <cell r="P23">
            <v>50043</v>
          </cell>
          <cell r="Q23">
            <v>0</v>
          </cell>
        </row>
        <row r="24">
          <cell r="A24" t="str">
            <v>NC0029</v>
          </cell>
          <cell r="B24" t="str">
            <v>Duplin</v>
          </cell>
          <cell r="C24">
            <v>0.15455212636568977</v>
          </cell>
          <cell r="D24">
            <v>42845.666666666664</v>
          </cell>
          <cell r="E24">
            <v>48060</v>
          </cell>
          <cell r="F24" t="str">
            <v>48,060 - 85,346</v>
          </cell>
          <cell r="G24" t="str">
            <v>2017</v>
          </cell>
          <cell r="H24">
            <v>0</v>
          </cell>
          <cell r="I24">
            <v>26013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30476</v>
          </cell>
          <cell r="P24">
            <v>0</v>
          </cell>
          <cell r="Q24">
            <v>0</v>
          </cell>
        </row>
        <row r="25">
          <cell r="A25" t="str">
            <v>NC0030</v>
          </cell>
          <cell r="B25" t="str">
            <v>Durham</v>
          </cell>
          <cell r="C25">
            <v>3.7470747171923113E-2</v>
          </cell>
          <cell r="D25">
            <v>62304.20970266041</v>
          </cell>
          <cell r="E25">
            <v>125604</v>
          </cell>
          <cell r="F25" t="str">
            <v>83,905 - 163,615</v>
          </cell>
          <cell r="G25" t="str">
            <v>2010</v>
          </cell>
          <cell r="H25">
            <v>86004</v>
          </cell>
          <cell r="I25">
            <v>67291</v>
          </cell>
          <cell r="J25">
            <v>47850</v>
          </cell>
          <cell r="K25">
            <v>61334</v>
          </cell>
          <cell r="L25">
            <v>64614</v>
          </cell>
          <cell r="M25">
            <v>0</v>
          </cell>
          <cell r="N25">
            <v>38462</v>
          </cell>
          <cell r="O25">
            <v>52154</v>
          </cell>
          <cell r="P25">
            <v>46992</v>
          </cell>
          <cell r="Q25">
            <v>0</v>
          </cell>
        </row>
        <row r="26">
          <cell r="A26" t="str">
            <v>NC0031</v>
          </cell>
          <cell r="B26" t="str">
            <v>Edgecombe</v>
          </cell>
          <cell r="C26">
            <v>0.11515390227996203</v>
          </cell>
          <cell r="D26">
            <v>35877.451737451738</v>
          </cell>
          <cell r="E26">
            <v>51600</v>
          </cell>
          <cell r="F26" t="str">
            <v>-1</v>
          </cell>
          <cell r="G26" t="str">
            <v>2008</v>
          </cell>
          <cell r="H26">
            <v>39000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A27" t="str">
            <v>NC0032</v>
          </cell>
          <cell r="B27" t="str">
            <v>Forsyth</v>
          </cell>
          <cell r="C27">
            <v>7.4210274473851395E-2</v>
          </cell>
          <cell r="D27">
            <v>47917.919075144513</v>
          </cell>
          <cell r="E27">
            <v>133948</v>
          </cell>
          <cell r="F27" t="str">
            <v>$84,407 - 143,493</v>
          </cell>
          <cell r="G27" t="str">
            <v>2000</v>
          </cell>
          <cell r="H27">
            <v>99507</v>
          </cell>
          <cell r="I27">
            <v>51573</v>
          </cell>
          <cell r="J27">
            <v>51573</v>
          </cell>
          <cell r="K27">
            <v>51573</v>
          </cell>
          <cell r="L27">
            <v>51573</v>
          </cell>
          <cell r="M27">
            <v>51573</v>
          </cell>
          <cell r="N27">
            <v>39756</v>
          </cell>
          <cell r="O27">
            <v>39756</v>
          </cell>
          <cell r="P27">
            <v>39756</v>
          </cell>
          <cell r="Q27">
            <v>39756</v>
          </cell>
        </row>
        <row r="28">
          <cell r="A28" t="str">
            <v>NC0033</v>
          </cell>
          <cell r="B28" t="str">
            <v>Franklin</v>
          </cell>
          <cell r="C28">
            <v>9.235465202426664E-2</v>
          </cell>
          <cell r="D28">
            <v>52220.117907148117</v>
          </cell>
          <cell r="E28">
            <v>75141</v>
          </cell>
          <cell r="F28" t="str">
            <v>59190 - 106206</v>
          </cell>
          <cell r="G28" t="str">
            <v>2001</v>
          </cell>
          <cell r="H28">
            <v>0</v>
          </cell>
          <cell r="I28">
            <v>35955</v>
          </cell>
          <cell r="J28">
            <v>48108</v>
          </cell>
          <cell r="K28">
            <v>45494</v>
          </cell>
          <cell r="L28">
            <v>46579</v>
          </cell>
          <cell r="M28">
            <v>45827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A29" t="str">
            <v>NC0105</v>
          </cell>
          <cell r="B29" t="str">
            <v>Gaston</v>
          </cell>
          <cell r="C29">
            <v>7.4590680626523728E-2</v>
          </cell>
          <cell r="D29">
            <v>51330.857142857145</v>
          </cell>
          <cell r="E29">
            <v>103010</v>
          </cell>
          <cell r="F29" t="str">
            <v>72,44900--112,289</v>
          </cell>
          <cell r="G29" t="str">
            <v>2013</v>
          </cell>
          <cell r="H29">
            <v>65564</v>
          </cell>
          <cell r="I29">
            <v>40776</v>
          </cell>
          <cell r="J29">
            <v>62165</v>
          </cell>
          <cell r="K29">
            <v>45180</v>
          </cell>
          <cell r="L29">
            <v>64211</v>
          </cell>
          <cell r="M29">
            <v>48975</v>
          </cell>
          <cell r="N29">
            <v>47888</v>
          </cell>
          <cell r="O29">
            <v>40980</v>
          </cell>
          <cell r="P29">
            <v>47140</v>
          </cell>
          <cell r="Q29">
            <v>0</v>
          </cell>
        </row>
        <row r="30">
          <cell r="A30" t="str">
            <v>NC0034</v>
          </cell>
          <cell r="B30" t="str">
            <v>Granville</v>
          </cell>
          <cell r="C30">
            <v>8.3902963772351111E-2</v>
          </cell>
          <cell r="D30">
            <v>30142.723404255321</v>
          </cell>
          <cell r="E30">
            <v>73429</v>
          </cell>
          <cell r="F30" t="str">
            <v>-1</v>
          </cell>
          <cell r="G30" t="str">
            <v>2015</v>
          </cell>
          <cell r="H30">
            <v>0</v>
          </cell>
          <cell r="I30">
            <v>48569</v>
          </cell>
          <cell r="J30">
            <v>44051</v>
          </cell>
          <cell r="K30">
            <v>0</v>
          </cell>
          <cell r="L30">
            <v>32869</v>
          </cell>
          <cell r="M30">
            <v>32869</v>
          </cell>
          <cell r="N30">
            <v>0</v>
          </cell>
          <cell r="O30">
            <v>38062</v>
          </cell>
          <cell r="P30">
            <v>0</v>
          </cell>
          <cell r="Q30">
            <v>0</v>
          </cell>
        </row>
        <row r="31">
          <cell r="A31" t="str">
            <v>NC0035</v>
          </cell>
          <cell r="B31" t="str">
            <v>Guilford (Greensboro)</v>
          </cell>
          <cell r="C31">
            <v>7.3318202188817155E-2</v>
          </cell>
          <cell r="D31">
            <v>59730.410526315791</v>
          </cell>
          <cell r="E31">
            <v>120467</v>
          </cell>
          <cell r="F31" t="str">
            <v>101,275-168,792</v>
          </cell>
          <cell r="G31" t="str">
            <v>2012</v>
          </cell>
          <cell r="H31">
            <v>88000</v>
          </cell>
          <cell r="I31">
            <v>54621</v>
          </cell>
          <cell r="J31">
            <v>63788</v>
          </cell>
          <cell r="K31">
            <v>63096</v>
          </cell>
          <cell r="L31">
            <v>63788</v>
          </cell>
          <cell r="M31">
            <v>46161</v>
          </cell>
          <cell r="N31">
            <v>47168</v>
          </cell>
          <cell r="O31">
            <v>45191</v>
          </cell>
          <cell r="P31">
            <v>48383</v>
          </cell>
          <cell r="Q31">
            <v>0</v>
          </cell>
        </row>
        <row r="32">
          <cell r="A32" t="str">
            <v>NC0036</v>
          </cell>
          <cell r="B32" t="str">
            <v>Halifax</v>
          </cell>
          <cell r="C32">
            <v>7.6043731455375935E-2</v>
          </cell>
          <cell r="D32">
            <v>48733.8</v>
          </cell>
          <cell r="E32">
            <v>70149</v>
          </cell>
          <cell r="F32" t="str">
            <v>$52,715-$85,574</v>
          </cell>
          <cell r="G32" t="str">
            <v>1991</v>
          </cell>
          <cell r="H32">
            <v>0</v>
          </cell>
          <cell r="I32">
            <v>31577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25330</v>
          </cell>
          <cell r="P32">
            <v>0</v>
          </cell>
          <cell r="Q32">
            <v>0</v>
          </cell>
        </row>
        <row r="33">
          <cell r="A33" t="str">
            <v>NC0037</v>
          </cell>
          <cell r="B33" t="str">
            <v>Harnett</v>
          </cell>
          <cell r="C33">
            <v>0.12564195121951219</v>
          </cell>
          <cell r="D33">
            <v>64062.5</v>
          </cell>
          <cell r="E33">
            <v>74559</v>
          </cell>
          <cell r="F33" t="str">
            <v>$67,781-$111,839</v>
          </cell>
          <cell r="G33" t="str">
            <v>2016</v>
          </cell>
          <cell r="H33">
            <v>0</v>
          </cell>
          <cell r="I33">
            <v>39542</v>
          </cell>
          <cell r="J33">
            <v>0</v>
          </cell>
          <cell r="K33">
            <v>38763</v>
          </cell>
          <cell r="L33">
            <v>38763</v>
          </cell>
          <cell r="M33">
            <v>35487</v>
          </cell>
          <cell r="N33">
            <v>38763</v>
          </cell>
          <cell r="O33">
            <v>0</v>
          </cell>
          <cell r="P33">
            <v>0</v>
          </cell>
          <cell r="Q33">
            <v>0</v>
          </cell>
        </row>
        <row r="34">
          <cell r="A34" t="str">
            <v>NC0038</v>
          </cell>
          <cell r="B34" t="str">
            <v>Haywood</v>
          </cell>
          <cell r="C34">
            <v>6.072489228068071E-2</v>
          </cell>
          <cell r="D34">
            <v>59836.882352941175</v>
          </cell>
          <cell r="E34">
            <v>73288</v>
          </cell>
          <cell r="F34" t="str">
            <v>52000-71000</v>
          </cell>
          <cell r="G34" t="str">
            <v>2011</v>
          </cell>
          <cell r="H34">
            <v>48336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A35" t="str">
            <v>NC0039</v>
          </cell>
          <cell r="B35" t="str">
            <v>Henderson</v>
          </cell>
          <cell r="C35">
            <v>5.2380487907633395E-2</v>
          </cell>
          <cell r="D35">
            <v>59992.66483516484</v>
          </cell>
          <cell r="E35">
            <v>79567</v>
          </cell>
          <cell r="F35" t="str">
            <v>$67,470 - $108,985.50</v>
          </cell>
          <cell r="G35" t="str">
            <v>2015</v>
          </cell>
          <cell r="H35">
            <v>0</v>
          </cell>
          <cell r="I35">
            <v>36769</v>
          </cell>
          <cell r="J35">
            <v>47086</v>
          </cell>
          <cell r="K35">
            <v>47805</v>
          </cell>
          <cell r="L35">
            <v>53343</v>
          </cell>
          <cell r="M35">
            <v>36036</v>
          </cell>
          <cell r="N35">
            <v>44960</v>
          </cell>
          <cell r="O35">
            <v>40010</v>
          </cell>
          <cell r="P35">
            <v>34574</v>
          </cell>
          <cell r="Q35">
            <v>0</v>
          </cell>
        </row>
        <row r="36">
          <cell r="A36" t="str">
            <v>NC0040</v>
          </cell>
          <cell r="B36" t="str">
            <v>Iredell</v>
          </cell>
          <cell r="C36">
            <v>8.1742776466006181E-2</v>
          </cell>
          <cell r="D36">
            <v>54089.532587228445</v>
          </cell>
          <cell r="E36">
            <v>98644</v>
          </cell>
          <cell r="F36" t="str">
            <v>63,600-96,644</v>
          </cell>
          <cell r="G36" t="str">
            <v>1996</v>
          </cell>
          <cell r="H36">
            <v>67152</v>
          </cell>
          <cell r="I36">
            <v>39922</v>
          </cell>
          <cell r="J36">
            <v>63560</v>
          </cell>
          <cell r="K36">
            <v>44606</v>
          </cell>
          <cell r="L36">
            <v>0</v>
          </cell>
          <cell r="M36">
            <v>44583</v>
          </cell>
          <cell r="N36">
            <v>0</v>
          </cell>
          <cell r="O36">
            <v>0</v>
          </cell>
          <cell r="P36">
            <v>51028</v>
          </cell>
          <cell r="Q36">
            <v>0</v>
          </cell>
        </row>
        <row r="37">
          <cell r="A37" t="str">
            <v>NC0041</v>
          </cell>
          <cell r="B37" t="str">
            <v>Johnston</v>
          </cell>
          <cell r="C37">
            <v>0.16175841028051074</v>
          </cell>
          <cell r="D37">
            <v>40429</v>
          </cell>
          <cell r="E37">
            <v>64297</v>
          </cell>
          <cell r="F37" t="str">
            <v>55988-95036</v>
          </cell>
          <cell r="G37" t="str">
            <v>2003</v>
          </cell>
          <cell r="H37">
            <v>0</v>
          </cell>
          <cell r="I37">
            <v>0</v>
          </cell>
          <cell r="J37">
            <v>43054</v>
          </cell>
          <cell r="K37">
            <v>39564</v>
          </cell>
          <cell r="L37">
            <v>0</v>
          </cell>
          <cell r="M37">
            <v>0</v>
          </cell>
          <cell r="N37">
            <v>43054</v>
          </cell>
          <cell r="O37">
            <v>39564</v>
          </cell>
          <cell r="P37">
            <v>0</v>
          </cell>
          <cell r="Q37">
            <v>0</v>
          </cell>
        </row>
        <row r="38">
          <cell r="A38" t="str">
            <v>NC0042</v>
          </cell>
          <cell r="B38" t="str">
            <v>Lee</v>
          </cell>
          <cell r="C38">
            <v>0.13374812620780582</v>
          </cell>
          <cell r="D38">
            <v>55369</v>
          </cell>
          <cell r="E38">
            <v>67500</v>
          </cell>
          <cell r="F38" t="str">
            <v>62,265 - 99,001</v>
          </cell>
          <cell r="G38" t="str">
            <v>2017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41538</v>
          </cell>
          <cell r="Q38">
            <v>38725</v>
          </cell>
        </row>
        <row r="39">
          <cell r="A39" t="str">
            <v>NC0106</v>
          </cell>
          <cell r="B39" t="str">
            <v>Lincoln</v>
          </cell>
          <cell r="C39">
            <v>0.10618292618207188</v>
          </cell>
          <cell r="D39">
            <v>35116.5</v>
          </cell>
          <cell r="E39">
            <v>80662</v>
          </cell>
          <cell r="F39" t="str">
            <v>$63,882 to $97,468</v>
          </cell>
          <cell r="G39" t="str">
            <v>2009</v>
          </cell>
          <cell r="H39">
            <v>0</v>
          </cell>
          <cell r="I39">
            <v>41136</v>
          </cell>
          <cell r="J39">
            <v>0</v>
          </cell>
          <cell r="K39">
            <v>0</v>
          </cell>
          <cell r="L39">
            <v>39000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A40" t="str">
            <v>NC0043</v>
          </cell>
          <cell r="B40" t="str">
            <v>Madison</v>
          </cell>
          <cell r="C40">
            <v>7.1011327435915664E-2</v>
          </cell>
          <cell r="D40">
            <v>26613.413585554597</v>
          </cell>
          <cell r="E40">
            <v>51250</v>
          </cell>
          <cell r="F40" t="str">
            <v>N/A</v>
          </cell>
          <cell r="G40" t="str">
            <v>2014</v>
          </cell>
          <cell r="H40">
            <v>0</v>
          </cell>
          <cell r="I40">
            <v>22496</v>
          </cell>
          <cell r="J40">
            <v>0</v>
          </cell>
          <cell r="K40">
            <v>22496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17410</v>
          </cell>
          <cell r="Q40">
            <v>0</v>
          </cell>
        </row>
        <row r="41">
          <cell r="A41" t="str">
            <v>NC0044</v>
          </cell>
          <cell r="B41" t="str">
            <v>McDowell</v>
          </cell>
          <cell r="C41">
            <v>8.7484405246373076E-2</v>
          </cell>
          <cell r="D41">
            <v>26745.861182519282</v>
          </cell>
          <cell r="E41">
            <v>57456</v>
          </cell>
          <cell r="F41" t="str">
            <v>-1</v>
          </cell>
          <cell r="G41" t="str">
            <v>2015</v>
          </cell>
          <cell r="H41">
            <v>0</v>
          </cell>
          <cell r="I41">
            <v>34092</v>
          </cell>
          <cell r="J41">
            <v>0</v>
          </cell>
          <cell r="K41">
            <v>34518</v>
          </cell>
          <cell r="L41">
            <v>37200</v>
          </cell>
          <cell r="M41">
            <v>0</v>
          </cell>
          <cell r="N41">
            <v>21528</v>
          </cell>
          <cell r="O41">
            <v>23778</v>
          </cell>
          <cell r="P41">
            <v>0</v>
          </cell>
          <cell r="Q41">
            <v>0</v>
          </cell>
        </row>
        <row r="42">
          <cell r="A42" t="str">
            <v>NC0045</v>
          </cell>
          <cell r="B42" t="str">
            <v>Mecklenburg</v>
          </cell>
          <cell r="C42">
            <v>4.0306828411997536E-2</v>
          </cell>
          <cell r="D42">
            <v>62340.505151688616</v>
          </cell>
          <cell r="E42">
            <v>173855</v>
          </cell>
          <cell r="F42" t="str">
            <v>$127,600 - $223,300</v>
          </cell>
          <cell r="G42" t="str">
            <v>2011</v>
          </cell>
          <cell r="H42">
            <v>86813</v>
          </cell>
          <cell r="I42">
            <v>74784</v>
          </cell>
          <cell r="J42">
            <v>71725</v>
          </cell>
          <cell r="K42">
            <v>74963</v>
          </cell>
          <cell r="L42">
            <v>69442</v>
          </cell>
          <cell r="M42">
            <v>0</v>
          </cell>
          <cell r="N42">
            <v>55651</v>
          </cell>
          <cell r="O42">
            <v>55255</v>
          </cell>
          <cell r="P42">
            <v>65664</v>
          </cell>
          <cell r="Q42">
            <v>0</v>
          </cell>
        </row>
        <row r="43">
          <cell r="A43" t="str">
            <v>NC0046</v>
          </cell>
          <cell r="B43" t="str">
            <v>Nash (Braswell)</v>
          </cell>
          <cell r="C43">
            <v>6.6619012299756419E-2</v>
          </cell>
          <cell r="D43">
            <v>51256.010719754973</v>
          </cell>
          <cell r="E43">
            <v>76600</v>
          </cell>
          <cell r="F43" t="str">
            <v>-1</v>
          </cell>
          <cell r="G43" t="str">
            <v>2014</v>
          </cell>
          <cell r="H43">
            <v>65063</v>
          </cell>
          <cell r="I43">
            <v>0</v>
          </cell>
          <cell r="J43">
            <v>48853</v>
          </cell>
          <cell r="K43">
            <v>52087</v>
          </cell>
          <cell r="L43">
            <v>43860</v>
          </cell>
          <cell r="M43">
            <v>0</v>
          </cell>
          <cell r="N43">
            <v>37867</v>
          </cell>
          <cell r="O43">
            <v>43291</v>
          </cell>
          <cell r="P43">
            <v>0</v>
          </cell>
          <cell r="Q43">
            <v>0</v>
          </cell>
        </row>
        <row r="44">
          <cell r="A44" t="str">
            <v>NC0047</v>
          </cell>
          <cell r="B44" t="str">
            <v>New Hanover</v>
          </cell>
          <cell r="C44">
            <v>7.237059929839279E-2</v>
          </cell>
          <cell r="D44">
            <v>67168.760869565216</v>
          </cell>
          <cell r="E44">
            <v>117908</v>
          </cell>
          <cell r="F44" t="str">
            <v>91470 - 155499</v>
          </cell>
          <cell r="G44" t="str">
            <v>2008</v>
          </cell>
          <cell r="H44">
            <v>84571</v>
          </cell>
          <cell r="I44">
            <v>71242</v>
          </cell>
          <cell r="J44">
            <v>59749</v>
          </cell>
          <cell r="K44">
            <v>60023</v>
          </cell>
          <cell r="L44">
            <v>58294</v>
          </cell>
          <cell r="M44">
            <v>62912</v>
          </cell>
          <cell r="N44">
            <v>58355</v>
          </cell>
          <cell r="O44">
            <v>53819</v>
          </cell>
          <cell r="P44">
            <v>0</v>
          </cell>
          <cell r="Q44">
            <v>0</v>
          </cell>
        </row>
        <row r="45">
          <cell r="A45" t="str">
            <v>NC0048</v>
          </cell>
          <cell r="B45" t="str">
            <v>Onslow</v>
          </cell>
          <cell r="C45">
            <v>0.12489051132499331</v>
          </cell>
          <cell r="D45">
            <v>45004.985507246376</v>
          </cell>
          <cell r="E45">
            <v>97469</v>
          </cell>
          <cell r="F45" t="str">
            <v>$74,975-$97,467</v>
          </cell>
          <cell r="G45" t="str">
            <v>2016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A46" t="str">
            <v>NC0108</v>
          </cell>
          <cell r="B46" t="str">
            <v>Orange</v>
          </cell>
          <cell r="C46">
            <v>4.5813872467365624E-2</v>
          </cell>
          <cell r="D46">
            <v>75659.802306425045</v>
          </cell>
          <cell r="E46">
            <v>96933</v>
          </cell>
          <cell r="F46" t="str">
            <v>75,967-126,970</v>
          </cell>
          <cell r="G46" t="str">
            <v>2009</v>
          </cell>
          <cell r="H46">
            <v>71308</v>
          </cell>
          <cell r="I46">
            <v>0</v>
          </cell>
          <cell r="J46">
            <v>54302</v>
          </cell>
          <cell r="K46">
            <v>56560</v>
          </cell>
          <cell r="L46">
            <v>69101</v>
          </cell>
          <cell r="M46">
            <v>47951</v>
          </cell>
          <cell r="N46">
            <v>49718</v>
          </cell>
          <cell r="O46">
            <v>49359</v>
          </cell>
          <cell r="P46">
            <v>48555</v>
          </cell>
          <cell r="Q46">
            <v>0</v>
          </cell>
        </row>
        <row r="47">
          <cell r="A47" t="str">
            <v>NC0049</v>
          </cell>
          <cell r="B47" t="str">
            <v>Pender</v>
          </cell>
          <cell r="C47">
            <v>9.5494068860957917E-2</v>
          </cell>
          <cell r="D47">
            <v>48644.21875</v>
          </cell>
          <cell r="E47">
            <v>73538</v>
          </cell>
          <cell r="F47" t="str">
            <v>66,622 - 106,505</v>
          </cell>
          <cell r="G47" t="str">
            <v>1985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62698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A48" t="str">
            <v>NC0109</v>
          </cell>
          <cell r="B48" t="str">
            <v>Person</v>
          </cell>
          <cell r="C48">
            <v>9.453870499488376E-2</v>
          </cell>
          <cell r="D48">
            <v>60032.857142857145</v>
          </cell>
          <cell r="E48">
            <v>61169</v>
          </cell>
          <cell r="F48" t="str">
            <v>51,750-80,213</v>
          </cell>
          <cell r="G48" t="str">
            <v>2010</v>
          </cell>
          <cell r="H48">
            <v>42221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40017</v>
          </cell>
          <cell r="O48">
            <v>40017</v>
          </cell>
          <cell r="P48">
            <v>35170</v>
          </cell>
          <cell r="Q48">
            <v>0</v>
          </cell>
        </row>
        <row r="49">
          <cell r="A49" t="str">
            <v>NC0050</v>
          </cell>
          <cell r="B49" t="str">
            <v>Pitt (Sheppard)</v>
          </cell>
          <cell r="C49">
            <v>0.11690972928755498</v>
          </cell>
          <cell r="D49">
            <v>40896.565205249928</v>
          </cell>
          <cell r="E49">
            <v>105768</v>
          </cell>
          <cell r="F49" t="str">
            <v>88,109 - 132,205</v>
          </cell>
          <cell r="G49" t="str">
            <v>2010</v>
          </cell>
          <cell r="H49">
            <v>0</v>
          </cell>
          <cell r="I49">
            <v>39573</v>
          </cell>
          <cell r="J49">
            <v>75816</v>
          </cell>
          <cell r="K49">
            <v>63378</v>
          </cell>
          <cell r="L49">
            <v>75816</v>
          </cell>
          <cell r="M49">
            <v>0</v>
          </cell>
          <cell r="N49">
            <v>0</v>
          </cell>
          <cell r="O49">
            <v>42286</v>
          </cell>
          <cell r="P49">
            <v>0</v>
          </cell>
          <cell r="Q49">
            <v>28766</v>
          </cell>
        </row>
        <row r="50">
          <cell r="A50" t="str">
            <v>NC0051</v>
          </cell>
          <cell r="B50" t="str">
            <v>Polk</v>
          </cell>
          <cell r="C50">
            <v>5.2262210669145166E-2</v>
          </cell>
          <cell r="D50">
            <v>37397.211895910783</v>
          </cell>
          <cell r="E50">
            <v>56292</v>
          </cell>
          <cell r="F50" t="str">
            <v>41,856 - 68,587</v>
          </cell>
          <cell r="G50" t="str">
            <v>2014</v>
          </cell>
          <cell r="H50">
            <v>0</v>
          </cell>
          <cell r="I50">
            <v>29091</v>
          </cell>
          <cell r="J50">
            <v>0</v>
          </cell>
          <cell r="K50">
            <v>29058</v>
          </cell>
          <cell r="L50">
            <v>29058</v>
          </cell>
          <cell r="M50">
            <v>27014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A51" t="str">
            <v>NC0052</v>
          </cell>
          <cell r="B51" t="str">
            <v>Randolph</v>
          </cell>
          <cell r="C51">
            <v>6.6365001272333371E-2</v>
          </cell>
          <cell r="D51">
            <v>49267.645051194537</v>
          </cell>
          <cell r="E51">
            <v>73011</v>
          </cell>
          <cell r="F51" t="str">
            <v>64795-100385</v>
          </cell>
          <cell r="G51" t="str">
            <v>2011</v>
          </cell>
          <cell r="H51">
            <v>61259</v>
          </cell>
          <cell r="I51">
            <v>47353</v>
          </cell>
          <cell r="J51">
            <v>43494</v>
          </cell>
          <cell r="K51">
            <v>42205</v>
          </cell>
          <cell r="L51">
            <v>44805</v>
          </cell>
          <cell r="M51">
            <v>0</v>
          </cell>
          <cell r="N51">
            <v>43505</v>
          </cell>
          <cell r="O51">
            <v>40166</v>
          </cell>
          <cell r="P51">
            <v>0</v>
          </cell>
          <cell r="Q51">
            <v>0</v>
          </cell>
        </row>
        <row r="52">
          <cell r="A52" t="str">
            <v>NC0053</v>
          </cell>
          <cell r="B52" t="str">
            <v>Robeson</v>
          </cell>
          <cell r="C52">
            <v>0.16693344407112387</v>
          </cell>
          <cell r="D52">
            <v>40033.753148614604</v>
          </cell>
          <cell r="E52">
            <v>65213</v>
          </cell>
          <cell r="F52" t="str">
            <v>59500 - 95,200</v>
          </cell>
          <cell r="G52" t="str">
            <v>2014</v>
          </cell>
          <cell r="H52">
            <v>0</v>
          </cell>
          <cell r="I52">
            <v>25651</v>
          </cell>
          <cell r="J52">
            <v>41000</v>
          </cell>
          <cell r="K52">
            <v>39207</v>
          </cell>
          <cell r="L52">
            <v>46980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A53" t="str">
            <v>NC0054</v>
          </cell>
          <cell r="B53" t="str">
            <v>Rockingham</v>
          </cell>
          <cell r="C53">
            <v>6.5390839262256473E-2</v>
          </cell>
          <cell r="D53">
            <v>38712.341597796149</v>
          </cell>
          <cell r="E53">
            <v>72209</v>
          </cell>
          <cell r="F53" t="str">
            <v>62908 - 100653</v>
          </cell>
          <cell r="G53" t="str">
            <v>2010</v>
          </cell>
          <cell r="H53">
            <v>0</v>
          </cell>
          <cell r="I53">
            <v>58120</v>
          </cell>
          <cell r="J53">
            <v>52716</v>
          </cell>
          <cell r="K53">
            <v>52716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A54" t="str">
            <v>NC0055</v>
          </cell>
          <cell r="B54" t="str">
            <v>Rowan</v>
          </cell>
          <cell r="C54">
            <v>6.62380170601541E-2</v>
          </cell>
          <cell r="D54">
            <v>45475.085470085476</v>
          </cell>
          <cell r="E54">
            <v>85739</v>
          </cell>
          <cell r="F54" t="str">
            <v>$65,122-$104,195</v>
          </cell>
          <cell r="G54" t="str">
            <v>2007</v>
          </cell>
          <cell r="H54">
            <v>61246</v>
          </cell>
          <cell r="I54">
            <v>40000</v>
          </cell>
          <cell r="J54">
            <v>48552</v>
          </cell>
          <cell r="K54">
            <v>42251</v>
          </cell>
          <cell r="L54">
            <v>44140</v>
          </cell>
          <cell r="M54">
            <v>0</v>
          </cell>
          <cell r="N54">
            <v>40890</v>
          </cell>
          <cell r="O54">
            <v>35764</v>
          </cell>
          <cell r="P54">
            <v>0</v>
          </cell>
          <cell r="Q54">
            <v>0</v>
          </cell>
        </row>
        <row r="55">
          <cell r="A55" t="str">
            <v>NC0056</v>
          </cell>
          <cell r="B55" t="str">
            <v>Rutherford</v>
          </cell>
          <cell r="C55">
            <v>0.14817254661647553</v>
          </cell>
          <cell r="D55">
            <v>47695.198329853862</v>
          </cell>
          <cell r="E55">
            <v>56871</v>
          </cell>
          <cell r="F55" t="str">
            <v>-1</v>
          </cell>
          <cell r="G55" t="str">
            <v>2015</v>
          </cell>
          <cell r="H55">
            <v>0</v>
          </cell>
          <cell r="I55">
            <v>31720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28366</v>
          </cell>
          <cell r="O55">
            <v>30941</v>
          </cell>
          <cell r="P55">
            <v>35472</v>
          </cell>
          <cell r="Q55">
            <v>30181</v>
          </cell>
        </row>
        <row r="56">
          <cell r="A56" t="str">
            <v>NC0057</v>
          </cell>
          <cell r="B56" t="str">
            <v>Sampson</v>
          </cell>
          <cell r="C56">
            <v>0.11188403345649581</v>
          </cell>
          <cell r="D56">
            <v>42672.406015037588</v>
          </cell>
          <cell r="E56">
            <v>62964</v>
          </cell>
          <cell r="F56" t="str">
            <v>61,084-94,688</v>
          </cell>
          <cell r="G56" t="str">
            <v>2005</v>
          </cell>
          <cell r="H56">
            <v>0</v>
          </cell>
          <cell r="I56">
            <v>35748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33264</v>
          </cell>
          <cell r="O56">
            <v>35268</v>
          </cell>
          <cell r="P56">
            <v>31248</v>
          </cell>
          <cell r="Q56">
            <v>22962</v>
          </cell>
        </row>
        <row r="57">
          <cell r="A57" t="str">
            <v>NC0058</v>
          </cell>
          <cell r="B57" t="str">
            <v>Scotland</v>
          </cell>
          <cell r="C57">
            <v>0.1261962355164705</v>
          </cell>
          <cell r="D57">
            <v>45015.555555555555</v>
          </cell>
          <cell r="E57">
            <v>57972</v>
          </cell>
          <cell r="F57" t="str">
            <v>47,544 - 68,904</v>
          </cell>
          <cell r="G57" t="str">
            <v>2008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46296</v>
          </cell>
          <cell r="P57">
            <v>0</v>
          </cell>
          <cell r="Q57">
            <v>0</v>
          </cell>
        </row>
        <row r="58">
          <cell r="A58" t="str">
            <v>NC0059</v>
          </cell>
          <cell r="B58" t="str">
            <v>Stanly</v>
          </cell>
          <cell r="C58">
            <v>7.4624196216765581E-2</v>
          </cell>
          <cell r="D58">
            <v>60181.30909090909</v>
          </cell>
          <cell r="E58">
            <v>66269</v>
          </cell>
          <cell r="F58" t="str">
            <v>57913-86870</v>
          </cell>
          <cell r="G58" t="str">
            <v>2009</v>
          </cell>
          <cell r="H58">
            <v>0</v>
          </cell>
          <cell r="I58">
            <v>17754</v>
          </cell>
          <cell r="J58">
            <v>44975</v>
          </cell>
          <cell r="K58">
            <v>38403</v>
          </cell>
          <cell r="L58">
            <v>42435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A59" t="str">
            <v>NC0060</v>
          </cell>
          <cell r="B59" t="str">
            <v>Transylvania</v>
          </cell>
          <cell r="C59">
            <v>3.4572014481379275E-2</v>
          </cell>
          <cell r="D59">
            <v>55413.860830527497</v>
          </cell>
          <cell r="E59">
            <v>79015</v>
          </cell>
          <cell r="F59" t="str">
            <v>$63,211- $94,817</v>
          </cell>
          <cell r="G59" t="str">
            <v>1994</v>
          </cell>
          <cell r="H59">
            <v>0</v>
          </cell>
          <cell r="I59">
            <v>0</v>
          </cell>
          <cell r="J59">
            <v>58962</v>
          </cell>
          <cell r="K59">
            <v>40750</v>
          </cell>
          <cell r="L59">
            <v>0</v>
          </cell>
          <cell r="M59">
            <v>40804</v>
          </cell>
          <cell r="N59">
            <v>0</v>
          </cell>
          <cell r="O59">
            <v>36959</v>
          </cell>
          <cell r="P59">
            <v>0</v>
          </cell>
          <cell r="Q59">
            <v>0</v>
          </cell>
        </row>
        <row r="60">
          <cell r="A60" t="str">
            <v>NC0061</v>
          </cell>
          <cell r="B60" t="str">
            <v>Union</v>
          </cell>
          <cell r="C60">
            <v>6.7203034408409815E-2</v>
          </cell>
          <cell r="D60">
            <v>62243.937978703529</v>
          </cell>
          <cell r="E60">
            <v>81116</v>
          </cell>
          <cell r="F60" t="str">
            <v>74,779-112,168</v>
          </cell>
          <cell r="G60" t="str">
            <v>2013</v>
          </cell>
          <cell r="H60">
            <v>64620</v>
          </cell>
          <cell r="I60">
            <v>46503</v>
          </cell>
          <cell r="J60">
            <v>46455</v>
          </cell>
          <cell r="K60">
            <v>43222</v>
          </cell>
          <cell r="L60">
            <v>43658</v>
          </cell>
          <cell r="M60">
            <v>43172</v>
          </cell>
          <cell r="N60">
            <v>46455</v>
          </cell>
          <cell r="O60">
            <v>43222</v>
          </cell>
          <cell r="P60">
            <v>43658</v>
          </cell>
          <cell r="Q60">
            <v>43172</v>
          </cell>
        </row>
        <row r="61">
          <cell r="A61" t="str">
            <v>NC0062</v>
          </cell>
          <cell r="B61" t="str">
            <v>Vance (Perry)</v>
          </cell>
          <cell r="C61">
            <v>7.86256216838426E-2</v>
          </cell>
          <cell r="D61">
            <v>38108.866666666669</v>
          </cell>
          <cell r="E61">
            <v>64200</v>
          </cell>
          <cell r="F61" t="str">
            <v>51,648-82,632</v>
          </cell>
          <cell r="G61" t="str">
            <v>2014</v>
          </cell>
          <cell r="H61">
            <v>43308</v>
          </cell>
          <cell r="I61">
            <v>0</v>
          </cell>
          <cell r="J61">
            <v>0</v>
          </cell>
          <cell r="K61">
            <v>39108</v>
          </cell>
          <cell r="L61">
            <v>0</v>
          </cell>
          <cell r="M61">
            <v>33144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A62" t="str">
            <v>NC0063</v>
          </cell>
          <cell r="B62" t="str">
            <v>Wake</v>
          </cell>
          <cell r="C62">
            <v>6.7683821178567638E-2</v>
          </cell>
          <cell r="D62">
            <v>61416.072874493926</v>
          </cell>
          <cell r="E62">
            <v>128780</v>
          </cell>
          <cell r="F62" t="str">
            <v>$81,234 - $146,221</v>
          </cell>
          <cell r="G62" t="str">
            <v>2010</v>
          </cell>
          <cell r="H62">
            <v>106387</v>
          </cell>
          <cell r="I62">
            <v>61300</v>
          </cell>
          <cell r="J62">
            <v>61300</v>
          </cell>
          <cell r="K62">
            <v>61300</v>
          </cell>
          <cell r="L62">
            <v>0</v>
          </cell>
          <cell r="M62">
            <v>0</v>
          </cell>
          <cell r="N62">
            <v>47600</v>
          </cell>
          <cell r="O62">
            <v>47600</v>
          </cell>
          <cell r="P62">
            <v>57000</v>
          </cell>
          <cell r="Q62">
            <v>0</v>
          </cell>
        </row>
        <row r="63">
          <cell r="A63" t="str">
            <v>NC0101</v>
          </cell>
          <cell r="B63" t="str">
            <v>Warren</v>
          </cell>
          <cell r="C63">
            <v>5.7672629506166827E-2</v>
          </cell>
          <cell r="D63">
            <v>43610.375</v>
          </cell>
          <cell r="E63">
            <v>63056</v>
          </cell>
          <cell r="F63" t="str">
            <v>$50,967 - $81,547</v>
          </cell>
          <cell r="G63" t="str">
            <v>2011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A64" t="str">
            <v>NC0065</v>
          </cell>
          <cell r="B64" t="str">
            <v>Wayne</v>
          </cell>
          <cell r="C64">
            <v>7.941445772246554E-2</v>
          </cell>
          <cell r="D64">
            <v>43022.255680262795</v>
          </cell>
          <cell r="E64">
            <v>83841</v>
          </cell>
          <cell r="F64" t="str">
            <v>$57,683-$89,965</v>
          </cell>
          <cell r="G64" t="str">
            <v>2011</v>
          </cell>
          <cell r="H64">
            <v>55233</v>
          </cell>
          <cell r="I64">
            <v>39383</v>
          </cell>
          <cell r="J64">
            <v>52000</v>
          </cell>
          <cell r="K64">
            <v>0</v>
          </cell>
          <cell r="L64">
            <v>43359</v>
          </cell>
          <cell r="M64">
            <v>40000</v>
          </cell>
          <cell r="N64">
            <v>39200</v>
          </cell>
          <cell r="O64">
            <v>38055</v>
          </cell>
          <cell r="P64">
            <v>0</v>
          </cell>
          <cell r="Q64">
            <v>0</v>
          </cell>
        </row>
        <row r="65">
          <cell r="A65" t="str">
            <v>NC0066</v>
          </cell>
          <cell r="B65" t="str">
            <v>Wilson</v>
          </cell>
          <cell r="C65">
            <v>6.3591399706147037E-2</v>
          </cell>
          <cell r="D65">
            <v>45607.555870876196</v>
          </cell>
          <cell r="E65">
            <v>80004</v>
          </cell>
          <cell r="F65" t="str">
            <v>61140 - 103356</v>
          </cell>
          <cell r="G65" t="str">
            <v>2017</v>
          </cell>
          <cell r="H65">
            <v>59400</v>
          </cell>
          <cell r="I65">
            <v>29385</v>
          </cell>
          <cell r="J65">
            <v>0</v>
          </cell>
          <cell r="K65">
            <v>55765</v>
          </cell>
          <cell r="L65">
            <v>42216</v>
          </cell>
          <cell r="M65">
            <v>41388</v>
          </cell>
          <cell r="N65">
            <v>46536</v>
          </cell>
          <cell r="O65">
            <v>42216</v>
          </cell>
          <cell r="P65">
            <v>31836</v>
          </cell>
          <cell r="Q65">
            <v>27204</v>
          </cell>
        </row>
        <row r="66">
          <cell r="A66" t="str">
            <v>Mean average</v>
          </cell>
          <cell r="C66">
            <v>8.5909093080437413E-2</v>
          </cell>
          <cell r="D66">
            <v>48545.063770301487</v>
          </cell>
          <cell r="E66">
            <v>79797.068965517246</v>
          </cell>
          <cell r="F66" t="str">
            <v>N/A</v>
          </cell>
          <cell r="G66" t="str">
            <v>N/A</v>
          </cell>
        </row>
        <row r="67">
          <cell r="A67" t="str">
            <v>Regional Libraries</v>
          </cell>
        </row>
        <row r="68">
          <cell r="A68" t="str">
            <v>NC0001</v>
          </cell>
          <cell r="B68" t="str">
            <v>Albemarle</v>
          </cell>
          <cell r="C68">
            <v>0.10248845458804631</v>
          </cell>
          <cell r="D68">
            <v>39318.42105263158</v>
          </cell>
          <cell r="E68">
            <v>59483</v>
          </cell>
          <cell r="F68" t="str">
            <v>-1</v>
          </cell>
          <cell r="G68" t="str">
            <v>2016</v>
          </cell>
          <cell r="H68">
            <v>0</v>
          </cell>
          <cell r="I68">
            <v>25789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A69" t="str">
            <v>NC0003</v>
          </cell>
          <cell r="B69" t="str">
            <v>AMY</v>
          </cell>
          <cell r="C69">
            <v>9.5285666450217646E-2</v>
          </cell>
          <cell r="D69">
            <v>28449.63157894737</v>
          </cell>
          <cell r="E69">
            <v>41376</v>
          </cell>
          <cell r="F69" t="str">
            <v>39,125 to 42,500</v>
          </cell>
          <cell r="G69" t="str">
            <v>2015</v>
          </cell>
          <cell r="H69">
            <v>0</v>
          </cell>
          <cell r="I69">
            <v>26812</v>
          </cell>
          <cell r="J69">
            <v>0</v>
          </cell>
          <cell r="K69">
            <v>29000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A70" t="str">
            <v>NC0002</v>
          </cell>
          <cell r="B70" t="str">
            <v>Appalachian</v>
          </cell>
          <cell r="C70">
            <v>9.1929534949248493E-2</v>
          </cell>
          <cell r="D70">
            <v>36203.342070773266</v>
          </cell>
          <cell r="E70">
            <v>68972</v>
          </cell>
          <cell r="F70" t="str">
            <v>$43,641-$77,523</v>
          </cell>
          <cell r="G70" t="str">
            <v>2013</v>
          </cell>
          <cell r="H70">
            <v>0</v>
          </cell>
          <cell r="I70">
            <v>42692</v>
          </cell>
          <cell r="J70">
            <v>35961</v>
          </cell>
          <cell r="K70">
            <v>34585</v>
          </cell>
          <cell r="L70">
            <v>27879</v>
          </cell>
          <cell r="M70">
            <v>24736</v>
          </cell>
          <cell r="N70">
            <v>28274</v>
          </cell>
          <cell r="O70">
            <v>27050</v>
          </cell>
          <cell r="P70">
            <v>0</v>
          </cell>
          <cell r="Q70">
            <v>0</v>
          </cell>
        </row>
        <row r="71">
          <cell r="A71" t="str">
            <v>NC0004</v>
          </cell>
          <cell r="B71" t="str">
            <v>BHM</v>
          </cell>
          <cell r="C71">
            <v>0.11931922984151308</v>
          </cell>
          <cell r="D71">
            <v>31150.939226519335</v>
          </cell>
          <cell r="E71">
            <v>50551</v>
          </cell>
          <cell r="F71" t="str">
            <v>-1</v>
          </cell>
          <cell r="G71" t="str">
            <v>2015</v>
          </cell>
          <cell r="H71">
            <v>0</v>
          </cell>
          <cell r="I71">
            <v>30533</v>
          </cell>
          <cell r="J71">
            <v>0</v>
          </cell>
          <cell r="K71">
            <v>38125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A72" t="str">
            <v>NC0006</v>
          </cell>
          <cell r="B72" t="str">
            <v>CPC</v>
          </cell>
          <cell r="C72">
            <v>7.6551783440272872E-2</v>
          </cell>
          <cell r="D72">
            <v>34528.347235967762</v>
          </cell>
          <cell r="E72">
            <v>84074</v>
          </cell>
          <cell r="F72" t="str">
            <v>$75000-$84074</v>
          </cell>
          <cell r="G72" t="str">
            <v>2013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32704</v>
          </cell>
          <cell r="O72">
            <v>19743</v>
          </cell>
          <cell r="P72">
            <v>35478</v>
          </cell>
          <cell r="Q72">
            <v>0</v>
          </cell>
        </row>
        <row r="73">
          <cell r="A73" t="str">
            <v>NC0007</v>
          </cell>
          <cell r="B73" t="str">
            <v>E. Albemarle</v>
          </cell>
          <cell r="C73">
            <v>5.4812046733670537E-2</v>
          </cell>
          <cell r="D73">
            <v>44111.783575705733</v>
          </cell>
          <cell r="E73">
            <v>66527</v>
          </cell>
          <cell r="F73" t="str">
            <v>54,604-80,567</v>
          </cell>
          <cell r="G73" t="str">
            <v>2011</v>
          </cell>
          <cell r="H73">
            <v>57800</v>
          </cell>
          <cell r="I73">
            <v>36626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58801</v>
          </cell>
          <cell r="O73">
            <v>34162</v>
          </cell>
          <cell r="P73">
            <v>0</v>
          </cell>
          <cell r="Q73">
            <v>0</v>
          </cell>
        </row>
        <row r="74">
          <cell r="A74" t="str">
            <v>NC0008</v>
          </cell>
          <cell r="B74" t="str">
            <v>Fontana</v>
          </cell>
          <cell r="C74">
            <v>3.8768193618091626E-2</v>
          </cell>
          <cell r="D74">
            <v>38301.869918699187</v>
          </cell>
          <cell r="E74">
            <v>79976</v>
          </cell>
          <cell r="F74" t="str">
            <v>-1</v>
          </cell>
          <cell r="G74" t="str">
            <v>2006</v>
          </cell>
          <cell r="H74">
            <v>0</v>
          </cell>
          <cell r="I74">
            <v>41434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33280</v>
          </cell>
          <cell r="P74">
            <v>0</v>
          </cell>
          <cell r="Q74">
            <v>0</v>
          </cell>
        </row>
        <row r="75">
          <cell r="A75" t="str">
            <v>NC0011</v>
          </cell>
          <cell r="B75" t="str">
            <v>Nantahala</v>
          </cell>
          <cell r="C75">
            <v>6.1973815026991015E-2</v>
          </cell>
          <cell r="D75">
            <v>54927.234636871508</v>
          </cell>
          <cell r="E75">
            <v>54075</v>
          </cell>
          <cell r="F75" t="str">
            <v>N/A</v>
          </cell>
          <cell r="G75" t="str">
            <v>2008</v>
          </cell>
          <cell r="H75">
            <v>0</v>
          </cell>
          <cell r="I75">
            <v>33352</v>
          </cell>
          <cell r="J75">
            <v>0</v>
          </cell>
          <cell r="K75">
            <v>42000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A76" t="str">
            <v>NC0012</v>
          </cell>
          <cell r="B76" t="str">
            <v>Neuse</v>
          </cell>
          <cell r="C76">
            <v>7.9546233433060623E-2</v>
          </cell>
          <cell r="D76">
            <v>37346.974734042553</v>
          </cell>
          <cell r="E76">
            <v>187260</v>
          </cell>
          <cell r="F76" t="str">
            <v>$87,984-</v>
          </cell>
          <cell r="G76" t="str">
            <v>1994</v>
          </cell>
          <cell r="H76">
            <v>0</v>
          </cell>
          <cell r="I76">
            <v>37000</v>
          </cell>
          <cell r="J76">
            <v>40000</v>
          </cell>
          <cell r="K76">
            <v>40000</v>
          </cell>
          <cell r="L76">
            <v>32000</v>
          </cell>
          <cell r="M76">
            <v>35000</v>
          </cell>
          <cell r="N76">
            <v>32000</v>
          </cell>
          <cell r="O76">
            <v>30000</v>
          </cell>
          <cell r="P76">
            <v>32000</v>
          </cell>
          <cell r="Q76">
            <v>28000</v>
          </cell>
        </row>
        <row r="77">
          <cell r="A77" t="str">
            <v>NC0013</v>
          </cell>
          <cell r="B77" t="str">
            <v>Northwestern</v>
          </cell>
          <cell r="C77">
            <v>0.10447234710501975</v>
          </cell>
          <cell r="D77">
            <v>32792.600121976015</v>
          </cell>
          <cell r="E77">
            <v>59050</v>
          </cell>
          <cell r="F77" t="str">
            <v>$59,050-$65,667</v>
          </cell>
          <cell r="G77" t="str">
            <v>2017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A78" t="str">
            <v>NC0014</v>
          </cell>
          <cell r="B78" t="str">
            <v>Pettigrew</v>
          </cell>
          <cell r="C78">
            <v>5.7081257346334235E-2</v>
          </cell>
          <cell r="D78">
            <v>93768.149038461532</v>
          </cell>
          <cell r="E78">
            <v>61228</v>
          </cell>
          <cell r="F78" t="str">
            <v>52,891-70,879</v>
          </cell>
          <cell r="G78" t="str">
            <v>2013</v>
          </cell>
          <cell r="H78">
            <v>0</v>
          </cell>
          <cell r="I78">
            <v>42829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A79" t="str">
            <v>NC0015</v>
          </cell>
          <cell r="B79" t="str">
            <v>Sandhill</v>
          </cell>
          <cell r="C79">
            <v>0.12371854811288677</v>
          </cell>
          <cell r="D79">
            <v>40891.592439713233</v>
          </cell>
          <cell r="E79">
            <v>61200</v>
          </cell>
          <cell r="F79" t="str">
            <v>-1</v>
          </cell>
          <cell r="G79" t="str">
            <v>2012</v>
          </cell>
          <cell r="H79">
            <v>0</v>
          </cell>
          <cell r="I79">
            <v>42005</v>
          </cell>
          <cell r="J79">
            <v>0</v>
          </cell>
          <cell r="K79">
            <v>0</v>
          </cell>
          <cell r="L79">
            <v>50072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A80" t="str">
            <v>Mean average</v>
          </cell>
          <cell r="E80">
            <v>72814.333333333328</v>
          </cell>
          <cell r="F80" t="str">
            <v>N/A</v>
          </cell>
          <cell r="G80" t="str">
            <v>N/A</v>
          </cell>
          <cell r="I80">
            <v>29922.666666666668</v>
          </cell>
          <cell r="M80">
            <v>4978</v>
          </cell>
          <cell r="N80">
            <v>12648.25</v>
          </cell>
          <cell r="Q80">
            <v>2333.3333333333335</v>
          </cell>
        </row>
        <row r="81">
          <cell r="B81" t="str">
            <v>Municipal Libraries</v>
          </cell>
        </row>
        <row r="82">
          <cell r="A82" t="str">
            <v>NC0071</v>
          </cell>
          <cell r="B82" t="str">
            <v>Chapel Hill</v>
          </cell>
          <cell r="C82">
            <v>2.8260122310066218E-2</v>
          </cell>
          <cell r="D82">
            <v>62236.144578313251</v>
          </cell>
          <cell r="E82">
            <v>102178</v>
          </cell>
          <cell r="F82" t="str">
            <v>85405-138354</v>
          </cell>
          <cell r="G82" t="str">
            <v>2013</v>
          </cell>
          <cell r="H82">
            <v>79636</v>
          </cell>
          <cell r="I82">
            <v>0</v>
          </cell>
          <cell r="J82">
            <v>59029</v>
          </cell>
          <cell r="K82">
            <v>71172</v>
          </cell>
          <cell r="L82">
            <v>59029</v>
          </cell>
          <cell r="M82">
            <v>0</v>
          </cell>
          <cell r="N82">
            <v>54798</v>
          </cell>
          <cell r="O82">
            <v>54892</v>
          </cell>
          <cell r="P82">
            <v>0</v>
          </cell>
          <cell r="Q82">
            <v>61017</v>
          </cell>
        </row>
        <row r="83">
          <cell r="A83" t="str">
            <v>NC0110</v>
          </cell>
          <cell r="B83" t="str">
            <v>Clayton</v>
          </cell>
          <cell r="C83">
            <v>4.3908282385381234E-2</v>
          </cell>
          <cell r="D83">
            <v>47574.731182795695</v>
          </cell>
          <cell r="E83">
            <v>58000</v>
          </cell>
          <cell r="F83" t="str">
            <v>$53,117 - $84,157</v>
          </cell>
          <cell r="G83" t="str">
            <v>2011</v>
          </cell>
          <cell r="H83">
            <v>-1</v>
          </cell>
          <cell r="I83">
            <v>0</v>
          </cell>
          <cell r="J83">
            <v>0</v>
          </cell>
          <cell r="K83">
            <v>0</v>
          </cell>
          <cell r="L83">
            <v>55656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A84" t="str">
            <v>NC0075</v>
          </cell>
          <cell r="B84" t="str">
            <v>Farmville</v>
          </cell>
          <cell r="C84">
            <v>1.9519249658308639E-2</v>
          </cell>
          <cell r="D84">
            <v>59812.75</v>
          </cell>
          <cell r="E84">
            <v>45240</v>
          </cell>
          <cell r="F84" t="str">
            <v>43,000-65,000</v>
          </cell>
          <cell r="G84" t="str">
            <v>2012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</sheetData>
      <sheetData sheetId="4">
        <row r="4">
          <cell r="M4" t="str">
            <v>Total</v>
          </cell>
        </row>
        <row r="5">
          <cell r="C5" t="str">
            <v>Local Funds ($)</v>
          </cell>
          <cell r="F5" t="str">
            <v>State Funds ($)</v>
          </cell>
          <cell r="I5" t="str">
            <v>Federal Funds ($)</v>
          </cell>
          <cell r="L5" t="str">
            <v>Other</v>
          </cell>
          <cell r="M5" t="str">
            <v>Operating</v>
          </cell>
        </row>
        <row r="6">
          <cell r="C6" t="str">
            <v>Municipal</v>
          </cell>
          <cell r="D6" t="str">
            <v xml:space="preserve">County </v>
          </cell>
          <cell r="E6" t="str">
            <v xml:space="preserve">Total </v>
          </cell>
          <cell r="F6" t="str">
            <v>State Aid</v>
          </cell>
          <cell r="G6" t="str">
            <v xml:space="preserve">Other </v>
          </cell>
          <cell r="H6" t="str">
            <v xml:space="preserve">Total </v>
          </cell>
          <cell r="I6" t="str">
            <v>LSTA</v>
          </cell>
          <cell r="J6" t="str">
            <v xml:space="preserve">Other </v>
          </cell>
          <cell r="K6" t="str">
            <v xml:space="preserve">Total  </v>
          </cell>
          <cell r="L6" t="str">
            <v xml:space="preserve"> Funds ($)</v>
          </cell>
          <cell r="M6" t="str">
            <v>Income ($)</v>
          </cell>
        </row>
        <row r="7">
          <cell r="A7" t="str">
            <v>County Libraries</v>
          </cell>
        </row>
        <row r="8">
          <cell r="A8" t="str">
            <v>NC0103</v>
          </cell>
          <cell r="B8" t="str">
            <v>Alamance</v>
          </cell>
          <cell r="C8">
            <v>232000</v>
          </cell>
          <cell r="D8">
            <v>2569447</v>
          </cell>
          <cell r="E8">
            <v>2801447</v>
          </cell>
          <cell r="F8">
            <v>180887</v>
          </cell>
          <cell r="G8">
            <v>0</v>
          </cell>
          <cell r="H8">
            <v>180887</v>
          </cell>
          <cell r="I8">
            <v>27383</v>
          </cell>
          <cell r="J8">
            <v>9999</v>
          </cell>
          <cell r="K8">
            <v>37382</v>
          </cell>
          <cell r="L8">
            <v>101073</v>
          </cell>
          <cell r="M8">
            <v>3120789</v>
          </cell>
        </row>
        <row r="9">
          <cell r="A9" t="str">
            <v>NC0016</v>
          </cell>
          <cell r="B9" t="str">
            <v>Alexander</v>
          </cell>
          <cell r="C9">
            <v>0</v>
          </cell>
          <cell r="D9">
            <v>492390</v>
          </cell>
          <cell r="E9">
            <v>492390</v>
          </cell>
          <cell r="F9">
            <v>96220</v>
          </cell>
          <cell r="G9">
            <v>0</v>
          </cell>
          <cell r="H9">
            <v>96220</v>
          </cell>
          <cell r="I9">
            <v>6609</v>
          </cell>
          <cell r="J9">
            <v>0</v>
          </cell>
          <cell r="K9">
            <v>6609</v>
          </cell>
          <cell r="L9">
            <v>12017</v>
          </cell>
          <cell r="M9">
            <v>607236</v>
          </cell>
        </row>
        <row r="10">
          <cell r="A10" t="str">
            <v>NC0017</v>
          </cell>
          <cell r="B10" t="str">
            <v>Bladen</v>
          </cell>
          <cell r="C10">
            <v>15000</v>
          </cell>
          <cell r="D10">
            <v>405071</v>
          </cell>
          <cell r="E10">
            <v>420071</v>
          </cell>
          <cell r="F10">
            <v>95350</v>
          </cell>
          <cell r="G10">
            <v>0</v>
          </cell>
          <cell r="H10">
            <v>95350</v>
          </cell>
          <cell r="I10">
            <v>26049</v>
          </cell>
          <cell r="J10">
            <v>0</v>
          </cell>
          <cell r="K10">
            <v>26049</v>
          </cell>
          <cell r="L10">
            <v>8000</v>
          </cell>
          <cell r="M10">
            <v>549470</v>
          </cell>
        </row>
        <row r="11">
          <cell r="A11" t="str">
            <v>NC0018</v>
          </cell>
          <cell r="B11" t="str">
            <v>Brunswick</v>
          </cell>
          <cell r="C11">
            <v>0</v>
          </cell>
          <cell r="D11">
            <v>1177800</v>
          </cell>
          <cell r="E11">
            <v>1177800</v>
          </cell>
          <cell r="F11">
            <v>142232</v>
          </cell>
          <cell r="G11">
            <v>0</v>
          </cell>
          <cell r="H11">
            <v>142232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1320032</v>
          </cell>
        </row>
        <row r="12">
          <cell r="A12" t="str">
            <v>NC0019</v>
          </cell>
          <cell r="B12" t="str">
            <v>Buncombe</v>
          </cell>
          <cell r="C12">
            <v>0</v>
          </cell>
          <cell r="D12">
            <v>4716312</v>
          </cell>
          <cell r="E12">
            <v>4716312</v>
          </cell>
          <cell r="F12">
            <v>228020</v>
          </cell>
          <cell r="G12">
            <v>0</v>
          </cell>
          <cell r="H12">
            <v>228020</v>
          </cell>
          <cell r="I12">
            <v>0</v>
          </cell>
          <cell r="J12">
            <v>0</v>
          </cell>
          <cell r="K12">
            <v>0</v>
          </cell>
          <cell r="L12">
            <v>227500</v>
          </cell>
          <cell r="M12">
            <v>5171832</v>
          </cell>
        </row>
        <row r="13">
          <cell r="A13" t="str">
            <v>NC0020</v>
          </cell>
          <cell r="B13" t="str">
            <v>Burke</v>
          </cell>
          <cell r="C13">
            <v>277250</v>
          </cell>
          <cell r="D13">
            <v>815522</v>
          </cell>
          <cell r="E13">
            <v>1092772</v>
          </cell>
          <cell r="F13">
            <v>139533</v>
          </cell>
          <cell r="G13">
            <v>0</v>
          </cell>
          <cell r="H13">
            <v>139533</v>
          </cell>
          <cell r="I13">
            <v>21547</v>
          </cell>
          <cell r="J13">
            <v>5316</v>
          </cell>
          <cell r="K13">
            <v>26863</v>
          </cell>
          <cell r="L13">
            <v>44834</v>
          </cell>
          <cell r="M13">
            <v>1304002</v>
          </cell>
        </row>
        <row r="14">
          <cell r="A14" t="str">
            <v>NC0021</v>
          </cell>
          <cell r="B14" t="str">
            <v>Cabarrus</v>
          </cell>
          <cell r="C14">
            <v>0</v>
          </cell>
          <cell r="D14">
            <v>3114661</v>
          </cell>
          <cell r="E14">
            <v>3114661</v>
          </cell>
          <cell r="F14">
            <v>196686</v>
          </cell>
          <cell r="G14">
            <v>0</v>
          </cell>
          <cell r="H14">
            <v>196686</v>
          </cell>
          <cell r="I14">
            <v>26608</v>
          </cell>
          <cell r="J14">
            <v>0</v>
          </cell>
          <cell r="K14">
            <v>26608</v>
          </cell>
          <cell r="L14">
            <v>0</v>
          </cell>
          <cell r="M14">
            <v>3337955</v>
          </cell>
        </row>
        <row r="15">
          <cell r="A15" t="str">
            <v>NC0022</v>
          </cell>
          <cell r="B15" t="str">
            <v>Caldwell</v>
          </cell>
          <cell r="C15">
            <v>0</v>
          </cell>
          <cell r="D15">
            <v>976852</v>
          </cell>
          <cell r="E15">
            <v>976852</v>
          </cell>
          <cell r="F15">
            <v>137437</v>
          </cell>
          <cell r="G15">
            <v>0</v>
          </cell>
          <cell r="H15">
            <v>137437</v>
          </cell>
          <cell r="I15">
            <v>1373</v>
          </cell>
          <cell r="J15">
            <v>0</v>
          </cell>
          <cell r="K15">
            <v>1373</v>
          </cell>
          <cell r="L15">
            <v>32587</v>
          </cell>
          <cell r="M15">
            <v>1148249</v>
          </cell>
        </row>
        <row r="16">
          <cell r="A16" t="str">
            <v>NC0107</v>
          </cell>
          <cell r="B16" t="str">
            <v>Caswell</v>
          </cell>
          <cell r="C16">
            <v>0</v>
          </cell>
          <cell r="D16">
            <v>180679</v>
          </cell>
          <cell r="E16">
            <v>180679</v>
          </cell>
          <cell r="F16">
            <v>84941</v>
          </cell>
          <cell r="G16">
            <v>0</v>
          </cell>
          <cell r="H16">
            <v>84941</v>
          </cell>
          <cell r="I16">
            <v>35186</v>
          </cell>
          <cell r="J16">
            <v>0</v>
          </cell>
          <cell r="K16">
            <v>35186</v>
          </cell>
          <cell r="L16">
            <v>15263</v>
          </cell>
          <cell r="M16">
            <v>316069</v>
          </cell>
        </row>
        <row r="17">
          <cell r="A17" t="str">
            <v>NC0023</v>
          </cell>
          <cell r="B17" t="str">
            <v>Catawba</v>
          </cell>
          <cell r="C17">
            <v>64302</v>
          </cell>
          <cell r="D17">
            <v>2386552</v>
          </cell>
          <cell r="E17">
            <v>2450854</v>
          </cell>
          <cell r="F17">
            <v>149476</v>
          </cell>
          <cell r="G17">
            <v>0</v>
          </cell>
          <cell r="H17">
            <v>149476</v>
          </cell>
          <cell r="I17">
            <v>46213</v>
          </cell>
          <cell r="J17">
            <v>0</v>
          </cell>
          <cell r="K17">
            <v>46213</v>
          </cell>
          <cell r="L17">
            <v>66023</v>
          </cell>
          <cell r="M17">
            <v>2712566</v>
          </cell>
        </row>
        <row r="18">
          <cell r="A18" t="str">
            <v>NC0104</v>
          </cell>
          <cell r="B18" t="str">
            <v>Chatham</v>
          </cell>
          <cell r="C18">
            <v>0</v>
          </cell>
          <cell r="D18">
            <v>1905135</v>
          </cell>
          <cell r="E18">
            <v>1905135</v>
          </cell>
          <cell r="F18">
            <v>101990</v>
          </cell>
          <cell r="G18">
            <v>0</v>
          </cell>
          <cell r="H18">
            <v>101990</v>
          </cell>
          <cell r="I18">
            <v>0</v>
          </cell>
          <cell r="J18">
            <v>0</v>
          </cell>
          <cell r="K18">
            <v>0</v>
          </cell>
          <cell r="L18">
            <v>166703</v>
          </cell>
          <cell r="M18">
            <v>2173828</v>
          </cell>
        </row>
        <row r="19">
          <cell r="A19" t="str">
            <v>NC0024</v>
          </cell>
          <cell r="B19" t="str">
            <v>Cleveland</v>
          </cell>
          <cell r="C19">
            <v>0</v>
          </cell>
          <cell r="D19">
            <v>837432</v>
          </cell>
          <cell r="E19">
            <v>837432</v>
          </cell>
          <cell r="F19">
            <v>138260</v>
          </cell>
          <cell r="G19">
            <v>0</v>
          </cell>
          <cell r="H19">
            <v>138260</v>
          </cell>
          <cell r="I19">
            <v>5313</v>
          </cell>
          <cell r="J19">
            <v>0</v>
          </cell>
          <cell r="K19">
            <v>5313</v>
          </cell>
          <cell r="L19">
            <v>80604</v>
          </cell>
          <cell r="M19">
            <v>1061609</v>
          </cell>
        </row>
        <row r="20">
          <cell r="A20" t="str">
            <v>NC0025</v>
          </cell>
          <cell r="B20" t="str">
            <v>Columbus</v>
          </cell>
          <cell r="C20">
            <v>0</v>
          </cell>
          <cell r="D20">
            <v>1249869</v>
          </cell>
          <cell r="E20">
            <v>1249869</v>
          </cell>
          <cell r="F20">
            <v>114987</v>
          </cell>
          <cell r="G20">
            <v>100000</v>
          </cell>
          <cell r="H20">
            <v>214987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1464856</v>
          </cell>
        </row>
        <row r="21">
          <cell r="A21" t="str">
            <v>NC0026</v>
          </cell>
          <cell r="B21" t="str">
            <v>Cumberland</v>
          </cell>
          <cell r="C21">
            <v>0</v>
          </cell>
          <cell r="D21">
            <v>10639547</v>
          </cell>
          <cell r="E21">
            <v>10639547</v>
          </cell>
          <cell r="F21">
            <v>309955</v>
          </cell>
          <cell r="G21">
            <v>45292</v>
          </cell>
          <cell r="H21">
            <v>355247</v>
          </cell>
          <cell r="I21">
            <v>30111</v>
          </cell>
          <cell r="J21">
            <v>0</v>
          </cell>
          <cell r="K21">
            <v>30111</v>
          </cell>
          <cell r="L21">
            <v>40559</v>
          </cell>
          <cell r="M21">
            <v>11065464</v>
          </cell>
        </row>
        <row r="22">
          <cell r="A22" t="str">
            <v>NC0027</v>
          </cell>
          <cell r="B22" t="str">
            <v>Davidson</v>
          </cell>
          <cell r="C22">
            <v>0</v>
          </cell>
          <cell r="D22">
            <v>3453686</v>
          </cell>
          <cell r="E22">
            <v>3453686</v>
          </cell>
          <cell r="F22">
            <v>186786</v>
          </cell>
          <cell r="G22">
            <v>0</v>
          </cell>
          <cell r="H22">
            <v>186786</v>
          </cell>
          <cell r="I22">
            <v>6203</v>
          </cell>
          <cell r="J22">
            <v>0</v>
          </cell>
          <cell r="K22">
            <v>6203</v>
          </cell>
          <cell r="L22">
            <v>90464</v>
          </cell>
          <cell r="M22">
            <v>3737139</v>
          </cell>
        </row>
        <row r="23">
          <cell r="A23" t="str">
            <v>NC0028</v>
          </cell>
          <cell r="B23" t="str">
            <v>Davie</v>
          </cell>
          <cell r="C23">
            <v>50021</v>
          </cell>
          <cell r="D23">
            <v>428809</v>
          </cell>
          <cell r="E23">
            <v>478830</v>
          </cell>
          <cell r="F23">
            <v>90551</v>
          </cell>
          <cell r="G23">
            <v>0</v>
          </cell>
          <cell r="H23">
            <v>90551</v>
          </cell>
          <cell r="I23">
            <v>24767</v>
          </cell>
          <cell r="J23">
            <v>0</v>
          </cell>
          <cell r="K23">
            <v>24767</v>
          </cell>
          <cell r="L23">
            <v>63213</v>
          </cell>
          <cell r="M23">
            <v>657361</v>
          </cell>
        </row>
        <row r="24">
          <cell r="A24" t="str">
            <v>NC0029</v>
          </cell>
          <cell r="B24" t="str">
            <v>Duplin</v>
          </cell>
          <cell r="C24">
            <v>38060</v>
          </cell>
          <cell r="D24">
            <v>483179</v>
          </cell>
          <cell r="E24">
            <v>521239</v>
          </cell>
          <cell r="F24">
            <v>122312</v>
          </cell>
          <cell r="G24">
            <v>0</v>
          </cell>
          <cell r="H24">
            <v>122312</v>
          </cell>
          <cell r="I24">
            <v>1168</v>
          </cell>
          <cell r="J24">
            <v>0</v>
          </cell>
          <cell r="K24">
            <v>1168</v>
          </cell>
          <cell r="L24">
            <v>0</v>
          </cell>
          <cell r="M24">
            <v>644719</v>
          </cell>
        </row>
        <row r="25">
          <cell r="A25" t="str">
            <v>NC0030</v>
          </cell>
          <cell r="B25" t="str">
            <v>Durham</v>
          </cell>
          <cell r="C25">
            <v>0</v>
          </cell>
          <cell r="D25">
            <v>11317640</v>
          </cell>
          <cell r="E25">
            <v>11317640</v>
          </cell>
          <cell r="F25">
            <v>235086</v>
          </cell>
          <cell r="G25">
            <v>0</v>
          </cell>
          <cell r="H25">
            <v>235086</v>
          </cell>
          <cell r="I25">
            <v>53800</v>
          </cell>
          <cell r="J25">
            <v>0</v>
          </cell>
          <cell r="K25">
            <v>53800</v>
          </cell>
          <cell r="L25">
            <v>0</v>
          </cell>
          <cell r="M25">
            <v>11606526</v>
          </cell>
        </row>
        <row r="26">
          <cell r="A26" t="str">
            <v>NC0031</v>
          </cell>
          <cell r="B26" t="str">
            <v>Edgecombe</v>
          </cell>
          <cell r="C26">
            <v>153528</v>
          </cell>
          <cell r="D26">
            <v>373850</v>
          </cell>
          <cell r="E26">
            <v>527378</v>
          </cell>
          <cell r="F26">
            <v>116974</v>
          </cell>
          <cell r="G26">
            <v>210</v>
          </cell>
          <cell r="H26">
            <v>117184</v>
          </cell>
          <cell r="I26">
            <v>4796</v>
          </cell>
          <cell r="J26">
            <v>0</v>
          </cell>
          <cell r="K26">
            <v>4796</v>
          </cell>
          <cell r="L26">
            <v>63641</v>
          </cell>
          <cell r="M26">
            <v>712999</v>
          </cell>
        </row>
        <row r="27">
          <cell r="A27" t="str">
            <v>NC0032</v>
          </cell>
          <cell r="B27" t="str">
            <v>Forsyth</v>
          </cell>
          <cell r="C27">
            <v>0</v>
          </cell>
          <cell r="D27">
            <v>7060367</v>
          </cell>
          <cell r="E27">
            <v>7060367</v>
          </cell>
          <cell r="F27">
            <v>292277</v>
          </cell>
          <cell r="G27">
            <v>0</v>
          </cell>
          <cell r="H27">
            <v>292277</v>
          </cell>
          <cell r="I27">
            <v>100984</v>
          </cell>
          <cell r="J27">
            <v>0</v>
          </cell>
          <cell r="K27">
            <v>100984</v>
          </cell>
          <cell r="L27">
            <v>195225</v>
          </cell>
          <cell r="M27">
            <v>7648853</v>
          </cell>
        </row>
        <row r="28">
          <cell r="A28" t="str">
            <v>NC0033</v>
          </cell>
          <cell r="B28" t="str">
            <v>Franklin</v>
          </cell>
          <cell r="C28">
            <v>3000</v>
          </cell>
          <cell r="D28">
            <v>787230</v>
          </cell>
          <cell r="E28">
            <v>790230</v>
          </cell>
          <cell r="F28">
            <v>114546</v>
          </cell>
          <cell r="G28">
            <v>0</v>
          </cell>
          <cell r="H28">
            <v>114546</v>
          </cell>
          <cell r="I28">
            <v>1205</v>
          </cell>
          <cell r="J28">
            <v>0</v>
          </cell>
          <cell r="K28">
            <v>1205</v>
          </cell>
          <cell r="L28">
            <v>1600</v>
          </cell>
          <cell r="M28">
            <v>907581</v>
          </cell>
        </row>
        <row r="29">
          <cell r="A29" t="str">
            <v>NC0105</v>
          </cell>
          <cell r="B29" t="str">
            <v>Gaston</v>
          </cell>
          <cell r="C29">
            <v>0</v>
          </cell>
          <cell r="D29">
            <v>3834335</v>
          </cell>
          <cell r="E29">
            <v>3834335</v>
          </cell>
          <cell r="F29">
            <v>225865</v>
          </cell>
          <cell r="G29">
            <v>0</v>
          </cell>
          <cell r="H29">
            <v>225865</v>
          </cell>
          <cell r="I29">
            <v>4414</v>
          </cell>
          <cell r="J29">
            <v>0</v>
          </cell>
          <cell r="K29">
            <v>4414</v>
          </cell>
          <cell r="L29">
            <v>0</v>
          </cell>
          <cell r="M29">
            <v>4064614</v>
          </cell>
        </row>
        <row r="30">
          <cell r="A30" t="str">
            <v>NC0034</v>
          </cell>
          <cell r="B30" t="str">
            <v>Granville</v>
          </cell>
          <cell r="C30">
            <v>0</v>
          </cell>
          <cell r="D30">
            <v>1697908</v>
          </cell>
          <cell r="E30">
            <v>1697908</v>
          </cell>
          <cell r="F30">
            <v>108151</v>
          </cell>
          <cell r="G30">
            <v>0</v>
          </cell>
          <cell r="H30">
            <v>108151</v>
          </cell>
          <cell r="I30">
            <v>18475</v>
          </cell>
          <cell r="J30">
            <v>0</v>
          </cell>
          <cell r="K30">
            <v>18475</v>
          </cell>
          <cell r="L30">
            <v>5471</v>
          </cell>
          <cell r="M30">
            <v>1830005</v>
          </cell>
        </row>
        <row r="31">
          <cell r="A31" t="str">
            <v>NC0035</v>
          </cell>
          <cell r="B31" t="str">
            <v>Guilford (Greensboro)</v>
          </cell>
          <cell r="C31">
            <v>7147636</v>
          </cell>
          <cell r="D31">
            <v>1356847</v>
          </cell>
          <cell r="E31">
            <v>8504483</v>
          </cell>
          <cell r="F31">
            <v>379326</v>
          </cell>
          <cell r="G31">
            <v>0</v>
          </cell>
          <cell r="H31">
            <v>379326</v>
          </cell>
          <cell r="I31">
            <v>0</v>
          </cell>
          <cell r="J31">
            <v>0</v>
          </cell>
          <cell r="K31">
            <v>0</v>
          </cell>
          <cell r="L31">
            <v>198100</v>
          </cell>
          <cell r="M31">
            <v>9081909</v>
          </cell>
        </row>
        <row r="32">
          <cell r="A32" t="str">
            <v>NC0036</v>
          </cell>
          <cell r="B32" t="str">
            <v>Halifax</v>
          </cell>
          <cell r="C32">
            <v>0</v>
          </cell>
          <cell r="D32">
            <v>503169</v>
          </cell>
          <cell r="E32">
            <v>503169</v>
          </cell>
          <cell r="F32">
            <v>97983</v>
          </cell>
          <cell r="G32">
            <v>0</v>
          </cell>
          <cell r="H32">
            <v>97983</v>
          </cell>
          <cell r="I32">
            <v>3515</v>
          </cell>
          <cell r="J32">
            <v>0</v>
          </cell>
          <cell r="K32">
            <v>3515</v>
          </cell>
          <cell r="L32">
            <v>14978</v>
          </cell>
          <cell r="M32">
            <v>619645</v>
          </cell>
        </row>
        <row r="33">
          <cell r="A33" t="str">
            <v>NC0037</v>
          </cell>
          <cell r="B33" t="str">
            <v>Harnett</v>
          </cell>
          <cell r="C33">
            <v>477552</v>
          </cell>
          <cell r="D33">
            <v>971654</v>
          </cell>
          <cell r="E33">
            <v>1449206</v>
          </cell>
          <cell r="F33">
            <v>166317</v>
          </cell>
          <cell r="G33">
            <v>0</v>
          </cell>
          <cell r="H33">
            <v>166317</v>
          </cell>
          <cell r="I33">
            <v>0</v>
          </cell>
          <cell r="J33">
            <v>0</v>
          </cell>
          <cell r="K33">
            <v>0</v>
          </cell>
          <cell r="L33">
            <v>26464</v>
          </cell>
          <cell r="M33">
            <v>1641987</v>
          </cell>
        </row>
        <row r="34">
          <cell r="A34" t="str">
            <v>NC0038</v>
          </cell>
          <cell r="B34" t="str">
            <v>Haywood</v>
          </cell>
          <cell r="C34">
            <v>1819</v>
          </cell>
          <cell r="D34">
            <v>1217343</v>
          </cell>
          <cell r="E34">
            <v>1219162</v>
          </cell>
          <cell r="F34">
            <v>105804</v>
          </cell>
          <cell r="G34">
            <v>0</v>
          </cell>
          <cell r="H34">
            <v>105804</v>
          </cell>
          <cell r="I34">
            <v>0</v>
          </cell>
          <cell r="J34">
            <v>48091</v>
          </cell>
          <cell r="K34">
            <v>48091</v>
          </cell>
          <cell r="L34">
            <v>0</v>
          </cell>
          <cell r="M34">
            <v>1373057</v>
          </cell>
        </row>
        <row r="35">
          <cell r="A35" t="str">
            <v>NC0039</v>
          </cell>
          <cell r="B35" t="str">
            <v>Henderson</v>
          </cell>
          <cell r="C35">
            <v>0</v>
          </cell>
          <cell r="D35">
            <v>2796071</v>
          </cell>
          <cell r="E35">
            <v>2796071</v>
          </cell>
          <cell r="F35">
            <v>139801</v>
          </cell>
          <cell r="G35">
            <v>0</v>
          </cell>
          <cell r="H35">
            <v>139801</v>
          </cell>
          <cell r="I35">
            <v>1156</v>
          </cell>
          <cell r="J35">
            <v>0</v>
          </cell>
          <cell r="K35">
            <v>1156</v>
          </cell>
          <cell r="L35">
            <v>139759</v>
          </cell>
          <cell r="M35">
            <v>3076787</v>
          </cell>
        </row>
        <row r="36">
          <cell r="A36" t="str">
            <v>NC0040</v>
          </cell>
          <cell r="B36" t="str">
            <v>Iredell</v>
          </cell>
          <cell r="C36">
            <v>0</v>
          </cell>
          <cell r="D36">
            <v>2123900</v>
          </cell>
          <cell r="E36">
            <v>2123900</v>
          </cell>
          <cell r="F36">
            <v>148360</v>
          </cell>
          <cell r="G36">
            <v>0</v>
          </cell>
          <cell r="H36">
            <v>148360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2272260</v>
          </cell>
        </row>
        <row r="37">
          <cell r="A37" t="str">
            <v>NC0041</v>
          </cell>
          <cell r="B37" t="str">
            <v>Johnston</v>
          </cell>
          <cell r="C37">
            <v>690866</v>
          </cell>
          <cell r="D37">
            <v>451000</v>
          </cell>
          <cell r="E37">
            <v>1141866</v>
          </cell>
          <cell r="F37">
            <v>191073</v>
          </cell>
          <cell r="G37">
            <v>0</v>
          </cell>
          <cell r="H37">
            <v>191073</v>
          </cell>
          <cell r="I37">
            <v>0</v>
          </cell>
          <cell r="J37">
            <v>0</v>
          </cell>
          <cell r="K37">
            <v>0</v>
          </cell>
          <cell r="L37">
            <v>128735</v>
          </cell>
          <cell r="M37">
            <v>1461674</v>
          </cell>
        </row>
        <row r="38">
          <cell r="A38" t="str">
            <v>NC0042</v>
          </cell>
          <cell r="B38" t="str">
            <v>Lee</v>
          </cell>
          <cell r="C38">
            <v>0</v>
          </cell>
          <cell r="D38">
            <v>472808</v>
          </cell>
          <cell r="E38">
            <v>472808</v>
          </cell>
          <cell r="F38">
            <v>110935</v>
          </cell>
          <cell r="G38">
            <v>0</v>
          </cell>
          <cell r="H38">
            <v>110935</v>
          </cell>
          <cell r="I38">
            <v>0</v>
          </cell>
          <cell r="J38">
            <v>0</v>
          </cell>
          <cell r="K38">
            <v>0</v>
          </cell>
          <cell r="L38">
            <v>21106</v>
          </cell>
          <cell r="M38">
            <v>604849</v>
          </cell>
        </row>
        <row r="39">
          <cell r="A39" t="str">
            <v>NC0106</v>
          </cell>
          <cell r="B39" t="str">
            <v>Lincoln</v>
          </cell>
          <cell r="C39">
            <v>0</v>
          </cell>
          <cell r="D39">
            <v>1209484</v>
          </cell>
          <cell r="E39">
            <v>1209484</v>
          </cell>
          <cell r="F39">
            <v>118507</v>
          </cell>
          <cell r="G39">
            <v>0</v>
          </cell>
          <cell r="H39">
            <v>118507</v>
          </cell>
          <cell r="I39">
            <v>59486</v>
          </cell>
          <cell r="J39">
            <v>0</v>
          </cell>
          <cell r="K39">
            <v>59486</v>
          </cell>
          <cell r="L39">
            <v>5151</v>
          </cell>
          <cell r="M39">
            <v>1392628</v>
          </cell>
        </row>
        <row r="40">
          <cell r="A40" t="str">
            <v>NC0043</v>
          </cell>
          <cell r="B40" t="str">
            <v>Madison</v>
          </cell>
          <cell r="C40">
            <v>6000</v>
          </cell>
          <cell r="D40">
            <v>380854</v>
          </cell>
          <cell r="E40">
            <v>386854</v>
          </cell>
          <cell r="F40">
            <v>81518</v>
          </cell>
          <cell r="G40">
            <v>0</v>
          </cell>
          <cell r="H40">
            <v>81518</v>
          </cell>
          <cell r="I40">
            <v>27012</v>
          </cell>
          <cell r="J40">
            <v>2679</v>
          </cell>
          <cell r="K40">
            <v>29691</v>
          </cell>
          <cell r="L40">
            <v>13414</v>
          </cell>
          <cell r="M40">
            <v>511477</v>
          </cell>
        </row>
        <row r="41">
          <cell r="A41" t="str">
            <v>NC0044</v>
          </cell>
          <cell r="B41" t="str">
            <v>McDowell</v>
          </cell>
          <cell r="C41">
            <v>0</v>
          </cell>
          <cell r="D41">
            <v>727094</v>
          </cell>
          <cell r="E41">
            <v>727094</v>
          </cell>
          <cell r="F41">
            <v>105533</v>
          </cell>
          <cell r="G41">
            <v>0</v>
          </cell>
          <cell r="H41">
            <v>105533</v>
          </cell>
          <cell r="I41">
            <v>0</v>
          </cell>
          <cell r="J41">
            <v>0</v>
          </cell>
          <cell r="K41">
            <v>0</v>
          </cell>
          <cell r="L41">
            <v>1628</v>
          </cell>
          <cell r="M41">
            <v>834255</v>
          </cell>
        </row>
        <row r="42">
          <cell r="A42" t="str">
            <v>NC0045</v>
          </cell>
          <cell r="B42" t="str">
            <v>Mecklenburg</v>
          </cell>
          <cell r="C42">
            <v>2500</v>
          </cell>
          <cell r="D42">
            <v>36440898</v>
          </cell>
          <cell r="E42">
            <v>36443398</v>
          </cell>
          <cell r="F42">
            <v>612394</v>
          </cell>
          <cell r="G42">
            <v>0</v>
          </cell>
          <cell r="H42">
            <v>612394</v>
          </cell>
          <cell r="I42">
            <v>81682</v>
          </cell>
          <cell r="J42">
            <v>0</v>
          </cell>
          <cell r="K42">
            <v>81682</v>
          </cell>
          <cell r="L42">
            <v>2647782</v>
          </cell>
          <cell r="M42">
            <v>39785256</v>
          </cell>
        </row>
        <row r="43">
          <cell r="A43" t="str">
            <v>NC0046</v>
          </cell>
          <cell r="B43" t="str">
            <v>Nash (Braswell)</v>
          </cell>
          <cell r="C43">
            <v>613260</v>
          </cell>
          <cell r="D43">
            <v>1059684</v>
          </cell>
          <cell r="E43">
            <v>1672944</v>
          </cell>
          <cell r="F43">
            <v>130598</v>
          </cell>
          <cell r="G43">
            <v>0</v>
          </cell>
          <cell r="H43">
            <v>130598</v>
          </cell>
          <cell r="I43">
            <v>1807</v>
          </cell>
          <cell r="J43">
            <v>0</v>
          </cell>
          <cell r="K43">
            <v>1807</v>
          </cell>
          <cell r="L43">
            <v>329501</v>
          </cell>
          <cell r="M43">
            <v>2134850</v>
          </cell>
        </row>
        <row r="44">
          <cell r="A44" t="str">
            <v>NC0047</v>
          </cell>
          <cell r="B44" t="str">
            <v>New Hanover</v>
          </cell>
          <cell r="C44">
            <v>0</v>
          </cell>
          <cell r="D44">
            <v>3621556</v>
          </cell>
          <cell r="E44">
            <v>3621556</v>
          </cell>
          <cell r="F44">
            <v>192213</v>
          </cell>
          <cell r="G44">
            <v>147500</v>
          </cell>
          <cell r="H44">
            <v>339713</v>
          </cell>
          <cell r="I44">
            <v>18122</v>
          </cell>
          <cell r="J44">
            <v>0</v>
          </cell>
          <cell r="K44">
            <v>18122</v>
          </cell>
          <cell r="L44">
            <v>184877</v>
          </cell>
          <cell r="M44">
            <v>4164268</v>
          </cell>
        </row>
        <row r="45">
          <cell r="A45" t="str">
            <v>NC0048</v>
          </cell>
          <cell r="B45" t="str">
            <v>Onslow</v>
          </cell>
          <cell r="C45">
            <v>0</v>
          </cell>
          <cell r="D45">
            <v>1841028</v>
          </cell>
          <cell r="E45">
            <v>1841028</v>
          </cell>
          <cell r="F45">
            <v>220280</v>
          </cell>
          <cell r="G45">
            <v>0</v>
          </cell>
          <cell r="H45">
            <v>220280</v>
          </cell>
          <cell r="I45">
            <v>13936</v>
          </cell>
          <cell r="J45">
            <v>0</v>
          </cell>
          <cell r="K45">
            <v>13936</v>
          </cell>
          <cell r="L45">
            <v>186379</v>
          </cell>
          <cell r="M45">
            <v>2261623</v>
          </cell>
        </row>
        <row r="46">
          <cell r="A46" t="str">
            <v>NC0108</v>
          </cell>
          <cell r="B46" t="str">
            <v>Orange</v>
          </cell>
          <cell r="C46">
            <v>4000</v>
          </cell>
          <cell r="D46">
            <v>2040252</v>
          </cell>
          <cell r="E46">
            <v>2044252</v>
          </cell>
          <cell r="F46">
            <v>104512</v>
          </cell>
          <cell r="G46">
            <v>56310</v>
          </cell>
          <cell r="H46">
            <v>160822</v>
          </cell>
          <cell r="I46">
            <v>73890</v>
          </cell>
          <cell r="J46">
            <v>0</v>
          </cell>
          <cell r="K46">
            <v>73890</v>
          </cell>
          <cell r="L46">
            <v>60734</v>
          </cell>
          <cell r="M46">
            <v>2339698</v>
          </cell>
        </row>
        <row r="47">
          <cell r="A47" t="str">
            <v>NC0049</v>
          </cell>
          <cell r="B47" t="str">
            <v>Pender</v>
          </cell>
          <cell r="C47">
            <v>0</v>
          </cell>
          <cell r="D47">
            <v>706383</v>
          </cell>
          <cell r="E47">
            <v>706383</v>
          </cell>
          <cell r="F47">
            <v>106500</v>
          </cell>
          <cell r="G47">
            <v>0</v>
          </cell>
          <cell r="H47">
            <v>106500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812883</v>
          </cell>
        </row>
        <row r="48">
          <cell r="A48" t="str">
            <v>NC0109</v>
          </cell>
          <cell r="B48" t="str">
            <v>Person</v>
          </cell>
          <cell r="C48">
            <v>0</v>
          </cell>
          <cell r="D48">
            <v>437419</v>
          </cell>
          <cell r="E48">
            <v>437419</v>
          </cell>
          <cell r="F48">
            <v>95881</v>
          </cell>
          <cell r="G48">
            <v>0</v>
          </cell>
          <cell r="H48">
            <v>95881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533300</v>
          </cell>
        </row>
        <row r="49">
          <cell r="A49" t="str">
            <v>NC0050</v>
          </cell>
          <cell r="B49" t="str">
            <v>Pitt (Sheppard)</v>
          </cell>
          <cell r="C49">
            <v>1383466</v>
          </cell>
          <cell r="D49">
            <v>593096</v>
          </cell>
          <cell r="E49">
            <v>1976562</v>
          </cell>
          <cell r="F49">
            <v>190187</v>
          </cell>
          <cell r="G49">
            <v>0</v>
          </cell>
          <cell r="H49">
            <v>190187</v>
          </cell>
          <cell r="I49">
            <v>0</v>
          </cell>
          <cell r="J49">
            <v>0</v>
          </cell>
          <cell r="K49">
            <v>0</v>
          </cell>
          <cell r="L49">
            <v>168342</v>
          </cell>
          <cell r="M49">
            <v>2335091</v>
          </cell>
        </row>
        <row r="50">
          <cell r="A50" t="str">
            <v>NC0051</v>
          </cell>
          <cell r="B50" t="str">
            <v>Polk</v>
          </cell>
          <cell r="C50">
            <v>0</v>
          </cell>
          <cell r="D50">
            <v>474797</v>
          </cell>
          <cell r="E50">
            <v>474797</v>
          </cell>
          <cell r="F50">
            <v>76970</v>
          </cell>
          <cell r="G50">
            <v>0</v>
          </cell>
          <cell r="H50">
            <v>76970</v>
          </cell>
          <cell r="I50">
            <v>16717</v>
          </cell>
          <cell r="J50">
            <v>0</v>
          </cell>
          <cell r="K50">
            <v>16717</v>
          </cell>
          <cell r="L50">
            <v>19022</v>
          </cell>
          <cell r="M50">
            <v>587506</v>
          </cell>
        </row>
        <row r="51">
          <cell r="A51" t="str">
            <v>NC0052</v>
          </cell>
          <cell r="B51" t="str">
            <v>Randolph</v>
          </cell>
          <cell r="C51">
            <v>717553</v>
          </cell>
          <cell r="D51">
            <v>1941178</v>
          </cell>
          <cell r="E51">
            <v>2658731</v>
          </cell>
          <cell r="F51">
            <v>182414</v>
          </cell>
          <cell r="G51">
            <v>0</v>
          </cell>
          <cell r="H51">
            <v>182414</v>
          </cell>
          <cell r="I51">
            <v>0</v>
          </cell>
          <cell r="J51">
            <v>0</v>
          </cell>
          <cell r="K51">
            <v>0</v>
          </cell>
          <cell r="L51">
            <v>142765</v>
          </cell>
          <cell r="M51">
            <v>2983910</v>
          </cell>
        </row>
        <row r="52">
          <cell r="A52" t="str">
            <v>NC0053</v>
          </cell>
          <cell r="B52" t="str">
            <v>Robeson</v>
          </cell>
          <cell r="C52">
            <v>333930</v>
          </cell>
          <cell r="D52">
            <v>560000</v>
          </cell>
          <cell r="E52">
            <v>893930</v>
          </cell>
          <cell r="F52">
            <v>213479</v>
          </cell>
          <cell r="G52">
            <v>0</v>
          </cell>
          <cell r="H52">
            <v>213479</v>
          </cell>
          <cell r="I52">
            <v>14236</v>
          </cell>
          <cell r="J52">
            <v>0</v>
          </cell>
          <cell r="K52">
            <v>14236</v>
          </cell>
          <cell r="L52">
            <v>137560</v>
          </cell>
          <cell r="M52">
            <v>1259205</v>
          </cell>
        </row>
        <row r="53">
          <cell r="A53" t="str">
            <v>NC0054</v>
          </cell>
          <cell r="B53" t="str">
            <v>Rockingham</v>
          </cell>
          <cell r="C53">
            <v>2600</v>
          </cell>
          <cell r="D53">
            <v>1611509</v>
          </cell>
          <cell r="E53">
            <v>1614109</v>
          </cell>
          <cell r="F53">
            <v>139180</v>
          </cell>
          <cell r="G53">
            <v>0</v>
          </cell>
          <cell r="H53">
            <v>139180</v>
          </cell>
          <cell r="I53">
            <v>1400</v>
          </cell>
          <cell r="J53">
            <v>0</v>
          </cell>
          <cell r="K53">
            <v>1400</v>
          </cell>
          <cell r="L53">
            <v>140806</v>
          </cell>
          <cell r="M53">
            <v>1895495</v>
          </cell>
        </row>
        <row r="54">
          <cell r="A54" t="str">
            <v>NC0055</v>
          </cell>
          <cell r="B54" t="str">
            <v>Rowan</v>
          </cell>
          <cell r="C54">
            <v>0</v>
          </cell>
          <cell r="D54">
            <v>3447651</v>
          </cell>
          <cell r="E54">
            <v>3447651</v>
          </cell>
          <cell r="F54">
            <v>178656</v>
          </cell>
          <cell r="G54">
            <v>36106</v>
          </cell>
          <cell r="H54">
            <v>214762</v>
          </cell>
          <cell r="I54">
            <v>0</v>
          </cell>
          <cell r="J54">
            <v>0</v>
          </cell>
          <cell r="K54">
            <v>0</v>
          </cell>
          <cell r="L54">
            <v>147007</v>
          </cell>
          <cell r="M54">
            <v>3809420</v>
          </cell>
        </row>
        <row r="55">
          <cell r="A55" t="str">
            <v>NC0056</v>
          </cell>
          <cell r="B55" t="str">
            <v>Rutherford</v>
          </cell>
          <cell r="C55">
            <v>0</v>
          </cell>
          <cell r="D55">
            <v>462921</v>
          </cell>
          <cell r="E55">
            <v>462921</v>
          </cell>
          <cell r="F55">
            <v>123147</v>
          </cell>
          <cell r="G55">
            <v>0</v>
          </cell>
          <cell r="H55">
            <v>123147</v>
          </cell>
          <cell r="I55">
            <v>1145</v>
          </cell>
          <cell r="J55">
            <v>0</v>
          </cell>
          <cell r="K55">
            <v>1145</v>
          </cell>
          <cell r="L55">
            <v>26698</v>
          </cell>
          <cell r="M55">
            <v>613911</v>
          </cell>
        </row>
        <row r="56">
          <cell r="A56" t="str">
            <v>NC0057</v>
          </cell>
          <cell r="B56" t="str">
            <v>Sampson</v>
          </cell>
          <cell r="C56">
            <v>4000</v>
          </cell>
          <cell r="D56">
            <v>685912</v>
          </cell>
          <cell r="E56">
            <v>689912</v>
          </cell>
          <cell r="F56">
            <v>119379</v>
          </cell>
          <cell r="G56">
            <v>0</v>
          </cell>
          <cell r="H56">
            <v>119379</v>
          </cell>
          <cell r="I56">
            <v>0</v>
          </cell>
          <cell r="J56">
            <v>0</v>
          </cell>
          <cell r="K56">
            <v>0</v>
          </cell>
          <cell r="L56">
            <v>31448</v>
          </cell>
          <cell r="M56">
            <v>840739</v>
          </cell>
        </row>
        <row r="57">
          <cell r="A57" t="str">
            <v>NC0058</v>
          </cell>
          <cell r="B57" t="str">
            <v>Scotland</v>
          </cell>
          <cell r="C57">
            <v>0</v>
          </cell>
          <cell r="D57">
            <v>366507</v>
          </cell>
          <cell r="E57">
            <v>366507</v>
          </cell>
          <cell r="F57">
            <v>102867</v>
          </cell>
          <cell r="G57">
            <v>0</v>
          </cell>
          <cell r="H57">
            <v>102867</v>
          </cell>
          <cell r="I57">
            <v>19679</v>
          </cell>
          <cell r="J57">
            <v>0</v>
          </cell>
          <cell r="K57">
            <v>19679</v>
          </cell>
          <cell r="L57">
            <v>8804</v>
          </cell>
          <cell r="M57">
            <v>497857</v>
          </cell>
        </row>
        <row r="58">
          <cell r="A58" t="str">
            <v>NC0059</v>
          </cell>
          <cell r="B58" t="str">
            <v>Stanly</v>
          </cell>
          <cell r="C58">
            <v>0</v>
          </cell>
          <cell r="D58">
            <v>1168723</v>
          </cell>
          <cell r="E58">
            <v>1168723</v>
          </cell>
          <cell r="F58">
            <v>114412</v>
          </cell>
          <cell r="G58">
            <v>0</v>
          </cell>
          <cell r="H58">
            <v>114412</v>
          </cell>
          <cell r="I58">
            <v>0</v>
          </cell>
          <cell r="J58">
            <v>0</v>
          </cell>
          <cell r="K58">
            <v>0</v>
          </cell>
          <cell r="L58">
            <v>21987</v>
          </cell>
          <cell r="M58">
            <v>1305122</v>
          </cell>
        </row>
        <row r="59">
          <cell r="A59" t="str">
            <v>NC0060</v>
          </cell>
          <cell r="B59" t="str">
            <v>Transylvania</v>
          </cell>
          <cell r="C59">
            <v>0</v>
          </cell>
          <cell r="D59">
            <v>1338810</v>
          </cell>
          <cell r="E59">
            <v>1338810</v>
          </cell>
          <cell r="F59">
            <v>87304</v>
          </cell>
          <cell r="G59">
            <v>0</v>
          </cell>
          <cell r="H59">
            <v>87304</v>
          </cell>
          <cell r="I59">
            <v>48626</v>
          </cell>
          <cell r="J59">
            <v>14376</v>
          </cell>
          <cell r="K59">
            <v>63002</v>
          </cell>
          <cell r="L59">
            <v>4000</v>
          </cell>
          <cell r="M59">
            <v>1493116</v>
          </cell>
        </row>
        <row r="60">
          <cell r="A60" t="str">
            <v>NC0061</v>
          </cell>
          <cell r="B60" t="str">
            <v>Union</v>
          </cell>
          <cell r="C60">
            <v>0</v>
          </cell>
          <cell r="D60">
            <v>4278782</v>
          </cell>
          <cell r="E60">
            <v>4278782</v>
          </cell>
          <cell r="F60">
            <v>196444</v>
          </cell>
          <cell r="G60">
            <v>0</v>
          </cell>
          <cell r="H60">
            <v>196444</v>
          </cell>
          <cell r="I60">
            <v>27684</v>
          </cell>
          <cell r="J60">
            <v>0</v>
          </cell>
          <cell r="K60">
            <v>27684</v>
          </cell>
          <cell r="L60">
            <v>179273</v>
          </cell>
          <cell r="M60">
            <v>4682183</v>
          </cell>
        </row>
        <row r="61">
          <cell r="A61" t="str">
            <v>NC0062</v>
          </cell>
          <cell r="B61" t="str">
            <v>Vance (Perry)</v>
          </cell>
          <cell r="C61">
            <v>187400</v>
          </cell>
          <cell r="D61">
            <v>562200</v>
          </cell>
          <cell r="E61">
            <v>749600</v>
          </cell>
          <cell r="F61">
            <v>105090</v>
          </cell>
          <cell r="G61">
            <v>0</v>
          </cell>
          <cell r="H61">
            <v>105090</v>
          </cell>
          <cell r="I61">
            <v>0</v>
          </cell>
          <cell r="J61">
            <v>0</v>
          </cell>
          <cell r="K61">
            <v>0</v>
          </cell>
          <cell r="L61">
            <v>91515</v>
          </cell>
          <cell r="M61">
            <v>946205</v>
          </cell>
        </row>
        <row r="62">
          <cell r="A62" t="str">
            <v>NC0063</v>
          </cell>
          <cell r="B62" t="str">
            <v>Wake</v>
          </cell>
          <cell r="C62">
            <v>0</v>
          </cell>
          <cell r="D62">
            <v>24746123</v>
          </cell>
          <cell r="E62">
            <v>24746123</v>
          </cell>
          <cell r="F62">
            <v>583152</v>
          </cell>
          <cell r="G62">
            <v>0</v>
          </cell>
          <cell r="H62">
            <v>583152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25329275</v>
          </cell>
        </row>
        <row r="63">
          <cell r="A63" t="str">
            <v>NC0101</v>
          </cell>
          <cell r="B63" t="str">
            <v>Warren</v>
          </cell>
          <cell r="C63">
            <v>0</v>
          </cell>
          <cell r="D63">
            <v>398242</v>
          </cell>
          <cell r="E63">
            <v>398242</v>
          </cell>
          <cell r="F63">
            <v>82116</v>
          </cell>
          <cell r="G63">
            <v>0</v>
          </cell>
          <cell r="H63">
            <v>82116</v>
          </cell>
          <cell r="I63">
            <v>18995</v>
          </cell>
          <cell r="J63">
            <v>0</v>
          </cell>
          <cell r="K63">
            <v>18995</v>
          </cell>
          <cell r="L63">
            <v>11826</v>
          </cell>
          <cell r="M63">
            <v>511179</v>
          </cell>
        </row>
        <row r="64">
          <cell r="A64" t="str">
            <v>NC0065</v>
          </cell>
          <cell r="B64" t="str">
            <v>Wayne</v>
          </cell>
          <cell r="C64">
            <v>0</v>
          </cell>
          <cell r="D64">
            <v>1676812</v>
          </cell>
          <cell r="E64">
            <v>1676812</v>
          </cell>
          <cell r="F64">
            <v>163051</v>
          </cell>
          <cell r="G64">
            <v>115559</v>
          </cell>
          <cell r="H64">
            <v>278610</v>
          </cell>
          <cell r="I64">
            <v>44177</v>
          </cell>
          <cell r="J64">
            <v>0</v>
          </cell>
          <cell r="K64">
            <v>44177</v>
          </cell>
          <cell r="L64">
            <v>0</v>
          </cell>
          <cell r="M64">
            <v>1999599</v>
          </cell>
        </row>
        <row r="65">
          <cell r="A65" t="str">
            <v>NC0066</v>
          </cell>
          <cell r="B65" t="str">
            <v>Wilson</v>
          </cell>
          <cell r="C65">
            <v>0</v>
          </cell>
          <cell r="D65">
            <v>1808619</v>
          </cell>
          <cell r="E65">
            <v>1808619</v>
          </cell>
          <cell r="F65">
            <v>129720</v>
          </cell>
          <cell r="G65">
            <v>0</v>
          </cell>
          <cell r="H65">
            <v>129720</v>
          </cell>
          <cell r="I65">
            <v>0</v>
          </cell>
          <cell r="J65">
            <v>0</v>
          </cell>
          <cell r="K65">
            <v>0</v>
          </cell>
          <cell r="L65">
            <v>57364</v>
          </cell>
          <cell r="M65">
            <v>1995703</v>
          </cell>
        </row>
        <row r="66">
          <cell r="A66" t="str">
            <v>Total</v>
          </cell>
          <cell r="C66">
            <v>12405743</v>
          </cell>
          <cell r="D66">
            <v>165383599</v>
          </cell>
          <cell r="E66">
            <v>177789342</v>
          </cell>
          <cell r="F66">
            <v>9503625</v>
          </cell>
          <cell r="G66">
            <v>500977</v>
          </cell>
          <cell r="H66">
            <v>10004602</v>
          </cell>
          <cell r="I66">
            <v>915469</v>
          </cell>
          <cell r="J66">
            <v>80461</v>
          </cell>
          <cell r="K66">
            <v>995930</v>
          </cell>
          <cell r="L66">
            <v>6361802</v>
          </cell>
          <cell r="M66">
            <v>195151676</v>
          </cell>
        </row>
        <row r="67">
          <cell r="A67" t="str">
            <v>Regional Libraries</v>
          </cell>
        </row>
        <row r="68">
          <cell r="A68" t="str">
            <v>NC0001</v>
          </cell>
          <cell r="B68" t="str">
            <v>Albemarle</v>
          </cell>
          <cell r="C68">
            <v>227175</v>
          </cell>
          <cell r="D68">
            <v>495536</v>
          </cell>
          <cell r="E68">
            <v>722711</v>
          </cell>
          <cell r="F68">
            <v>391386</v>
          </cell>
          <cell r="G68">
            <v>0</v>
          </cell>
          <cell r="H68">
            <v>391386</v>
          </cell>
          <cell r="I68">
            <v>0</v>
          </cell>
          <cell r="J68">
            <v>0</v>
          </cell>
          <cell r="K68">
            <v>0</v>
          </cell>
          <cell r="L68">
            <v>140655</v>
          </cell>
          <cell r="M68">
            <v>1254752</v>
          </cell>
        </row>
        <row r="69">
          <cell r="A69" t="str">
            <v>NC0003</v>
          </cell>
          <cell r="B69" t="str">
            <v>AMY</v>
          </cell>
          <cell r="C69">
            <v>80716</v>
          </cell>
          <cell r="D69">
            <v>314356</v>
          </cell>
          <cell r="E69">
            <v>395072</v>
          </cell>
          <cell r="F69">
            <v>295077</v>
          </cell>
          <cell r="G69">
            <v>0</v>
          </cell>
          <cell r="H69">
            <v>295077</v>
          </cell>
          <cell r="I69">
            <v>0</v>
          </cell>
          <cell r="J69">
            <v>0</v>
          </cell>
          <cell r="K69">
            <v>0</v>
          </cell>
          <cell r="L69">
            <v>153497</v>
          </cell>
          <cell r="M69">
            <v>843646</v>
          </cell>
        </row>
        <row r="70">
          <cell r="A70" t="str">
            <v>NC0002</v>
          </cell>
          <cell r="B70" t="str">
            <v>Appalachian</v>
          </cell>
          <cell r="C70">
            <v>2000</v>
          </cell>
          <cell r="D70">
            <v>1561193</v>
          </cell>
          <cell r="E70">
            <v>1563193</v>
          </cell>
          <cell r="F70">
            <v>383838</v>
          </cell>
          <cell r="G70">
            <v>0</v>
          </cell>
          <cell r="H70">
            <v>383838</v>
          </cell>
          <cell r="I70">
            <v>15266</v>
          </cell>
          <cell r="J70">
            <v>0</v>
          </cell>
          <cell r="K70">
            <v>15266</v>
          </cell>
          <cell r="L70">
            <v>936784</v>
          </cell>
          <cell r="M70">
            <v>2899081</v>
          </cell>
        </row>
        <row r="71">
          <cell r="A71" t="str">
            <v>NC0004</v>
          </cell>
          <cell r="B71" t="str">
            <v>BHM</v>
          </cell>
          <cell r="C71">
            <v>124150</v>
          </cell>
          <cell r="D71">
            <v>344732</v>
          </cell>
          <cell r="E71">
            <v>468882</v>
          </cell>
          <cell r="F71">
            <v>302831</v>
          </cell>
          <cell r="G71">
            <v>0</v>
          </cell>
          <cell r="H71">
            <v>302831</v>
          </cell>
          <cell r="I71">
            <v>40756</v>
          </cell>
          <cell r="J71">
            <v>0</v>
          </cell>
          <cell r="K71">
            <v>40756</v>
          </cell>
          <cell r="L71">
            <v>77175</v>
          </cell>
          <cell r="M71">
            <v>889644</v>
          </cell>
        </row>
        <row r="72">
          <cell r="A72" t="str">
            <v>NC0006</v>
          </cell>
          <cell r="B72" t="str">
            <v>CPC</v>
          </cell>
          <cell r="C72">
            <v>163965</v>
          </cell>
          <cell r="D72">
            <v>2725310</v>
          </cell>
          <cell r="E72">
            <v>2889275</v>
          </cell>
          <cell r="F72">
            <v>379113</v>
          </cell>
          <cell r="G72">
            <v>38000</v>
          </cell>
          <cell r="H72">
            <v>417113</v>
          </cell>
          <cell r="I72">
            <v>103249</v>
          </cell>
          <cell r="J72">
            <v>0</v>
          </cell>
          <cell r="K72">
            <v>103249</v>
          </cell>
          <cell r="L72">
            <v>544052</v>
          </cell>
          <cell r="M72">
            <v>3953689</v>
          </cell>
        </row>
        <row r="73">
          <cell r="A73" t="str">
            <v>NC0007</v>
          </cell>
          <cell r="B73" t="str">
            <v>E. Albemarle</v>
          </cell>
          <cell r="C73">
            <v>2000</v>
          </cell>
          <cell r="D73">
            <v>2330002</v>
          </cell>
          <cell r="E73">
            <v>2332002</v>
          </cell>
          <cell r="F73">
            <v>390107</v>
          </cell>
          <cell r="G73">
            <v>0</v>
          </cell>
          <cell r="H73">
            <v>390107</v>
          </cell>
          <cell r="I73">
            <v>0</v>
          </cell>
          <cell r="J73">
            <v>0</v>
          </cell>
          <cell r="K73">
            <v>0</v>
          </cell>
          <cell r="L73">
            <v>84826</v>
          </cell>
          <cell r="M73">
            <v>2806935</v>
          </cell>
        </row>
        <row r="74">
          <cell r="A74" t="str">
            <v>NC0008</v>
          </cell>
          <cell r="B74" t="str">
            <v>Fontana</v>
          </cell>
          <cell r="C74">
            <v>19890</v>
          </cell>
          <cell r="D74">
            <v>2300512</v>
          </cell>
          <cell r="E74">
            <v>2320402</v>
          </cell>
          <cell r="F74">
            <v>326025</v>
          </cell>
          <cell r="G74">
            <v>54408</v>
          </cell>
          <cell r="H74">
            <v>380433</v>
          </cell>
          <cell r="I74">
            <v>55168</v>
          </cell>
          <cell r="J74">
            <v>0</v>
          </cell>
          <cell r="K74">
            <v>55168</v>
          </cell>
          <cell r="L74">
            <v>550017</v>
          </cell>
          <cell r="M74">
            <v>3306020</v>
          </cell>
        </row>
        <row r="75">
          <cell r="A75" t="str">
            <v>NC0011</v>
          </cell>
          <cell r="B75" t="str">
            <v>Nantahala</v>
          </cell>
          <cell r="C75">
            <v>484095</v>
          </cell>
          <cell r="D75">
            <v>365084</v>
          </cell>
          <cell r="E75">
            <v>849179</v>
          </cell>
          <cell r="F75">
            <v>295570</v>
          </cell>
          <cell r="G75">
            <v>0</v>
          </cell>
          <cell r="H75">
            <v>295570</v>
          </cell>
          <cell r="I75">
            <v>0</v>
          </cell>
          <cell r="J75">
            <v>0</v>
          </cell>
          <cell r="K75">
            <v>0</v>
          </cell>
          <cell r="L75">
            <v>83020</v>
          </cell>
          <cell r="M75">
            <v>1227769</v>
          </cell>
        </row>
        <row r="76">
          <cell r="A76" t="str">
            <v>NC0012</v>
          </cell>
          <cell r="B76" t="str">
            <v>Neuse</v>
          </cell>
          <cell r="C76">
            <v>204250</v>
          </cell>
          <cell r="D76">
            <v>960756</v>
          </cell>
          <cell r="E76">
            <v>1165006</v>
          </cell>
          <cell r="F76">
            <v>334704</v>
          </cell>
          <cell r="G76">
            <v>0</v>
          </cell>
          <cell r="H76">
            <v>334704</v>
          </cell>
          <cell r="I76">
            <v>31000</v>
          </cell>
          <cell r="J76">
            <v>0</v>
          </cell>
          <cell r="K76">
            <v>31000</v>
          </cell>
          <cell r="L76">
            <v>649075</v>
          </cell>
          <cell r="M76">
            <v>2179785</v>
          </cell>
        </row>
        <row r="77">
          <cell r="A77" t="str">
            <v>NC0013</v>
          </cell>
          <cell r="B77" t="str">
            <v>Northwestern</v>
          </cell>
          <cell r="C77">
            <v>305718</v>
          </cell>
          <cell r="D77">
            <v>1557122</v>
          </cell>
          <cell r="E77">
            <v>1862840</v>
          </cell>
          <cell r="F77">
            <v>457202</v>
          </cell>
          <cell r="G77">
            <v>0</v>
          </cell>
          <cell r="H77">
            <v>457202</v>
          </cell>
          <cell r="I77">
            <v>0</v>
          </cell>
          <cell r="J77">
            <v>0</v>
          </cell>
          <cell r="K77">
            <v>0</v>
          </cell>
          <cell r="L77">
            <v>72723</v>
          </cell>
          <cell r="M77">
            <v>2392765</v>
          </cell>
        </row>
        <row r="78">
          <cell r="A78" t="str">
            <v>NC0014</v>
          </cell>
          <cell r="B78" t="str">
            <v>Pettigrew</v>
          </cell>
          <cell r="C78">
            <v>0</v>
          </cell>
          <cell r="D78">
            <v>651065</v>
          </cell>
          <cell r="E78">
            <v>651065</v>
          </cell>
          <cell r="F78">
            <v>354816</v>
          </cell>
          <cell r="G78">
            <v>0</v>
          </cell>
          <cell r="H78">
            <v>354816</v>
          </cell>
          <cell r="I78">
            <v>34008</v>
          </cell>
          <cell r="J78">
            <v>0</v>
          </cell>
          <cell r="K78">
            <v>34008</v>
          </cell>
          <cell r="L78">
            <v>95674</v>
          </cell>
          <cell r="M78">
            <v>1135563</v>
          </cell>
        </row>
        <row r="79">
          <cell r="A79" t="str">
            <v>NC0015</v>
          </cell>
          <cell r="B79" t="str">
            <v>Sandhill</v>
          </cell>
          <cell r="C79">
            <v>162710</v>
          </cell>
          <cell r="D79">
            <v>1808356</v>
          </cell>
          <cell r="E79">
            <v>1971066</v>
          </cell>
          <cell r="F79">
            <v>548476</v>
          </cell>
          <cell r="G79">
            <v>20000</v>
          </cell>
          <cell r="H79">
            <v>568476</v>
          </cell>
          <cell r="I79">
            <v>31931</v>
          </cell>
          <cell r="J79">
            <v>122248</v>
          </cell>
          <cell r="K79">
            <v>154179</v>
          </cell>
          <cell r="L79">
            <v>142963</v>
          </cell>
          <cell r="M79">
            <v>2836684</v>
          </cell>
        </row>
        <row r="80">
          <cell r="A80" t="str">
            <v>Total</v>
          </cell>
          <cell r="C80">
            <v>1776669</v>
          </cell>
          <cell r="D80">
            <v>15414024</v>
          </cell>
          <cell r="E80">
            <v>17190693</v>
          </cell>
          <cell r="F80">
            <v>4459145</v>
          </cell>
          <cell r="G80">
            <v>112408</v>
          </cell>
          <cell r="H80">
            <v>4571553</v>
          </cell>
          <cell r="I80">
            <v>311378</v>
          </cell>
          <cell r="J80">
            <v>122248</v>
          </cell>
          <cell r="K80">
            <v>433626</v>
          </cell>
          <cell r="L80">
            <v>3530461</v>
          </cell>
          <cell r="M80">
            <v>25726333</v>
          </cell>
        </row>
        <row r="81">
          <cell r="B81" t="str">
            <v>Municipal Libraries</v>
          </cell>
        </row>
        <row r="82">
          <cell r="A82" t="str">
            <v>NC0071</v>
          </cell>
          <cell r="B82" t="str">
            <v>Chapel Hill</v>
          </cell>
          <cell r="C82">
            <v>2125506</v>
          </cell>
          <cell r="D82">
            <v>568139</v>
          </cell>
          <cell r="E82">
            <v>2693645</v>
          </cell>
          <cell r="F82">
            <v>28064</v>
          </cell>
          <cell r="G82">
            <v>0</v>
          </cell>
          <cell r="H82">
            <v>28064</v>
          </cell>
          <cell r="I82">
            <v>102459</v>
          </cell>
          <cell r="J82">
            <v>0</v>
          </cell>
          <cell r="K82">
            <v>102459</v>
          </cell>
          <cell r="L82">
            <v>194077</v>
          </cell>
          <cell r="M82">
            <v>3018245</v>
          </cell>
        </row>
        <row r="83">
          <cell r="A83" t="str">
            <v>NC0110</v>
          </cell>
          <cell r="B83" t="str">
            <v>Clayton</v>
          </cell>
          <cell r="C83">
            <v>516578</v>
          </cell>
          <cell r="D83">
            <v>0</v>
          </cell>
          <cell r="E83">
            <v>516578</v>
          </cell>
          <cell r="F83">
            <v>11636</v>
          </cell>
          <cell r="G83">
            <v>0</v>
          </cell>
          <cell r="H83">
            <v>11636</v>
          </cell>
          <cell r="I83">
            <v>0</v>
          </cell>
          <cell r="J83">
            <v>0</v>
          </cell>
          <cell r="K83">
            <v>0</v>
          </cell>
          <cell r="L83">
            <v>26939</v>
          </cell>
          <cell r="M83">
            <v>555153</v>
          </cell>
        </row>
        <row r="84">
          <cell r="A84" t="str">
            <v>NC0075</v>
          </cell>
          <cell r="B84" t="str">
            <v>Farmville</v>
          </cell>
          <cell r="C84">
            <v>306301</v>
          </cell>
          <cell r="D84">
            <v>5000</v>
          </cell>
          <cell r="E84">
            <v>311301</v>
          </cell>
          <cell r="F84">
            <v>3820</v>
          </cell>
          <cell r="G84">
            <v>0</v>
          </cell>
          <cell r="H84">
            <v>3820</v>
          </cell>
          <cell r="I84">
            <v>30565</v>
          </cell>
          <cell r="J84">
            <v>0</v>
          </cell>
          <cell r="K84">
            <v>30565</v>
          </cell>
          <cell r="L84">
            <v>0</v>
          </cell>
          <cell r="M84">
            <v>345686</v>
          </cell>
        </row>
      </sheetData>
      <sheetData sheetId="5">
        <row r="4">
          <cell r="C4" t="str">
            <v>Local</v>
          </cell>
          <cell r="E4" t="str">
            <v xml:space="preserve">Total </v>
          </cell>
        </row>
        <row r="5">
          <cell r="C5" t="str">
            <v>Income</v>
          </cell>
          <cell r="D5" t="str">
            <v>State Aid</v>
          </cell>
          <cell r="E5" t="str">
            <v>Income</v>
          </cell>
          <cell r="F5" t="str">
            <v>Operating Funds as a Percent (%) of Total Income</v>
          </cell>
        </row>
        <row r="6">
          <cell r="C6" t="str">
            <v>Per Capita($)</v>
          </cell>
          <cell r="D6" t="str">
            <v>Per Capita($)</v>
          </cell>
          <cell r="E6" t="str">
            <v>Per Capita($)</v>
          </cell>
          <cell r="F6" t="str">
            <v>Local</v>
          </cell>
          <cell r="G6" t="str">
            <v>State Aid</v>
          </cell>
          <cell r="H6" t="str">
            <v>Federal</v>
          </cell>
          <cell r="I6" t="str">
            <v>Other</v>
          </cell>
        </row>
        <row r="7">
          <cell r="B7" t="str">
            <v>County Libraries</v>
          </cell>
        </row>
        <row r="8">
          <cell r="A8" t="str">
            <v>NC0103</v>
          </cell>
          <cell r="B8" t="str">
            <v>Alamance</v>
          </cell>
          <cell r="C8">
            <v>17.613181686722747</v>
          </cell>
          <cell r="D8">
            <v>1.1372678461403045</v>
          </cell>
          <cell r="E8">
            <v>19.620940058093478</v>
          </cell>
          <cell r="F8">
            <v>0.89767267187881017</v>
          </cell>
          <cell r="G8">
            <v>5.7961944879964651E-2</v>
          </cell>
          <cell r="H8">
            <v>1.1978381108110801E-2</v>
          </cell>
          <cell r="I8">
            <v>3.2387002133114413E-2</v>
          </cell>
        </row>
        <row r="9">
          <cell r="A9" t="str">
            <v>NC0016</v>
          </cell>
          <cell r="B9" t="str">
            <v>Alexander</v>
          </cell>
          <cell r="C9">
            <v>12.861508724271236</v>
          </cell>
          <cell r="D9">
            <v>2.5133214920071048</v>
          </cell>
          <cell r="E9">
            <v>15.861352000835858</v>
          </cell>
          <cell r="F9">
            <v>0.81087089698239234</v>
          </cell>
          <cell r="G9">
            <v>0.15845569103281096</v>
          </cell>
          <cell r="H9">
            <v>1.0883742070628224E-2</v>
          </cell>
          <cell r="I9">
            <v>1.9789669914168462E-2</v>
          </cell>
        </row>
        <row r="10">
          <cell r="A10" t="str">
            <v>NC0017</v>
          </cell>
          <cell r="B10" t="str">
            <v>Bladen</v>
          </cell>
          <cell r="C10">
            <v>12.11731617965212</v>
          </cell>
          <cell r="D10">
            <v>2.750454322554591</v>
          </cell>
          <cell r="E10">
            <v>15.849943750540859</v>
          </cell>
          <cell r="F10">
            <v>0.7645021566236555</v>
          </cell>
          <cell r="G10">
            <v>0.17353085700766194</v>
          </cell>
          <cell r="H10">
            <v>4.7407501774437186E-2</v>
          </cell>
          <cell r="I10">
            <v>1.4559484594245364E-2</v>
          </cell>
        </row>
        <row r="11">
          <cell r="A11" t="str">
            <v>NC0018</v>
          </cell>
          <cell r="B11" t="str">
            <v>Brunswick</v>
          </cell>
          <cell r="C11">
            <v>9.2195694716242667</v>
          </cell>
          <cell r="D11">
            <v>1.1133620352250488</v>
          </cell>
          <cell r="E11">
            <v>10.332931506849315</v>
          </cell>
          <cell r="F11">
            <v>0.89225109694310445</v>
          </cell>
          <cell r="G11">
            <v>0.10774890305689559</v>
          </cell>
          <cell r="H11">
            <v>0</v>
          </cell>
          <cell r="I11">
            <v>0</v>
          </cell>
        </row>
        <row r="12">
          <cell r="A12" t="str">
            <v>NC0019</v>
          </cell>
          <cell r="B12" t="str">
            <v>Buncombe</v>
          </cell>
          <cell r="C12">
            <v>18.251557626370904</v>
          </cell>
          <cell r="D12">
            <v>0.8824098511644467</v>
          </cell>
          <cell r="E12">
            <v>20.014364991524964</v>
          </cell>
          <cell r="F12">
            <v>0.91192289308701446</v>
          </cell>
          <cell r="G12">
            <v>4.408882577779015E-2</v>
          </cell>
          <cell r="H12">
            <v>0</v>
          </cell>
          <cell r="I12">
            <v>4.3988281135195421E-2</v>
          </cell>
        </row>
        <row r="13">
          <cell r="A13" t="str">
            <v>NC0020</v>
          </cell>
          <cell r="B13" t="str">
            <v>Burke</v>
          </cell>
          <cell r="C13">
            <v>12.176139592409774</v>
          </cell>
          <cell r="D13">
            <v>1.5547372057004691</v>
          </cell>
          <cell r="E13">
            <v>14.529755869276967</v>
          </cell>
          <cell r="F13">
            <v>0.83801405212568691</v>
          </cell>
          <cell r="G13">
            <v>0.10700367023976957</v>
          </cell>
          <cell r="H13">
            <v>2.0600428526950113E-2</v>
          </cell>
          <cell r="I13">
            <v>3.4381849107593392E-2</v>
          </cell>
        </row>
        <row r="14">
          <cell r="A14" t="str">
            <v>NC0021</v>
          </cell>
          <cell r="B14" t="str">
            <v>Cabarrus</v>
          </cell>
          <cell r="C14">
            <v>15.521850067027803</v>
          </cell>
          <cell r="D14">
            <v>0.98018070097626364</v>
          </cell>
          <cell r="E14">
            <v>16.634631197580021</v>
          </cell>
          <cell r="F14">
            <v>0.93310455054067531</v>
          </cell>
          <cell r="G14">
            <v>5.8924101732947272E-2</v>
          </cell>
          <cell r="H14">
            <v>7.9713477263773785E-3</v>
          </cell>
          <cell r="I14">
            <v>0</v>
          </cell>
        </row>
        <row r="15">
          <cell r="A15" t="str">
            <v>NC0022</v>
          </cell>
          <cell r="B15" t="str">
            <v>Caldwell</v>
          </cell>
          <cell r="C15">
            <v>11.801720388537186</v>
          </cell>
          <cell r="D15">
            <v>1.6604286473686753</v>
          </cell>
          <cell r="E15">
            <v>13.872432706712415</v>
          </cell>
          <cell r="F15">
            <v>0.85073185345687219</v>
          </cell>
          <cell r="G15">
            <v>0.11969267989782705</v>
          </cell>
          <cell r="H15">
            <v>1.1957336779740283E-3</v>
          </cell>
          <cell r="I15">
            <v>2.8379732967326772E-2</v>
          </cell>
        </row>
        <row r="16">
          <cell r="A16" t="str">
            <v>NC0107</v>
          </cell>
          <cell r="B16" t="str">
            <v>Caswell</v>
          </cell>
          <cell r="C16">
            <v>7.6271265144159734</v>
          </cell>
          <cell r="D16">
            <v>3.5856726750812613</v>
          </cell>
          <cell r="E16">
            <v>13.342437418210984</v>
          </cell>
          <cell r="F16">
            <v>0.57164416630545867</v>
          </cell>
          <cell r="G16">
            <v>0.26874195191556272</v>
          </cell>
          <cell r="H16">
            <v>0.111323793222366</v>
          </cell>
          <cell r="I16">
            <v>4.829008855661264E-2</v>
          </cell>
        </row>
        <row r="17">
          <cell r="A17" t="str">
            <v>NC0023</v>
          </cell>
          <cell r="B17" t="str">
            <v>Catawba</v>
          </cell>
          <cell r="C17">
            <v>21.108399076721671</v>
          </cell>
          <cell r="D17">
            <v>1.2873876046439521</v>
          </cell>
          <cell r="E17">
            <v>23.362438419402626</v>
          </cell>
          <cell r="F17">
            <v>0.90351866092843458</v>
          </cell>
          <cell r="G17">
            <v>5.5105018642864358E-2</v>
          </cell>
          <cell r="H17">
            <v>1.7036636159267645E-2</v>
          </cell>
          <cell r="I17">
            <v>2.4339684269433445E-2</v>
          </cell>
        </row>
        <row r="18">
          <cell r="A18" t="str">
            <v>NC0104</v>
          </cell>
          <cell r="B18" t="str">
            <v>Chatham</v>
          </cell>
          <cell r="C18">
            <v>25.99589280353683</v>
          </cell>
          <cell r="D18">
            <v>1.3916709876374751</v>
          </cell>
          <cell r="E18">
            <v>29.662254728051742</v>
          </cell>
          <cell r="F18">
            <v>0.87639638462656655</v>
          </cell>
          <cell r="G18">
            <v>4.6917235402248937E-2</v>
          </cell>
          <cell r="H18">
            <v>0</v>
          </cell>
          <cell r="I18">
            <v>7.6686379971184479E-2</v>
          </cell>
        </row>
        <row r="19">
          <cell r="A19" t="str">
            <v>NC0024</v>
          </cell>
          <cell r="B19" t="str">
            <v>Cleveland</v>
          </cell>
          <cell r="C19">
            <v>9.4517217638627109</v>
          </cell>
          <cell r="D19">
            <v>1.5604790013656731</v>
          </cell>
          <cell r="E19">
            <v>11.98190765341249</v>
          </cell>
          <cell r="F19">
            <v>0.78883280002336076</v>
          </cell>
          <cell r="G19">
            <v>0.13023627343023655</v>
          </cell>
          <cell r="H19">
            <v>5.004667443474952E-3</v>
          </cell>
          <cell r="I19">
            <v>7.5926259102927732E-2</v>
          </cell>
        </row>
        <row r="20">
          <cell r="A20" t="str">
            <v>NC0025</v>
          </cell>
          <cell r="B20" t="str">
            <v>Columbus</v>
          </cell>
          <cell r="C20">
            <v>21.857734951558182</v>
          </cell>
          <cell r="D20">
            <v>3.7596971074813754</v>
          </cell>
          <cell r="E20">
            <v>25.617432059039558</v>
          </cell>
          <cell r="F20">
            <v>0.85323676866531595</v>
          </cell>
          <cell r="G20">
            <v>0.14676323133468408</v>
          </cell>
          <cell r="H20">
            <v>0</v>
          </cell>
          <cell r="I20">
            <v>0</v>
          </cell>
        </row>
        <row r="21">
          <cell r="A21" t="str">
            <v>NC0026</v>
          </cell>
          <cell r="B21" t="str">
            <v>Cumberland</v>
          </cell>
          <cell r="C21">
            <v>32.258255918307945</v>
          </cell>
          <cell r="D21">
            <v>1.0770805035412827</v>
          </cell>
          <cell r="E21">
            <v>33.549602212088871</v>
          </cell>
          <cell r="F21">
            <v>0.96150934113562703</v>
          </cell>
          <cell r="G21">
            <v>3.2104121435847607E-2</v>
          </cell>
          <cell r="H21">
            <v>2.7211692162208471E-3</v>
          </cell>
          <cell r="I21">
            <v>3.6653682123045177E-3</v>
          </cell>
        </row>
        <row r="22">
          <cell r="A22" t="str">
            <v>NC0027</v>
          </cell>
          <cell r="B22" t="str">
            <v>Davidson</v>
          </cell>
          <cell r="C22">
            <v>21.56828287370104</v>
          </cell>
          <cell r="D22">
            <v>1.1664793165467626</v>
          </cell>
          <cell r="E22">
            <v>23.338447991606714</v>
          </cell>
          <cell r="F22">
            <v>0.92415240642641339</v>
          </cell>
          <cell r="G22">
            <v>4.9981014888662155E-2</v>
          </cell>
          <cell r="H22">
            <v>1.65982587214444E-3</v>
          </cell>
          <cell r="I22">
            <v>2.4206752812780043E-2</v>
          </cell>
        </row>
        <row r="23">
          <cell r="A23" t="str">
            <v>NC0028</v>
          </cell>
          <cell r="B23" t="str">
            <v>Davie</v>
          </cell>
          <cell r="C23">
            <v>11.343725569164436</v>
          </cell>
          <cell r="D23">
            <v>2.1451991187131316</v>
          </cell>
          <cell r="E23">
            <v>15.573215512544124</v>
          </cell>
          <cell r="F23">
            <v>0.72841254653074949</v>
          </cell>
          <cell r="G23">
            <v>0.13774927323038635</v>
          </cell>
          <cell r="H23">
            <v>3.7676406114752779E-2</v>
          </cell>
          <cell r="I23">
            <v>9.6161774124111407E-2</v>
          </cell>
        </row>
        <row r="24">
          <cell r="A24" t="str">
            <v>NC0029</v>
          </cell>
          <cell r="B24" t="str">
            <v>Duplin</v>
          </cell>
          <cell r="C24">
            <v>8.7460610433411077</v>
          </cell>
          <cell r="D24">
            <v>2.0523180697014949</v>
          </cell>
          <cell r="E24">
            <v>10.817977414970553</v>
          </cell>
          <cell r="F24">
            <v>0.80847469983046882</v>
          </cell>
          <cell r="G24">
            <v>0.1897136581983779</v>
          </cell>
          <cell r="H24">
            <v>1.8116419711533241E-3</v>
          </cell>
          <cell r="I24">
            <v>0</v>
          </cell>
        </row>
        <row r="25">
          <cell r="A25" t="str">
            <v>NC0030</v>
          </cell>
          <cell r="B25" t="str">
            <v>Durham</v>
          </cell>
          <cell r="C25">
            <v>37.932832819412788</v>
          </cell>
          <cell r="D25">
            <v>0.78792733610403543</v>
          </cell>
          <cell r="E25">
            <v>38.901079233141175</v>
          </cell>
          <cell r="F25">
            <v>0.97511003723250178</v>
          </cell>
          <cell r="G25">
            <v>2.0254639501949161E-2</v>
          </cell>
          <cell r="H25">
            <v>4.6353232655490543E-3</v>
          </cell>
          <cell r="I25">
            <v>0</v>
          </cell>
        </row>
        <row r="26">
          <cell r="A26" t="str">
            <v>NC0031</v>
          </cell>
          <cell r="B26" t="str">
            <v>Edgecombe</v>
          </cell>
          <cell r="C26">
            <v>9.8571642181600687</v>
          </cell>
          <cell r="D26">
            <v>2.1902732608126798</v>
          </cell>
          <cell r="E26">
            <v>13.326585922021607</v>
          </cell>
          <cell r="F26">
            <v>0.73966162645389399</v>
          </cell>
          <cell r="G26">
            <v>0.1643536666951847</v>
          </cell>
          <cell r="H26">
            <v>6.7265171479903895E-3</v>
          </cell>
          <cell r="I26">
            <v>8.9258189702930854E-2</v>
          </cell>
        </row>
        <row r="27">
          <cell r="A27" t="str">
            <v>NC0032</v>
          </cell>
          <cell r="B27" t="str">
            <v>Forsyth</v>
          </cell>
          <cell r="C27">
            <v>19.127928303798566</v>
          </cell>
          <cell r="D27">
            <v>0.79183610439079632</v>
          </cell>
          <cell r="E27">
            <v>20.722253076971008</v>
          </cell>
          <cell r="F27">
            <v>0.92306218984728816</v>
          </cell>
          <cell r="G27">
            <v>3.8211873074302773E-2</v>
          </cell>
          <cell r="H27">
            <v>1.320250238826658E-2</v>
          </cell>
          <cell r="I27">
            <v>2.552343469014243E-2</v>
          </cell>
        </row>
        <row r="28">
          <cell r="A28" t="str">
            <v>NC0033</v>
          </cell>
          <cell r="B28" t="str">
            <v>Franklin</v>
          </cell>
          <cell r="C28">
            <v>12.074719229887691</v>
          </cell>
          <cell r="D28">
            <v>1.750263580105432</v>
          </cell>
          <cell r="E28">
            <v>13.867843227137291</v>
          </cell>
          <cell r="F28">
            <v>0.87069914420861605</v>
          </cell>
          <cell r="G28">
            <v>0.12621022255864767</v>
          </cell>
          <cell r="H28">
            <v>1.3277051855426678E-3</v>
          </cell>
          <cell r="I28">
            <v>1.7629280471935839E-3</v>
          </cell>
        </row>
        <row r="29">
          <cell r="A29" t="str">
            <v>NC0105</v>
          </cell>
          <cell r="B29" t="str">
            <v>Gaston</v>
          </cell>
          <cell r="C29">
            <v>17.882940866458657</v>
          </cell>
          <cell r="D29">
            <v>1.0534109405679692</v>
          </cell>
          <cell r="E29">
            <v>18.95693824534893</v>
          </cell>
          <cell r="F29">
            <v>0.94334541976187658</v>
          </cell>
          <cell r="G29">
            <v>5.5568622260317953E-2</v>
          </cell>
          <cell r="H29">
            <v>1.0859579778055187E-3</v>
          </cell>
          <cell r="I29">
            <v>0</v>
          </cell>
        </row>
        <row r="30">
          <cell r="A30" t="str">
            <v>NC0034</v>
          </cell>
          <cell r="B30" t="str">
            <v>Granville</v>
          </cell>
          <cell r="C30">
            <v>28.568438409637743</v>
          </cell>
          <cell r="D30">
            <v>1.8197129540827486</v>
          </cell>
          <cell r="E30">
            <v>30.791058839365334</v>
          </cell>
          <cell r="F30">
            <v>0.92781604421845842</v>
          </cell>
          <cell r="G30">
            <v>5.9098745631842538E-2</v>
          </cell>
          <cell r="H30">
            <v>1.0095600831691717E-2</v>
          </cell>
          <cell r="I30">
            <v>2.9896093180073278E-3</v>
          </cell>
        </row>
        <row r="31">
          <cell r="A31" t="str">
            <v>NC0035</v>
          </cell>
          <cell r="B31" t="str">
            <v>Guilford (Greensboro)</v>
          </cell>
          <cell r="C31">
            <v>20.44169975675182</v>
          </cell>
          <cell r="D31">
            <v>0.9117624436346855</v>
          </cell>
          <cell r="E31">
            <v>21.829622917247544</v>
          </cell>
          <cell r="F31">
            <v>0.93642019535760601</v>
          </cell>
          <cell r="G31">
            <v>4.1767209955528073E-2</v>
          </cell>
          <cell r="H31">
            <v>0</v>
          </cell>
          <cell r="I31">
            <v>2.1812594686865944E-2</v>
          </cell>
        </row>
        <row r="32">
          <cell r="A32" t="str">
            <v>NC0036</v>
          </cell>
          <cell r="B32" t="str">
            <v>Halifax</v>
          </cell>
          <cell r="C32">
            <v>13.577511535659355</v>
          </cell>
          <cell r="D32">
            <v>2.6439731239375051</v>
          </cell>
          <cell r="E32">
            <v>16.720499743652013</v>
          </cell>
          <cell r="F32">
            <v>0.81202785465871585</v>
          </cell>
          <cell r="G32">
            <v>0.1581276375989478</v>
          </cell>
          <cell r="H32">
            <v>5.6726028613157536E-3</v>
          </cell>
          <cell r="I32">
            <v>2.4171904881020584E-2</v>
          </cell>
        </row>
        <row r="33">
          <cell r="A33" t="str">
            <v>NC0037</v>
          </cell>
          <cell r="B33" t="str">
            <v>Harnett</v>
          </cell>
          <cell r="C33">
            <v>11.253084646265423</v>
          </cell>
          <cell r="D33">
            <v>1.2914515114572576</v>
          </cell>
          <cell r="E33">
            <v>12.750029118750145</v>
          </cell>
          <cell r="F33">
            <v>0.8825928585305487</v>
          </cell>
          <cell r="G33">
            <v>0.10129008329542195</v>
          </cell>
          <cell r="H33">
            <v>0</v>
          </cell>
          <cell r="I33">
            <v>1.6117058174029392E-2</v>
          </cell>
        </row>
        <row r="34">
          <cell r="A34" t="str">
            <v>NC0038</v>
          </cell>
          <cell r="B34" t="str">
            <v>Haywood</v>
          </cell>
          <cell r="C34">
            <v>19.736802059218729</v>
          </cell>
          <cell r="D34">
            <v>1.7128425960402129</v>
          </cell>
          <cell r="E34">
            <v>22.228181509122404</v>
          </cell>
          <cell r="F34">
            <v>0.88791798155502644</v>
          </cell>
          <cell r="G34">
            <v>7.7057252539406595E-2</v>
          </cell>
          <cell r="H34">
            <v>3.5024765905566919E-2</v>
          </cell>
          <cell r="I34">
            <v>0</v>
          </cell>
        </row>
        <row r="35">
          <cell r="A35" t="str">
            <v>NC0039</v>
          </cell>
          <cell r="B35" t="str">
            <v>Henderson</v>
          </cell>
          <cell r="C35">
            <v>24.444385190365871</v>
          </cell>
          <cell r="D35">
            <v>1.2221969663854526</v>
          </cell>
          <cell r="E35">
            <v>26.898518162346463</v>
          </cell>
          <cell r="F35">
            <v>0.90876326505539706</v>
          </cell>
          <cell r="G35">
            <v>4.5437334466116766E-2</v>
          </cell>
          <cell r="H35">
            <v>3.7571661606734558E-4</v>
          </cell>
          <cell r="I35">
            <v>4.5423683862418816E-2</v>
          </cell>
        </row>
        <row r="36">
          <cell r="A36" t="str">
            <v>NC0040</v>
          </cell>
          <cell r="B36" t="str">
            <v>Iredell</v>
          </cell>
          <cell r="C36">
            <v>15.811886274130268</v>
          </cell>
          <cell r="D36">
            <v>1.1045018351287568</v>
          </cell>
          <cell r="E36">
            <v>16.916388109259024</v>
          </cell>
          <cell r="F36">
            <v>0.93470817600098577</v>
          </cell>
          <cell r="G36">
            <v>6.5291823999014204E-2</v>
          </cell>
          <cell r="H36">
            <v>0</v>
          </cell>
          <cell r="I36">
            <v>0</v>
          </cell>
        </row>
        <row r="37">
          <cell r="A37" t="str">
            <v>NC0041</v>
          </cell>
          <cell r="B37" t="str">
            <v>Johnston</v>
          </cell>
          <cell r="C37">
            <v>6.7155552157522367</v>
          </cell>
          <cell r="D37">
            <v>1.1237406856316128</v>
          </cell>
          <cell r="E37">
            <v>8.5964136373527484</v>
          </cell>
          <cell r="F37">
            <v>0.7812042904231723</v>
          </cell>
          <cell r="G37">
            <v>0.13072203514600383</v>
          </cell>
          <cell r="H37">
            <v>0</v>
          </cell>
          <cell r="I37">
            <v>8.807367443082384E-2</v>
          </cell>
        </row>
        <row r="38">
          <cell r="A38" t="str">
            <v>NC0042</v>
          </cell>
          <cell r="B38" t="str">
            <v>Lee</v>
          </cell>
          <cell r="C38">
            <v>7.9806900276821278</v>
          </cell>
          <cell r="D38">
            <v>1.8725102964013234</v>
          </cell>
          <cell r="E38">
            <v>10.209455809871042</v>
          </cell>
          <cell r="F38">
            <v>0.78169592741328831</v>
          </cell>
          <cell r="G38">
            <v>0.18340941292785473</v>
          </cell>
          <cell r="H38">
            <v>0</v>
          </cell>
          <cell r="I38">
            <v>3.4894659658857005E-2</v>
          </cell>
        </row>
        <row r="39">
          <cell r="A39" t="str">
            <v>NC0106</v>
          </cell>
          <cell r="B39" t="str">
            <v>Lincoln</v>
          </cell>
          <cell r="C39">
            <v>14.74387136883937</v>
          </cell>
          <cell r="D39">
            <v>1.4446259432179733</v>
          </cell>
          <cell r="E39">
            <v>16.976436312215817</v>
          </cell>
          <cell r="F39">
            <v>0.8684903649790181</v>
          </cell>
          <cell r="G39">
            <v>8.5095948092383605E-2</v>
          </cell>
          <cell r="H39">
            <v>4.2714924588619502E-2</v>
          </cell>
          <cell r="I39">
            <v>3.6987623399788025E-3</v>
          </cell>
        </row>
        <row r="40">
          <cell r="A40" t="str">
            <v>NC0043</v>
          </cell>
          <cell r="B40" t="str">
            <v>Madison</v>
          </cell>
          <cell r="C40">
            <v>17.601073752218028</v>
          </cell>
          <cell r="D40">
            <v>3.7089039537740569</v>
          </cell>
          <cell r="E40">
            <v>23.27116793302698</v>
          </cell>
          <cell r="F40">
            <v>0.75634681520381175</v>
          </cell>
          <cell r="G40">
            <v>0.15937764552462769</v>
          </cell>
          <cell r="H40">
            <v>5.804953106395791E-2</v>
          </cell>
          <cell r="I40">
            <v>2.6226008207602687E-2</v>
          </cell>
        </row>
        <row r="41">
          <cell r="A41" t="str">
            <v>NC0044</v>
          </cell>
          <cell r="B41" t="str">
            <v>McDowell</v>
          </cell>
          <cell r="C41">
            <v>15.976576576576576</v>
          </cell>
          <cell r="D41">
            <v>2.3188969457262139</v>
          </cell>
          <cell r="E41">
            <v>18.331245880026369</v>
          </cell>
          <cell r="F41">
            <v>0.87154886695314981</v>
          </cell>
          <cell r="G41">
            <v>0.12649969134137642</v>
          </cell>
          <cell r="H41">
            <v>0</v>
          </cell>
          <cell r="I41">
            <v>1.951441705473746E-3</v>
          </cell>
        </row>
        <row r="42">
          <cell r="A42" t="str">
            <v>NC0045</v>
          </cell>
          <cell r="B42" t="str">
            <v>Mecklenburg</v>
          </cell>
          <cell r="C42">
            <v>34.591211576154791</v>
          </cell>
          <cell r="D42">
            <v>0.58126990304163562</v>
          </cell>
          <cell r="E42">
            <v>37.763224162233222</v>
          </cell>
          <cell r="F42">
            <v>0.91600260156677138</v>
          </cell>
          <cell r="G42">
            <v>1.5392486100881191E-2</v>
          </cell>
          <cell r="H42">
            <v>2.0530721229995354E-3</v>
          </cell>
          <cell r="I42">
            <v>6.6551840209347901E-2</v>
          </cell>
        </row>
        <row r="43">
          <cell r="A43" t="str">
            <v>NC0046</v>
          </cell>
          <cell r="B43" t="str">
            <v>Nash (Braswell)</v>
          </cell>
          <cell r="C43">
            <v>18.75708039017827</v>
          </cell>
          <cell r="D43">
            <v>1.4642672945397466</v>
          </cell>
          <cell r="E43">
            <v>23.935979369884517</v>
          </cell>
          <cell r="F43">
            <v>0.78363538421903178</v>
          </cell>
          <cell r="G43">
            <v>6.1174321380893272E-2</v>
          </cell>
          <cell r="H43">
            <v>8.4642949153336305E-4</v>
          </cell>
          <cell r="I43">
            <v>0.15434386490854157</v>
          </cell>
        </row>
        <row r="44">
          <cell r="A44" t="str">
            <v>NC0047</v>
          </cell>
          <cell r="B44" t="str">
            <v>New Hanover</v>
          </cell>
          <cell r="C44">
            <v>16.196003720797108</v>
          </cell>
          <cell r="D44">
            <v>1.5192345533254623</v>
          </cell>
          <cell r="E44">
            <v>18.623072519766733</v>
          </cell>
          <cell r="F44">
            <v>0.86967409398242379</v>
          </cell>
          <cell r="G44">
            <v>8.1578082870747026E-2</v>
          </cell>
          <cell r="H44">
            <v>4.3517852357245019E-3</v>
          </cell>
          <cell r="I44">
            <v>4.4396037911104663E-2</v>
          </cell>
        </row>
        <row r="45">
          <cell r="A45" t="str">
            <v>NC0048</v>
          </cell>
          <cell r="B45" t="str">
            <v>Onslow</v>
          </cell>
          <cell r="C45">
            <v>9.4940437513536935</v>
          </cell>
          <cell r="D45">
            <v>1.1359674907433193</v>
          </cell>
          <cell r="E45">
            <v>11.663020720525594</v>
          </cell>
          <cell r="F45">
            <v>0.81402957079937721</v>
          </cell>
          <cell r="G45">
            <v>9.7399080218055795E-2</v>
          </cell>
          <cell r="H45">
            <v>6.1619465313184378E-3</v>
          </cell>
          <cell r="I45">
            <v>8.2409402451248503E-2</v>
          </cell>
        </row>
        <row r="46">
          <cell r="A46" t="str">
            <v>NC0108</v>
          </cell>
          <cell r="B46" t="str">
            <v>Orange</v>
          </cell>
          <cell r="C46">
            <v>24.289777925642518</v>
          </cell>
          <cell r="D46">
            <v>1.9108850892931406</v>
          </cell>
          <cell r="E46">
            <v>27.800263780135694</v>
          </cell>
          <cell r="F46">
            <v>0.87372472857608119</v>
          </cell>
          <cell r="G46">
            <v>6.8736221512349024E-2</v>
          </cell>
          <cell r="H46">
            <v>3.1580998915244615E-2</v>
          </cell>
          <cell r="I46">
            <v>2.5958050996325168E-2</v>
          </cell>
        </row>
        <row r="47">
          <cell r="A47" t="str">
            <v>NC0049</v>
          </cell>
          <cell r="B47" t="str">
            <v>Pender</v>
          </cell>
          <cell r="C47">
            <v>11.880169528582721</v>
          </cell>
          <cell r="D47">
            <v>1.7911502043424881</v>
          </cell>
          <cell r="E47">
            <v>13.671319732925209</v>
          </cell>
          <cell r="F47">
            <v>0.86898483545602501</v>
          </cell>
          <cell r="G47">
            <v>0.13101516454397497</v>
          </cell>
          <cell r="H47">
            <v>0</v>
          </cell>
          <cell r="I47">
            <v>0</v>
          </cell>
        </row>
        <row r="48">
          <cell r="A48" t="str">
            <v>NC0109</v>
          </cell>
          <cell r="B48" t="str">
            <v>Person</v>
          </cell>
          <cell r="C48">
            <v>11.010345348368908</v>
          </cell>
          <cell r="D48">
            <v>2.4134363672976238</v>
          </cell>
          <cell r="E48">
            <v>13.423781715666532</v>
          </cell>
          <cell r="F48">
            <v>0.82021188824301516</v>
          </cell>
          <cell r="G48">
            <v>0.17978811175698481</v>
          </cell>
          <cell r="H48">
            <v>0</v>
          </cell>
          <cell r="I48">
            <v>0</v>
          </cell>
        </row>
        <row r="49">
          <cell r="A49" t="str">
            <v>NC0050</v>
          </cell>
          <cell r="B49" t="str">
            <v>Pitt (Sheppard)</v>
          </cell>
          <cell r="C49">
            <v>11.544327307770931</v>
          </cell>
          <cell r="D49">
            <v>1.1108080483602487</v>
          </cell>
          <cell r="E49">
            <v>13.638355284291681</v>
          </cell>
          <cell r="F49">
            <v>0.84646037349293879</v>
          </cell>
          <cell r="G49">
            <v>8.144736115209214E-2</v>
          </cell>
          <cell r="H49">
            <v>0</v>
          </cell>
          <cell r="I49">
            <v>7.2092265354969029E-2</v>
          </cell>
        </row>
        <row r="50">
          <cell r="A50" t="str">
            <v>NC0051</v>
          </cell>
          <cell r="B50" t="str">
            <v>Polk</v>
          </cell>
          <cell r="C50">
            <v>22.577127912505944</v>
          </cell>
          <cell r="D50">
            <v>3.6600095102234902</v>
          </cell>
          <cell r="E50">
            <v>27.93656680932002</v>
          </cell>
          <cell r="F50">
            <v>0.80815685286618344</v>
          </cell>
          <cell r="G50">
            <v>0.13101142796839521</v>
          </cell>
          <cell r="H50">
            <v>2.8454177489251175E-2</v>
          </cell>
          <cell r="I50">
            <v>3.2377541676170116E-2</v>
          </cell>
        </row>
        <row r="51">
          <cell r="A51" t="str">
            <v>NC0052</v>
          </cell>
          <cell r="B51" t="str">
            <v>Randolph</v>
          </cell>
          <cell r="C51">
            <v>18.501826709626236</v>
          </cell>
          <cell r="D51">
            <v>1.2693996562306455</v>
          </cell>
          <cell r="E51">
            <v>20.764712841246755</v>
          </cell>
          <cell r="F51">
            <v>0.89102251743517735</v>
          </cell>
          <cell r="G51">
            <v>6.1132540860816847E-2</v>
          </cell>
          <cell r="H51">
            <v>0</v>
          </cell>
          <cell r="I51">
            <v>4.7844941704005821E-2</v>
          </cell>
        </row>
        <row r="52">
          <cell r="A52" t="str">
            <v>NC0053</v>
          </cell>
          <cell r="B52" t="str">
            <v>Robeson</v>
          </cell>
          <cell r="C52">
            <v>6.738656836804692</v>
          </cell>
          <cell r="D52">
            <v>1.6092554482613055</v>
          </cell>
          <cell r="E52">
            <v>9.4921866166127682</v>
          </cell>
          <cell r="F52">
            <v>0.70991617727057943</v>
          </cell>
          <cell r="G52">
            <v>0.16953474612950234</v>
          </cell>
          <cell r="H52">
            <v>1.1305545959553846E-2</v>
          </cell>
          <cell r="I52">
            <v>0.10924353064036435</v>
          </cell>
        </row>
        <row r="53">
          <cell r="A53" t="str">
            <v>NC0054</v>
          </cell>
          <cell r="B53" t="str">
            <v>Rockingham</v>
          </cell>
          <cell r="C53">
            <v>17.565474311956557</v>
          </cell>
          <cell r="D53">
            <v>1.51462058308213</v>
          </cell>
          <cell r="E53">
            <v>20.627645797738626</v>
          </cell>
          <cell r="F53">
            <v>0.85155012279114428</v>
          </cell>
          <cell r="G53">
            <v>7.3426730220865793E-2</v>
          </cell>
          <cell r="H53">
            <v>7.3859334896689255E-4</v>
          </cell>
          <cell r="I53">
            <v>7.4284553639023046E-2</v>
          </cell>
        </row>
        <row r="54">
          <cell r="A54" t="str">
            <v>NC0055</v>
          </cell>
          <cell r="B54" t="str">
            <v>Rowan</v>
          </cell>
          <cell r="C54">
            <v>24.456629070014898</v>
          </cell>
          <cell r="D54">
            <v>1.5234588919628289</v>
          </cell>
          <cell r="E54">
            <v>27.022912676455984</v>
          </cell>
          <cell r="F54">
            <v>0.90503304965060294</v>
          </cell>
          <cell r="G54">
            <v>5.6376561261294374E-2</v>
          </cell>
          <cell r="H54">
            <v>0</v>
          </cell>
          <cell r="I54">
            <v>3.8590389088102653E-2</v>
          </cell>
        </row>
        <row r="55">
          <cell r="A55" t="str">
            <v>NC0056</v>
          </cell>
          <cell r="B55" t="str">
            <v>Rutherford</v>
          </cell>
          <cell r="C55">
            <v>6.8375256635599602</v>
          </cell>
          <cell r="D55">
            <v>1.8189297372346869</v>
          </cell>
          <cell r="E55">
            <v>9.0677074871128305</v>
          </cell>
          <cell r="F55">
            <v>0.75405229748285985</v>
          </cell>
          <cell r="G55">
            <v>0.20059422294111035</v>
          </cell>
          <cell r="H55">
            <v>1.8650911940004333E-3</v>
          </cell>
          <cell r="I55">
            <v>4.3488388382029314E-2</v>
          </cell>
        </row>
        <row r="56">
          <cell r="A56" t="str">
            <v>NC0057</v>
          </cell>
          <cell r="B56" t="str">
            <v>Sampson</v>
          </cell>
          <cell r="C56">
            <v>10.864927006724516</v>
          </cell>
          <cell r="D56">
            <v>1.8800138584859605</v>
          </cell>
          <cell r="E56">
            <v>13.240192758941086</v>
          </cell>
          <cell r="F56">
            <v>0.82060187525498396</v>
          </cell>
          <cell r="G56">
            <v>0.14199293716599326</v>
          </cell>
          <cell r="H56">
            <v>0</v>
          </cell>
          <cell r="I56">
            <v>3.7405187579022739E-2</v>
          </cell>
        </row>
        <row r="57">
          <cell r="A57" t="str">
            <v>NC0058</v>
          </cell>
          <cell r="B57" t="str">
            <v>Scotland</v>
          </cell>
          <cell r="C57">
            <v>10.240772304339322</v>
          </cell>
          <cell r="D57">
            <v>2.8742630417167288</v>
          </cell>
          <cell r="E57">
            <v>13.910894408896588</v>
          </cell>
          <cell r="F57">
            <v>0.73616922128241646</v>
          </cell>
          <cell r="G57">
            <v>0.20661957148337776</v>
          </cell>
          <cell r="H57">
            <v>3.9527414498540747E-2</v>
          </cell>
          <cell r="I57">
            <v>1.768379273566506E-2</v>
          </cell>
        </row>
        <row r="58">
          <cell r="A58" t="str">
            <v>NC0059</v>
          </cell>
          <cell r="B58" t="str">
            <v>Stanly</v>
          </cell>
          <cell r="C58">
            <v>18.926381758999856</v>
          </cell>
          <cell r="D58">
            <v>1.8527959061391719</v>
          </cell>
          <cell r="E58">
            <v>21.135236676329129</v>
          </cell>
          <cell r="F58">
            <v>0.89548946382024053</v>
          </cell>
          <cell r="G58">
            <v>8.7663835258313019E-2</v>
          </cell>
          <cell r="H58">
            <v>0</v>
          </cell>
          <cell r="I58">
            <v>1.6846700921446425E-2</v>
          </cell>
        </row>
        <row r="59">
          <cell r="A59" t="str">
            <v>NC0060</v>
          </cell>
          <cell r="B59" t="str">
            <v>Transylvania</v>
          </cell>
          <cell r="C59">
            <v>39.216438677172732</v>
          </cell>
          <cell r="D59">
            <v>2.5573098216116463</v>
          </cell>
          <cell r="E59">
            <v>43.736371891385218</v>
          </cell>
          <cell r="F59">
            <v>0.89665504890443881</v>
          </cell>
          <cell r="G59">
            <v>5.8471009620150075E-2</v>
          </cell>
          <cell r="H59">
            <v>4.2194980162291479E-2</v>
          </cell>
          <cell r="I59">
            <v>2.6789613131196774E-3</v>
          </cell>
        </row>
        <row r="60">
          <cell r="A60" t="str">
            <v>NC0061</v>
          </cell>
          <cell r="B60" t="str">
            <v>Union</v>
          </cell>
          <cell r="C60">
            <v>19.10895652368086</v>
          </cell>
          <cell r="D60">
            <v>0.87731505258691911</v>
          </cell>
          <cell r="E60">
            <v>20.910537480740459</v>
          </cell>
          <cell r="F60">
            <v>0.91384339313521068</v>
          </cell>
          <cell r="G60">
            <v>4.195564333986946E-2</v>
          </cell>
          <cell r="H60">
            <v>5.9126266529949808E-3</v>
          </cell>
          <cell r="I60">
            <v>3.8288336871924913E-2</v>
          </cell>
        </row>
        <row r="61">
          <cell r="A61" t="str">
            <v>NC0062</v>
          </cell>
          <cell r="B61" t="str">
            <v>Vance (Perry)</v>
          </cell>
          <cell r="C61">
            <v>16.678162198242298</v>
          </cell>
          <cell r="D61">
            <v>2.338191122483035</v>
          </cell>
          <cell r="E61">
            <v>21.052508621648681</v>
          </cell>
          <cell r="F61">
            <v>0.7922173313394032</v>
          </cell>
          <cell r="G61">
            <v>0.11106472698833762</v>
          </cell>
          <cell r="H61">
            <v>0</v>
          </cell>
          <cell r="I61">
            <v>9.6717941672259181E-2</v>
          </cell>
        </row>
        <row r="62">
          <cell r="A62" t="str">
            <v>NC0063</v>
          </cell>
          <cell r="B62" t="str">
            <v>Wake</v>
          </cell>
          <cell r="C62">
            <v>24.101457222220059</v>
          </cell>
          <cell r="D62">
            <v>0.56796020055554042</v>
          </cell>
          <cell r="E62">
            <v>24.669417422775599</v>
          </cell>
          <cell r="F62">
            <v>0.97697715390590534</v>
          </cell>
          <cell r="G62">
            <v>2.302284609409468E-2</v>
          </cell>
          <cell r="H62">
            <v>0</v>
          </cell>
          <cell r="I62">
            <v>0</v>
          </cell>
        </row>
        <row r="63">
          <cell r="A63" t="str">
            <v>NC0101</v>
          </cell>
          <cell r="B63" t="str">
            <v>Warren</v>
          </cell>
          <cell r="C63">
            <v>19.792356244719446</v>
          </cell>
          <cell r="D63">
            <v>4.0811092888027432</v>
          </cell>
          <cell r="E63">
            <v>25.405248248098999</v>
          </cell>
          <cell r="F63">
            <v>0.77906565019298524</v>
          </cell>
          <cell r="G63">
            <v>0.16064040189444401</v>
          </cell>
          <cell r="H63">
            <v>3.7159194724352917E-2</v>
          </cell>
          <cell r="I63">
            <v>2.3134753188217824E-2</v>
          </cell>
        </row>
        <row r="64">
          <cell r="A64" t="str">
            <v>NC0065</v>
          </cell>
          <cell r="B64" t="str">
            <v>Wayne</v>
          </cell>
          <cell r="C64">
            <v>13.435132363310045</v>
          </cell>
          <cell r="D64">
            <v>2.232308826357285</v>
          </cell>
          <cell r="E64">
            <v>16.02140087173899</v>
          </cell>
          <cell r="F64">
            <v>0.83857413411388981</v>
          </cell>
          <cell r="G64">
            <v>0.13933293625371887</v>
          </cell>
          <cell r="H64">
            <v>2.2092929632391293E-2</v>
          </cell>
          <cell r="I64">
            <v>0</v>
          </cell>
        </row>
        <row r="65">
          <cell r="A65" t="str">
            <v>NC0066</v>
          </cell>
          <cell r="B65" t="str">
            <v>Wilson</v>
          </cell>
          <cell r="C65">
            <v>22.121615010151913</v>
          </cell>
          <cell r="D65">
            <v>1.5866337239169255</v>
          </cell>
          <cell r="E65">
            <v>24.40988037867854</v>
          </cell>
          <cell r="F65">
            <v>0.90625659228853195</v>
          </cell>
          <cell r="G65">
            <v>6.499965175178872E-2</v>
          </cell>
          <cell r="H65">
            <v>0</v>
          </cell>
          <cell r="I65">
            <v>2.874375595967937E-2</v>
          </cell>
        </row>
        <row r="66">
          <cell r="A66" t="str">
            <v>Mean average</v>
          </cell>
          <cell r="C66">
            <v>17.106441445946889</v>
          </cell>
          <cell r="D66">
            <v>1.7678891479972894</v>
          </cell>
          <cell r="E66">
            <v>22.949203846448743</v>
          </cell>
          <cell r="F66">
            <v>0.85146488555231348</v>
          </cell>
          <cell r="G66">
            <v>0.1028769468186468</v>
          </cell>
          <cell r="H66">
            <v>1.1903917390955088E-2</v>
          </cell>
          <cell r="I66">
            <v>3.3754250238084656E-2</v>
          </cell>
        </row>
        <row r="67">
          <cell r="A67" t="str">
            <v>Regional Libraries</v>
          </cell>
        </row>
        <row r="68">
          <cell r="A68" t="str">
            <v>NC0001</v>
          </cell>
          <cell r="B68" t="str">
            <v>Albemarle</v>
          </cell>
          <cell r="C68">
            <v>9.4393056789091485</v>
          </cell>
          <cell r="D68">
            <v>5.1118802570398625</v>
          </cell>
          <cell r="E68">
            <v>14.551185935949011</v>
          </cell>
          <cell r="F68">
            <v>0.57597915763433727</v>
          </cell>
          <cell r="G68">
            <v>0.31192299354772896</v>
          </cell>
          <cell r="H68">
            <v>0</v>
          </cell>
          <cell r="I68">
            <v>0.11209784881793375</v>
          </cell>
        </row>
        <row r="69">
          <cell r="A69" t="str">
            <v>NC0003</v>
          </cell>
          <cell r="B69" t="str">
            <v>AMY</v>
          </cell>
          <cell r="C69">
            <v>7.6704073311847161</v>
          </cell>
          <cell r="D69">
            <v>5.7289830311031729</v>
          </cell>
          <cell r="E69">
            <v>13.399390362287889</v>
          </cell>
          <cell r="F69">
            <v>0.46829120270824492</v>
          </cell>
          <cell r="G69">
            <v>0.34976400054051104</v>
          </cell>
          <cell r="H69">
            <v>0</v>
          </cell>
          <cell r="I69">
            <v>0.181944796751244</v>
          </cell>
        </row>
        <row r="70">
          <cell r="A70" t="str">
            <v>NC0002</v>
          </cell>
          <cell r="B70" t="str">
            <v>Appalachian</v>
          </cell>
          <cell r="C70">
            <v>10.259662779021154</v>
          </cell>
          <cell r="D70">
            <v>2.5192336722170081</v>
          </cell>
          <cell r="E70">
            <v>12.778896451238161</v>
          </cell>
          <cell r="F70">
            <v>0.53920294051804696</v>
          </cell>
          <cell r="G70">
            <v>0.13239988810247108</v>
          </cell>
          <cell r="H70">
            <v>5.2658066470029638E-3</v>
          </cell>
          <cell r="I70">
            <v>0.323131364732479</v>
          </cell>
        </row>
        <row r="71">
          <cell r="A71" t="str">
            <v>NC0004</v>
          </cell>
          <cell r="B71" t="str">
            <v>BHM</v>
          </cell>
          <cell r="C71">
            <v>6.9695285094238661</v>
          </cell>
          <cell r="D71">
            <v>4.5013229086152569</v>
          </cell>
          <cell r="E71">
            <v>11.470851418039123</v>
          </cell>
          <cell r="F71">
            <v>0.52704452567543869</v>
          </cell>
          <cell r="G71">
            <v>0.34039570884533588</v>
          </cell>
          <cell r="H71">
            <v>4.581158306019037E-2</v>
          </cell>
          <cell r="I71">
            <v>8.6748182419035036E-2</v>
          </cell>
        </row>
        <row r="72">
          <cell r="A72" t="str">
            <v>NC0006</v>
          </cell>
          <cell r="B72" t="str">
            <v>CPC</v>
          </cell>
          <cell r="C72">
            <v>15.454470083549964</v>
          </cell>
          <cell r="D72">
            <v>2.2310996287856906</v>
          </cell>
          <cell r="E72">
            <v>17.685569712335656</v>
          </cell>
          <cell r="F72">
            <v>0.73077953273512408</v>
          </cell>
          <cell r="G72">
            <v>0.10549969914173826</v>
          </cell>
          <cell r="H72">
            <v>2.6114598290356172E-2</v>
          </cell>
          <cell r="I72">
            <v>0.13760616983278148</v>
          </cell>
        </row>
        <row r="73">
          <cell r="A73" t="str">
            <v>NC0007</v>
          </cell>
          <cell r="B73" t="str">
            <v>E. Albemarle</v>
          </cell>
          <cell r="C73">
            <v>20.626416295916293</v>
          </cell>
          <cell r="D73">
            <v>3.4504727620092166</v>
          </cell>
          <cell r="E73">
            <v>24.076889057925509</v>
          </cell>
          <cell r="F73">
            <v>0.83080014321671147</v>
          </cell>
          <cell r="G73">
            <v>0.13897970562196846</v>
          </cell>
          <cell r="H73">
            <v>0</v>
          </cell>
          <cell r="I73">
            <v>3.0220151161320086E-2</v>
          </cell>
        </row>
        <row r="74">
          <cell r="A74" t="str">
            <v>NC0008</v>
          </cell>
          <cell r="B74" t="str">
            <v>Fontana</v>
          </cell>
          <cell r="C74">
            <v>25.409292495701976</v>
          </cell>
          <cell r="D74">
            <v>4.1658873643521206</v>
          </cell>
          <cell r="E74">
            <v>29.575179860054096</v>
          </cell>
          <cell r="F74">
            <v>0.70187173701308525</v>
          </cell>
          <cell r="G74">
            <v>0.11507280657709269</v>
          </cell>
          <cell r="H74">
            <v>1.6687134379102363E-2</v>
          </cell>
          <cell r="I74">
            <v>0.16636832203071972</v>
          </cell>
        </row>
        <row r="75">
          <cell r="A75" t="str">
            <v>NC0011</v>
          </cell>
          <cell r="B75" t="str">
            <v>Nantahala</v>
          </cell>
          <cell r="C75">
            <v>17.4204857834489</v>
          </cell>
          <cell r="D75">
            <v>6.0634718746153533</v>
          </cell>
          <cell r="E75">
            <v>23.483957658064252</v>
          </cell>
          <cell r="F75">
            <v>0.69164394930968287</v>
          </cell>
          <cell r="G75">
            <v>0.24073746771583254</v>
          </cell>
          <cell r="H75">
            <v>0</v>
          </cell>
          <cell r="I75">
            <v>6.7618582974484615E-2</v>
          </cell>
        </row>
        <row r="76">
          <cell r="A76" t="str">
            <v>NC0012</v>
          </cell>
          <cell r="B76" t="str">
            <v>Neuse</v>
          </cell>
          <cell r="C76">
            <v>13.036928448333743</v>
          </cell>
          <cell r="D76">
            <v>3.7454846579082832</v>
          </cell>
          <cell r="E76">
            <v>16.782413106242025</v>
          </cell>
          <cell r="F76">
            <v>0.53445913243737342</v>
          </cell>
          <cell r="G76">
            <v>0.15354908855689897</v>
          </cell>
          <cell r="H76">
            <v>1.4221586073855907E-2</v>
          </cell>
          <cell r="I76">
            <v>0.29777019293187174</v>
          </cell>
        </row>
        <row r="77">
          <cell r="A77" t="str">
            <v>NC0013</v>
          </cell>
          <cell r="B77" t="str">
            <v>Northwestern</v>
          </cell>
          <cell r="C77">
            <v>11.054052610653866</v>
          </cell>
          <cell r="D77">
            <v>2.7130268631209167</v>
          </cell>
          <cell r="E77">
            <v>13.767079473774782</v>
          </cell>
          <cell r="F77">
            <v>0.77853027773308281</v>
          </cell>
          <cell r="G77">
            <v>0.19107685042200132</v>
          </cell>
          <cell r="H77">
            <v>0</v>
          </cell>
          <cell r="I77">
            <v>3.039287184491582E-2</v>
          </cell>
        </row>
        <row r="78">
          <cell r="A78" t="str">
            <v>NC0014</v>
          </cell>
          <cell r="B78" t="str">
            <v>Pettigrew</v>
          </cell>
          <cell r="C78">
            <v>14.620160783256983</v>
          </cell>
          <cell r="D78">
            <v>7.967663702506063</v>
          </cell>
          <cell r="E78">
            <v>22.587824485763047</v>
          </cell>
          <cell r="F78">
            <v>0.57334115324292889</v>
          </cell>
          <cell r="G78">
            <v>0.31245822556740577</v>
          </cell>
          <cell r="H78">
            <v>2.9948140261702786E-2</v>
          </cell>
          <cell r="I78">
            <v>8.42524809279626E-2</v>
          </cell>
        </row>
        <row r="79">
          <cell r="A79" t="str">
            <v>NC0015</v>
          </cell>
          <cell r="B79" t="str">
            <v>Sandhill</v>
          </cell>
          <cell r="C79">
            <v>8.4643059587405745</v>
          </cell>
          <cell r="D79">
            <v>2.4411941529106618</v>
          </cell>
          <cell r="E79">
            <v>10.905500111651236</v>
          </cell>
          <cell r="F79">
            <v>0.6948486331223358</v>
          </cell>
          <cell r="G79">
            <v>0.20040159566592541</v>
          </cell>
          <cell r="H79">
            <v>5.4351841798381491E-2</v>
          </cell>
          <cell r="I79">
            <v>5.0397929413357287E-2</v>
          </cell>
        </row>
        <row r="80">
          <cell r="A80" t="str">
            <v>Mean average</v>
          </cell>
          <cell r="C80">
            <v>13.368751396511763</v>
          </cell>
          <cell r="D80">
            <v>4.2199767395986338</v>
          </cell>
          <cell r="E80">
            <v>17.588728136110397</v>
          </cell>
          <cell r="F80">
            <v>0.6372326987788659</v>
          </cell>
          <cell r="G80">
            <v>0.21602150252540919</v>
          </cell>
          <cell r="H80">
            <v>1.603339087588267E-2</v>
          </cell>
          <cell r="I80">
            <v>0.13071240781984209</v>
          </cell>
        </row>
        <row r="81">
          <cell r="B81" t="str">
            <v>Municipal Libraries</v>
          </cell>
        </row>
        <row r="82">
          <cell r="A82" t="str">
            <v>NC0071</v>
          </cell>
          <cell r="B82" t="str">
            <v>Chapel Hill</v>
          </cell>
          <cell r="C82">
            <v>45.005095903227961</v>
          </cell>
          <cell r="D82">
            <v>0.468889928490276</v>
          </cell>
          <cell r="E82">
            <v>45.473985831718238</v>
          </cell>
          <cell r="F82">
            <v>0.89245405856714743</v>
          </cell>
          <cell r="G82">
            <v>9.2981186086616568E-3</v>
          </cell>
          <cell r="H82">
            <v>3.3946548408098083E-2</v>
          </cell>
          <cell r="I82">
            <v>6.4301274416092791E-2</v>
          </cell>
          <cell r="J82">
            <v>45.473985831718238</v>
          </cell>
        </row>
        <row r="83">
          <cell r="A83" t="str">
            <v>NC0110</v>
          </cell>
          <cell r="B83" t="str">
            <v>Clayton</v>
          </cell>
          <cell r="C83">
            <v>26.590724249755496</v>
          </cell>
          <cell r="D83">
            <v>0.59896021001698663</v>
          </cell>
          <cell r="E83">
            <v>27.189684459772483</v>
          </cell>
          <cell r="F83">
            <v>0.93051465091605379</v>
          </cell>
          <cell r="G83">
            <v>2.0959987607020048E-2</v>
          </cell>
          <cell r="H83">
            <v>0</v>
          </cell>
          <cell r="I83">
            <v>4.8525361476926182E-2</v>
          </cell>
        </row>
        <row r="84">
          <cell r="A84" t="str">
            <v>NC0075</v>
          </cell>
          <cell r="B84" t="str">
            <v>Farmville</v>
          </cell>
          <cell r="C84">
            <v>66.659743040685228</v>
          </cell>
          <cell r="D84">
            <v>0.8179871520342612</v>
          </cell>
          <cell r="E84">
            <v>67.477730192719491</v>
          </cell>
          <cell r="F84">
            <v>0.90053111783526085</v>
          </cell>
          <cell r="G84">
            <v>1.105049090793379E-2</v>
          </cell>
          <cell r="H84">
            <v>8.8418391256805312E-2</v>
          </cell>
          <cell r="I84">
            <v>0</v>
          </cell>
        </row>
      </sheetData>
      <sheetData sheetId="6">
        <row r="4">
          <cell r="D4" t="str">
            <v>% of Total</v>
          </cell>
          <cell r="E4" t="str">
            <v xml:space="preserve">Personnel </v>
          </cell>
          <cell r="G4" t="str">
            <v xml:space="preserve">% of Total </v>
          </cell>
          <cell r="H4" t="str">
            <v xml:space="preserve">Collection </v>
          </cell>
          <cell r="J4" t="str">
            <v>% of Total</v>
          </cell>
          <cell r="K4" t="str">
            <v>Other</v>
          </cell>
          <cell r="M4" t="str">
            <v xml:space="preserve">Total </v>
          </cell>
        </row>
        <row r="5">
          <cell r="C5" t="str">
            <v>Personnel</v>
          </cell>
          <cell r="D5" t="str">
            <v>For</v>
          </cell>
          <cell r="E5" t="str">
            <v>Costs ($)</v>
          </cell>
          <cell r="F5" t="str">
            <v>Collection</v>
          </cell>
          <cell r="G5" t="str">
            <v>For</v>
          </cell>
          <cell r="H5" t="str">
            <v>Costs ($)</v>
          </cell>
          <cell r="I5" t="str">
            <v>Other</v>
          </cell>
          <cell r="J5" t="str">
            <v>For</v>
          </cell>
          <cell r="K5" t="str">
            <v>Costs ($)</v>
          </cell>
          <cell r="L5" t="str">
            <v>Total ($)</v>
          </cell>
          <cell r="M5" t="str">
            <v>Operating ($)</v>
          </cell>
        </row>
        <row r="6">
          <cell r="C6" t="str">
            <v>($)</v>
          </cell>
          <cell r="D6" t="str">
            <v>Personnel</v>
          </cell>
          <cell r="E6" t="str">
            <v xml:space="preserve">Per Capita </v>
          </cell>
          <cell r="F6" t="str">
            <v>($)</v>
          </cell>
          <cell r="G6" t="str">
            <v>Collection</v>
          </cell>
          <cell r="H6" t="str">
            <v xml:space="preserve">Per Capita </v>
          </cell>
          <cell r="I6" t="str">
            <v>($)</v>
          </cell>
          <cell r="J6" t="str">
            <v xml:space="preserve">Other </v>
          </cell>
          <cell r="K6" t="str">
            <v xml:space="preserve">Per Capita </v>
          </cell>
          <cell r="L6" t="str">
            <v xml:space="preserve"> Operating </v>
          </cell>
          <cell r="M6" t="str">
            <v xml:space="preserve"> Per Capita</v>
          </cell>
        </row>
        <row r="7">
          <cell r="B7" t="str">
            <v>County Libraries</v>
          </cell>
        </row>
        <row r="8">
          <cell r="A8" t="str">
            <v>NC0103</v>
          </cell>
          <cell r="B8" t="str">
            <v>Alamance</v>
          </cell>
          <cell r="C8">
            <v>2091724</v>
          </cell>
          <cell r="D8">
            <v>0.67025486183141503</v>
          </cell>
          <cell r="E8">
            <v>13.151030467639922</v>
          </cell>
          <cell r="F8">
            <v>225367</v>
          </cell>
          <cell r="G8">
            <v>7.2214750821026352E-2</v>
          </cell>
          <cell r="H8">
            <v>1.4169212971695146</v>
          </cell>
          <cell r="I8">
            <v>485299</v>
          </cell>
          <cell r="J8">
            <v>0.15550522640268213</v>
          </cell>
          <cell r="K8">
            <v>3.0511587259672814</v>
          </cell>
          <cell r="L8">
            <v>2802390</v>
          </cell>
          <cell r="M8">
            <v>17.619110490776716</v>
          </cell>
        </row>
        <row r="9">
          <cell r="A9" t="str">
            <v>NC0016</v>
          </cell>
          <cell r="B9" t="str">
            <v>Alexander</v>
          </cell>
          <cell r="C9">
            <v>347671</v>
          </cell>
          <cell r="D9">
            <v>0.57254675282756617</v>
          </cell>
          <cell r="E9">
            <v>9.0813655835335911</v>
          </cell>
          <cell r="F9">
            <v>52180</v>
          </cell>
          <cell r="G9">
            <v>8.5930346685637871E-2</v>
          </cell>
          <cell r="H9">
            <v>1.3629714763347613</v>
          </cell>
          <cell r="I9">
            <v>79394</v>
          </cell>
          <cell r="J9">
            <v>0.13074653017937013</v>
          </cell>
          <cell r="K9">
            <v>2.0738167380628982</v>
          </cell>
          <cell r="L9">
            <v>479245</v>
          </cell>
          <cell r="M9">
            <v>12.51815379793125</v>
          </cell>
        </row>
        <row r="10">
          <cell r="A10" t="str">
            <v>NC0017</v>
          </cell>
          <cell r="B10" t="str">
            <v>Bladen</v>
          </cell>
          <cell r="C10">
            <v>434884</v>
          </cell>
          <cell r="D10">
            <v>0.79146086228547508</v>
          </cell>
          <cell r="E10">
            <v>12.544610147979347</v>
          </cell>
          <cell r="F10">
            <v>24497</v>
          </cell>
          <cell r="G10">
            <v>4.4582961763153586E-2</v>
          </cell>
          <cell r="H10">
            <v>0.70663743617849828</v>
          </cell>
          <cell r="I10">
            <v>70795</v>
          </cell>
          <cell r="J10">
            <v>0.12884233898120007</v>
          </cell>
          <cell r="K10">
            <v>2.0421438255401392</v>
          </cell>
          <cell r="L10">
            <v>530176</v>
          </cell>
          <cell r="M10">
            <v>15.293391409697984</v>
          </cell>
        </row>
        <row r="11">
          <cell r="A11" t="str">
            <v>NC0018</v>
          </cell>
          <cell r="B11" t="str">
            <v>Brunswick</v>
          </cell>
          <cell r="C11">
            <v>988116</v>
          </cell>
          <cell r="D11">
            <v>0.74855458049501833</v>
          </cell>
          <cell r="E11">
            <v>7.7347632093933463</v>
          </cell>
          <cell r="F11">
            <v>82522</v>
          </cell>
          <cell r="G11">
            <v>6.2515151147850959E-2</v>
          </cell>
          <cell r="H11">
            <v>0.64596477495107629</v>
          </cell>
          <cell r="I11">
            <v>175523</v>
          </cell>
          <cell r="J11">
            <v>0.13296874621221302</v>
          </cell>
          <cell r="K11">
            <v>1.3739569471624267</v>
          </cell>
          <cell r="L11">
            <v>1246161</v>
          </cell>
          <cell r="M11">
            <v>9.7546849315068496</v>
          </cell>
        </row>
        <row r="12">
          <cell r="A12" t="str">
            <v>NC0019</v>
          </cell>
          <cell r="B12" t="str">
            <v>Buncombe</v>
          </cell>
          <cell r="C12">
            <v>3827417</v>
          </cell>
          <cell r="D12">
            <v>0.74005052755000544</v>
          </cell>
          <cell r="E12">
            <v>14.811641370556412</v>
          </cell>
          <cell r="F12">
            <v>666832</v>
          </cell>
          <cell r="G12">
            <v>0.1289353559821742</v>
          </cell>
          <cell r="H12">
            <v>2.5805592749394366</v>
          </cell>
          <cell r="I12">
            <v>677583</v>
          </cell>
          <cell r="J12">
            <v>0.1310141164678203</v>
          </cell>
          <cell r="K12">
            <v>2.6221643460291171</v>
          </cell>
          <cell r="L12">
            <v>5171832</v>
          </cell>
          <cell r="M12">
            <v>20.014364991524964</v>
          </cell>
        </row>
        <row r="13">
          <cell r="A13" t="str">
            <v>NC0020</v>
          </cell>
          <cell r="B13" t="str">
            <v>Burke</v>
          </cell>
          <cell r="C13">
            <v>977540</v>
          </cell>
          <cell r="D13">
            <v>0.74964608949986278</v>
          </cell>
          <cell r="E13">
            <v>10.892174668791156</v>
          </cell>
          <cell r="F13">
            <v>131106</v>
          </cell>
          <cell r="G13">
            <v>0.10054125683856313</v>
          </cell>
          <cell r="H13">
            <v>1.4608399166545958</v>
          </cell>
          <cell r="I13">
            <v>217638</v>
          </cell>
          <cell r="J13">
            <v>0.16690005076679329</v>
          </cell>
          <cell r="K13">
            <v>2.4250169922114386</v>
          </cell>
          <cell r="L13">
            <v>1326284</v>
          </cell>
          <cell r="M13">
            <v>14.778031577657192</v>
          </cell>
        </row>
        <row r="14">
          <cell r="A14" t="str">
            <v>NC0021</v>
          </cell>
          <cell r="B14" t="str">
            <v>Cabarrus</v>
          </cell>
          <cell r="C14">
            <v>2482810</v>
          </cell>
          <cell r="D14">
            <v>0.7438117050709192</v>
          </cell>
          <cell r="E14">
            <v>12.373033394297902</v>
          </cell>
          <cell r="F14">
            <v>452420</v>
          </cell>
          <cell r="G14">
            <v>0.13553807645699237</v>
          </cell>
          <cell r="H14">
            <v>2.2546259150914718</v>
          </cell>
          <cell r="I14">
            <v>392069</v>
          </cell>
          <cell r="J14">
            <v>0.11745784469832578</v>
          </cell>
          <cell r="K14">
            <v>1.953867927819279</v>
          </cell>
          <cell r="L14">
            <v>3327299</v>
          </cell>
          <cell r="M14">
            <v>16.581527237208654</v>
          </cell>
        </row>
        <row r="15">
          <cell r="A15" t="str">
            <v>NC0022</v>
          </cell>
          <cell r="B15" t="str">
            <v>Caldwell</v>
          </cell>
          <cell r="C15">
            <v>887854</v>
          </cell>
          <cell r="D15">
            <v>0.77322427452582154</v>
          </cell>
          <cell r="E15">
            <v>10.726501715555985</v>
          </cell>
          <cell r="F15">
            <v>142241</v>
          </cell>
          <cell r="G15">
            <v>0.12387644143387018</v>
          </cell>
          <cell r="H15">
            <v>1.7184675977383657</v>
          </cell>
          <cell r="I15">
            <v>73948</v>
          </cell>
          <cell r="J15">
            <v>6.4400665709266891E-2</v>
          </cell>
          <cell r="K15">
            <v>0.89339390131928675</v>
          </cell>
          <cell r="L15">
            <v>1104043</v>
          </cell>
          <cell r="M15">
            <v>13.338363214613638</v>
          </cell>
        </row>
        <row r="16">
          <cell r="A16" t="str">
            <v>NC0107</v>
          </cell>
          <cell r="B16" t="str">
            <v>Caswell</v>
          </cell>
          <cell r="C16">
            <v>211509</v>
          </cell>
          <cell r="D16">
            <v>0.66918615871850762</v>
          </cell>
          <cell r="E16">
            <v>8.928574443834691</v>
          </cell>
          <cell r="F16">
            <v>27811</v>
          </cell>
          <cell r="G16">
            <v>8.7990280603285995E-2</v>
          </cell>
          <cell r="H16">
            <v>1.1740048123601672</v>
          </cell>
          <cell r="I16">
            <v>74475</v>
          </cell>
          <cell r="J16">
            <v>0.23562892912623509</v>
          </cell>
          <cell r="K16">
            <v>3.1438642407868631</v>
          </cell>
          <cell r="L16">
            <v>313795</v>
          </cell>
          <cell r="M16">
            <v>13.246443496981721</v>
          </cell>
        </row>
        <row r="17">
          <cell r="A17" t="str">
            <v>NC0023</v>
          </cell>
          <cell r="B17" t="str">
            <v>Catawba</v>
          </cell>
          <cell r="C17">
            <v>1984704</v>
          </cell>
          <cell r="D17">
            <v>0.73167030774550734</v>
          </cell>
          <cell r="E17">
            <v>17.093602508009784</v>
          </cell>
          <cell r="F17">
            <v>330808</v>
          </cell>
          <cell r="G17">
            <v>0.12195389900190447</v>
          </cell>
          <cell r="H17">
            <v>2.8491404554380404</v>
          </cell>
          <cell r="I17">
            <v>397054</v>
          </cell>
          <cell r="J17">
            <v>0.14637579325258815</v>
          </cell>
          <cell r="K17">
            <v>3.4196954559548005</v>
          </cell>
          <cell r="L17">
            <v>2712566</v>
          </cell>
          <cell r="M17">
            <v>23.362438419402626</v>
          </cell>
        </row>
        <row r="18">
          <cell r="A18" t="str">
            <v>NC0104</v>
          </cell>
          <cell r="B18" t="str">
            <v>Chatham</v>
          </cell>
          <cell r="C18">
            <v>964425</v>
          </cell>
          <cell r="D18">
            <v>0.44365285569971497</v>
          </cell>
          <cell r="E18">
            <v>13.159744016592528</v>
          </cell>
          <cell r="F18">
            <v>160499</v>
          </cell>
          <cell r="G18">
            <v>7.3832428324596064E-2</v>
          </cell>
          <cell r="H18">
            <v>2.190036296154791</v>
          </cell>
          <cell r="I18">
            <v>829544</v>
          </cell>
          <cell r="J18">
            <v>0.38160516839418757</v>
          </cell>
          <cell r="K18">
            <v>11.319269710449472</v>
          </cell>
          <cell r="L18">
            <v>1954468</v>
          </cell>
          <cell r="M18">
            <v>26.669050023196792</v>
          </cell>
        </row>
        <row r="19">
          <cell r="A19" t="str">
            <v>NC0024</v>
          </cell>
          <cell r="B19" t="str">
            <v>Cleveland</v>
          </cell>
          <cell r="C19">
            <v>790018</v>
          </cell>
          <cell r="D19">
            <v>0.74417040548827296</v>
          </cell>
          <cell r="E19">
            <v>8.9165810769630145</v>
          </cell>
          <cell r="F19">
            <v>89590</v>
          </cell>
          <cell r="G19">
            <v>8.4390769106139837E-2</v>
          </cell>
          <cell r="H19">
            <v>1.0111624022302232</v>
          </cell>
          <cell r="I19">
            <v>182001</v>
          </cell>
          <cell r="J19">
            <v>0.17143882540558719</v>
          </cell>
          <cell r="K19">
            <v>2.0541641742192525</v>
          </cell>
          <cell r="L19">
            <v>1061609</v>
          </cell>
          <cell r="M19">
            <v>11.98190765341249</v>
          </cell>
        </row>
        <row r="20">
          <cell r="A20" t="str">
            <v>NC0025</v>
          </cell>
          <cell r="B20" t="str">
            <v>Columbus</v>
          </cell>
          <cell r="C20">
            <v>1111296</v>
          </cell>
          <cell r="D20">
            <v>0.75863839176000913</v>
          </cell>
          <cell r="E20">
            <v>19.434367458291071</v>
          </cell>
          <cell r="F20">
            <v>107700</v>
          </cell>
          <cell r="G20">
            <v>7.352258515512787E-2</v>
          </cell>
          <cell r="H20">
            <v>1.8834598300164387</v>
          </cell>
          <cell r="I20">
            <v>145860</v>
          </cell>
          <cell r="J20">
            <v>9.9572927304799927E-2</v>
          </cell>
          <cell r="K20">
            <v>2.5508027001503968</v>
          </cell>
          <cell r="L20">
            <v>1364856</v>
          </cell>
          <cell r="M20">
            <v>23.868629988457908</v>
          </cell>
        </row>
        <row r="21">
          <cell r="A21" t="str">
            <v>NC0026</v>
          </cell>
          <cell r="B21" t="str">
            <v>Cumberland</v>
          </cell>
          <cell r="C21">
            <v>8678687</v>
          </cell>
          <cell r="D21">
            <v>0.78430393881359151</v>
          </cell>
          <cell r="E21">
            <v>26.313085160570488</v>
          </cell>
          <cell r="F21">
            <v>1115612</v>
          </cell>
          <cell r="G21">
            <v>0.10081926975678562</v>
          </cell>
          <cell r="H21">
            <v>3.3824463956534396</v>
          </cell>
          <cell r="I21">
            <v>1290909</v>
          </cell>
          <cell r="J21">
            <v>0.11666108172237513</v>
          </cell>
          <cell r="K21">
            <v>3.9139328854176774</v>
          </cell>
          <cell r="L21">
            <v>11085208</v>
          </cell>
          <cell r="M21">
            <v>33.609464441641606</v>
          </cell>
        </row>
        <row r="22">
          <cell r="A22" t="str">
            <v>NC0027</v>
          </cell>
          <cell r="B22" t="str">
            <v>Davidson</v>
          </cell>
          <cell r="C22">
            <v>2447693</v>
          </cell>
          <cell r="D22">
            <v>0.65496439923695637</v>
          </cell>
          <cell r="E22">
            <v>15.285852567945643</v>
          </cell>
          <cell r="F22">
            <v>341685</v>
          </cell>
          <cell r="G22">
            <v>9.1429566842442841E-2</v>
          </cell>
          <cell r="H22">
            <v>2.133824190647482</v>
          </cell>
          <cell r="I22">
            <v>910274</v>
          </cell>
          <cell r="J22">
            <v>0.24357509849111847</v>
          </cell>
          <cell r="K22">
            <v>5.6846647681854519</v>
          </cell>
          <cell r="L22">
            <v>3699652</v>
          </cell>
          <cell r="M22">
            <v>23.104341526778576</v>
          </cell>
        </row>
        <row r="23">
          <cell r="A23" t="str">
            <v>NC0028</v>
          </cell>
          <cell r="B23" t="str">
            <v>Davie</v>
          </cell>
          <cell r="C23">
            <v>446050</v>
          </cell>
          <cell r="D23">
            <v>0.67854649119737864</v>
          </cell>
          <cell r="E23">
            <v>10.5671507426974</v>
          </cell>
          <cell r="F23">
            <v>101017</v>
          </cell>
          <cell r="G23">
            <v>0.15367050981119962</v>
          </cell>
          <cell r="H23">
            <v>2.393143967212338</v>
          </cell>
          <cell r="I23">
            <v>110294</v>
          </cell>
          <cell r="J23">
            <v>0.16778299899142177</v>
          </cell>
          <cell r="K23">
            <v>2.6129208026343842</v>
          </cell>
          <cell r="L23">
            <v>657361</v>
          </cell>
          <cell r="M23">
            <v>15.573215512544124</v>
          </cell>
        </row>
        <row r="24">
          <cell r="A24" t="str">
            <v>NC0029</v>
          </cell>
          <cell r="B24" t="str">
            <v>Duplin</v>
          </cell>
          <cell r="C24">
            <v>385611</v>
          </cell>
          <cell r="D24">
            <v>0.59810708231027776</v>
          </cell>
          <cell r="E24">
            <v>6.4703089081665182</v>
          </cell>
          <cell r="F24">
            <v>112800</v>
          </cell>
          <cell r="G24">
            <v>0.17495994378946486</v>
          </cell>
          <cell r="H24">
            <v>1.8927127204389482</v>
          </cell>
          <cell r="I24">
            <v>84400</v>
          </cell>
          <cell r="J24">
            <v>0.13090974517580528</v>
          </cell>
          <cell r="K24">
            <v>1.4161786667114116</v>
          </cell>
          <cell r="L24">
            <v>582811</v>
          </cell>
          <cell r="M24">
            <v>9.779200295316878</v>
          </cell>
        </row>
        <row r="25">
          <cell r="A25" t="str">
            <v>NC0030</v>
          </cell>
          <cell r="B25" t="str">
            <v>Durham</v>
          </cell>
          <cell r="C25">
            <v>7962478</v>
          </cell>
          <cell r="D25">
            <v>0.68603456365841076</v>
          </cell>
          <cell r="E25">
            <v>26.68748491754927</v>
          </cell>
          <cell r="F25">
            <v>1711884</v>
          </cell>
          <cell r="G25">
            <v>0.14749322924017058</v>
          </cell>
          <cell r="H25">
            <v>5.7376457970237293</v>
          </cell>
          <cell r="I25">
            <v>1223907</v>
          </cell>
          <cell r="J25">
            <v>0.10544989947896555</v>
          </cell>
          <cell r="K25">
            <v>4.1021148947580102</v>
          </cell>
          <cell r="L25">
            <v>10898269</v>
          </cell>
          <cell r="M25">
            <v>36.527245609331011</v>
          </cell>
        </row>
        <row r="26">
          <cell r="A26" t="str">
            <v>NC0031</v>
          </cell>
          <cell r="B26" t="str">
            <v>Edgecombe</v>
          </cell>
          <cell r="C26">
            <v>464613</v>
          </cell>
          <cell r="D26">
            <v>0.6516320499748246</v>
          </cell>
          <cell r="E26">
            <v>8.6840305035325791</v>
          </cell>
          <cell r="F26">
            <v>48809</v>
          </cell>
          <cell r="G26">
            <v>6.8455916487961413E-2</v>
          </cell>
          <cell r="H26">
            <v>0.91228365294755331</v>
          </cell>
          <cell r="I26">
            <v>190501</v>
          </cell>
          <cell r="J26">
            <v>0.26718270292104196</v>
          </cell>
          <cell r="K26">
            <v>3.5606332473552391</v>
          </cell>
          <cell r="L26">
            <v>703923</v>
          </cell>
          <cell r="M26">
            <v>13.156947403835371</v>
          </cell>
        </row>
        <row r="27">
          <cell r="A27" t="str">
            <v>NC0032</v>
          </cell>
          <cell r="B27" t="str">
            <v>Forsyth</v>
          </cell>
          <cell r="C27">
            <v>4973880</v>
          </cell>
          <cell r="D27">
            <v>0.65027789133874059</v>
          </cell>
          <cell r="E27">
            <v>13.475223034680436</v>
          </cell>
          <cell r="F27">
            <v>1008891</v>
          </cell>
          <cell r="G27">
            <v>0.1319009529925598</v>
          </cell>
          <cell r="H27">
            <v>2.7332849290054808</v>
          </cell>
          <cell r="I27">
            <v>1666082</v>
          </cell>
          <cell r="J27">
            <v>0.21782115566869961</v>
          </cell>
          <cell r="K27">
            <v>4.5137451132850916</v>
          </cell>
          <cell r="L27">
            <v>7648853</v>
          </cell>
          <cell r="M27">
            <v>20.722253076971008</v>
          </cell>
        </row>
        <row r="28">
          <cell r="A28" t="str">
            <v>NC0033</v>
          </cell>
          <cell r="B28" t="str">
            <v>Franklin</v>
          </cell>
          <cell r="C28">
            <v>708627</v>
          </cell>
          <cell r="D28">
            <v>0.78078650831165486</v>
          </cell>
          <cell r="E28">
            <v>10.827824891129957</v>
          </cell>
          <cell r="F28">
            <v>72323</v>
          </cell>
          <cell r="G28">
            <v>7.968765322323848E-2</v>
          </cell>
          <cell r="H28">
            <v>1.1050958820383527</v>
          </cell>
          <cell r="I28">
            <v>129466</v>
          </cell>
          <cell r="J28">
            <v>0.14264952659872782</v>
          </cell>
          <cell r="K28">
            <v>1.9782412712965085</v>
          </cell>
          <cell r="L28">
            <v>910416</v>
          </cell>
          <cell r="M28">
            <v>13.911162044464819</v>
          </cell>
        </row>
        <row r="29">
          <cell r="A29" t="str">
            <v>NC0105</v>
          </cell>
          <cell r="B29" t="str">
            <v>Gaston</v>
          </cell>
          <cell r="C29">
            <v>2874528</v>
          </cell>
          <cell r="D29">
            <v>0.70720811373478509</v>
          </cell>
          <cell r="E29">
            <v>13.406500538680024</v>
          </cell>
          <cell r="F29">
            <v>432853</v>
          </cell>
          <cell r="G29">
            <v>0.10649301508089083</v>
          </cell>
          <cell r="H29">
            <v>2.0187815104494597</v>
          </cell>
          <cell r="I29">
            <v>506780</v>
          </cell>
          <cell r="J29">
            <v>0.12468096601546912</v>
          </cell>
          <cell r="K29">
            <v>2.3635693731256966</v>
          </cell>
          <cell r="L29">
            <v>3814161</v>
          </cell>
          <cell r="M29">
            <v>17.788851422255181</v>
          </cell>
        </row>
        <row r="30">
          <cell r="A30" t="str">
            <v>NC0034</v>
          </cell>
          <cell r="B30" t="str">
            <v>Granville</v>
          </cell>
          <cell r="C30">
            <v>708354</v>
          </cell>
          <cell r="D30">
            <v>0.38707763093543462</v>
          </cell>
          <cell r="E30">
            <v>11.918530109535107</v>
          </cell>
          <cell r="F30">
            <v>186701</v>
          </cell>
          <cell r="G30">
            <v>0.10202212562260758</v>
          </cell>
          <cell r="H30">
            <v>3.141369272962832</v>
          </cell>
          <cell r="I30">
            <v>116678</v>
          </cell>
          <cell r="J30">
            <v>6.3758295742361359E-2</v>
          </cell>
          <cell r="K30">
            <v>1.963185435700705</v>
          </cell>
          <cell r="L30">
            <v>1011733</v>
          </cell>
          <cell r="M30">
            <v>17.023084818198644</v>
          </cell>
        </row>
        <row r="31">
          <cell r="A31" t="str">
            <v>NC0035</v>
          </cell>
          <cell r="B31" t="str">
            <v>Guilford (Greensboro)</v>
          </cell>
          <cell r="C31">
            <v>5674389</v>
          </cell>
          <cell r="D31">
            <v>0.62480134958410172</v>
          </cell>
          <cell r="E31">
            <v>13.639177859608303</v>
          </cell>
          <cell r="F31">
            <v>1011748</v>
          </cell>
          <cell r="G31">
            <v>0.1114025696579871</v>
          </cell>
          <cell r="H31">
            <v>2.4318760876462613</v>
          </cell>
          <cell r="I31">
            <v>1597345</v>
          </cell>
          <cell r="J31">
            <v>0.1758820750130837</v>
          </cell>
          <cell r="K31">
            <v>3.8394393754386638</v>
          </cell>
          <cell r="L31">
            <v>8283482</v>
          </cell>
          <cell r="M31">
            <v>19.910493322693227</v>
          </cell>
        </row>
        <row r="32">
          <cell r="A32" t="str">
            <v>NC0036</v>
          </cell>
          <cell r="B32" t="str">
            <v>Halifax</v>
          </cell>
          <cell r="C32">
            <v>487338</v>
          </cell>
          <cell r="D32">
            <v>0.78647935511462208</v>
          </cell>
          <cell r="E32">
            <v>13.15032785558164</v>
          </cell>
          <cell r="F32">
            <v>13960</v>
          </cell>
          <cell r="G32">
            <v>2.2529028718056305E-2</v>
          </cell>
          <cell r="H32">
            <v>0.37669661890498934</v>
          </cell>
          <cell r="I32">
            <v>52893</v>
          </cell>
          <cell r="J32">
            <v>8.5360165901443574E-2</v>
          </cell>
          <cell r="K32">
            <v>1.4272646320731806</v>
          </cell>
          <cell r="L32">
            <v>554191</v>
          </cell>
          <cell r="M32">
            <v>14.954289106559811</v>
          </cell>
        </row>
        <row r="33">
          <cell r="A33" t="str">
            <v>NC0037</v>
          </cell>
          <cell r="B33" t="str">
            <v>Harnett</v>
          </cell>
          <cell r="C33">
            <v>1025000</v>
          </cell>
          <cell r="D33">
            <v>0.62424367549803983</v>
          </cell>
          <cell r="E33">
            <v>7.9591250397956248</v>
          </cell>
          <cell r="F33">
            <v>183102</v>
          </cell>
          <cell r="G33">
            <v>0.11151245411808985</v>
          </cell>
          <cell r="H33">
            <v>1.4217870371089352</v>
          </cell>
          <cell r="I33">
            <v>169195</v>
          </cell>
          <cell r="J33">
            <v>0.10304283773257644</v>
          </cell>
          <cell r="K33">
            <v>1.313799181568996</v>
          </cell>
          <cell r="L33">
            <v>1377297</v>
          </cell>
          <cell r="M33">
            <v>10.694711258473557</v>
          </cell>
        </row>
        <row r="34">
          <cell r="A34" t="str">
            <v>NC0038</v>
          </cell>
          <cell r="B34" t="str">
            <v>Haywood</v>
          </cell>
          <cell r="C34">
            <v>1017227</v>
          </cell>
          <cell r="D34">
            <v>0.74084834060057225</v>
          </cell>
          <cell r="E34">
            <v>16.467711385601657</v>
          </cell>
          <cell r="F34">
            <v>112651</v>
          </cell>
          <cell r="G34">
            <v>8.2043935539456853E-2</v>
          </cell>
          <cell r="H34">
            <v>1.823687490893785</v>
          </cell>
          <cell r="I34">
            <v>193495</v>
          </cell>
          <cell r="J34">
            <v>0.14092277305312162</v>
          </cell>
          <cell r="K34">
            <v>3.1324569781936509</v>
          </cell>
          <cell r="L34">
            <v>1323373</v>
          </cell>
          <cell r="M34">
            <v>21.423855854689094</v>
          </cell>
        </row>
        <row r="35">
          <cell r="A35" t="str">
            <v>NC0039</v>
          </cell>
          <cell r="B35" t="str">
            <v>Henderson</v>
          </cell>
          <cell r="C35">
            <v>2183733</v>
          </cell>
          <cell r="D35">
            <v>0.70974461345553008</v>
          </cell>
          <cell r="E35">
            <v>19.091078375661144</v>
          </cell>
          <cell r="F35">
            <v>472382</v>
          </cell>
          <cell r="G35">
            <v>0.15353093990581734</v>
          </cell>
          <cell r="H35">
            <v>4.1297547755387507</v>
          </cell>
          <cell r="I35">
            <v>284278</v>
          </cell>
          <cell r="J35">
            <v>9.2394436143938469E-2</v>
          </cell>
          <cell r="K35">
            <v>2.485273418717489</v>
          </cell>
          <cell r="L35">
            <v>2940393</v>
          </cell>
          <cell r="M35">
            <v>25.706106569917385</v>
          </cell>
        </row>
        <row r="36">
          <cell r="A36" t="str">
            <v>NC0040</v>
          </cell>
          <cell r="B36" t="str">
            <v>Iredell</v>
          </cell>
          <cell r="C36">
            <v>1643240</v>
          </cell>
          <cell r="D36">
            <v>0.72317428463292055</v>
          </cell>
          <cell r="E36">
            <v>12.233496869486238</v>
          </cell>
          <cell r="F36">
            <v>323505</v>
          </cell>
          <cell r="G36">
            <v>0.14237147157455574</v>
          </cell>
          <cell r="H36">
            <v>2.4084110688415237</v>
          </cell>
          <cell r="I36">
            <v>157155</v>
          </cell>
          <cell r="J36">
            <v>6.9162419793509552E-2</v>
          </cell>
          <cell r="K36">
            <v>1.169978335802506</v>
          </cell>
          <cell r="L36">
            <v>2123900</v>
          </cell>
          <cell r="M36">
            <v>15.811886274130268</v>
          </cell>
        </row>
        <row r="37">
          <cell r="A37" t="str">
            <v>NC0041</v>
          </cell>
          <cell r="B37" t="str">
            <v>Johnston</v>
          </cell>
          <cell r="C37">
            <v>1051154</v>
          </cell>
          <cell r="D37">
            <v>0.71914394044089169</v>
          </cell>
          <cell r="E37">
            <v>6.1820587768256754</v>
          </cell>
          <cell r="F37">
            <v>93874</v>
          </cell>
          <cell r="G37">
            <v>6.4223623051378076E-2</v>
          </cell>
          <cell r="H37">
            <v>0.55209282903906887</v>
          </cell>
          <cell r="I37">
            <v>316646</v>
          </cell>
          <cell r="J37">
            <v>0.21663243650773018</v>
          </cell>
          <cell r="K37">
            <v>1.8622620314880052</v>
          </cell>
          <cell r="L37">
            <v>1461674</v>
          </cell>
          <cell r="M37">
            <v>8.5964136373527484</v>
          </cell>
        </row>
        <row r="38">
          <cell r="A38" t="str">
            <v>NC0042</v>
          </cell>
          <cell r="B38" t="str">
            <v>Lee</v>
          </cell>
          <cell r="C38">
            <v>442952</v>
          </cell>
          <cell r="D38">
            <v>0.73233484720979947</v>
          </cell>
          <cell r="E38">
            <v>7.4767402606171087</v>
          </cell>
          <cell r="F38">
            <v>88994</v>
          </cell>
          <cell r="G38">
            <v>0.14713424342273856</v>
          </cell>
          <cell r="H38">
            <v>1.5021605563432583</v>
          </cell>
          <cell r="I38">
            <v>72903</v>
          </cell>
          <cell r="J38">
            <v>0.12053090936746196</v>
          </cell>
          <cell r="K38">
            <v>1.2305549929106745</v>
          </cell>
          <cell r="L38">
            <v>604849</v>
          </cell>
          <cell r="M38">
            <v>10.209455809871042</v>
          </cell>
        </row>
        <row r="39">
          <cell r="A39" t="str">
            <v>NC0106</v>
          </cell>
          <cell r="B39" t="str">
            <v>Lincoln</v>
          </cell>
          <cell r="C39">
            <v>772563</v>
          </cell>
          <cell r="D39">
            <v>0.55475187918094426</v>
          </cell>
          <cell r="E39">
            <v>9.417709945997343</v>
          </cell>
          <cell r="F39">
            <v>261424</v>
          </cell>
          <cell r="G39">
            <v>0.18771990797255261</v>
          </cell>
          <cell r="H39">
            <v>3.1868150622310534</v>
          </cell>
          <cell r="I39">
            <v>293547</v>
          </cell>
          <cell r="J39">
            <v>0.21078636936784267</v>
          </cell>
          <cell r="K39">
            <v>3.5784013750563797</v>
          </cell>
          <cell r="L39">
            <v>1327534</v>
          </cell>
          <cell r="M39">
            <v>16.182926383284777</v>
          </cell>
        </row>
        <row r="40">
          <cell r="A40" t="str">
            <v>NC0043</v>
          </cell>
          <cell r="B40" t="str">
            <v>Madison</v>
          </cell>
          <cell r="C40">
            <v>309514</v>
          </cell>
          <cell r="D40">
            <v>0.60513766992455187</v>
          </cell>
          <cell r="E40">
            <v>14.082260339414896</v>
          </cell>
          <cell r="F40">
            <v>43375</v>
          </cell>
          <cell r="G40">
            <v>8.4803422245770588E-2</v>
          </cell>
          <cell r="H40">
            <v>1.9734746803767231</v>
          </cell>
          <cell r="I40">
            <v>158882</v>
          </cell>
          <cell r="J40">
            <v>0.31063371373492843</v>
          </cell>
          <cell r="K40">
            <v>7.2288093179853501</v>
          </cell>
          <cell r="L40">
            <v>511771</v>
          </cell>
          <cell r="M40">
            <v>23.284544337776968</v>
          </cell>
        </row>
        <row r="41">
          <cell r="A41" t="str">
            <v>NC0044</v>
          </cell>
          <cell r="B41" t="str">
            <v>McDowell</v>
          </cell>
          <cell r="C41">
            <v>520207</v>
          </cell>
          <cell r="D41">
            <v>0.62355874402910383</v>
          </cell>
          <cell r="E41">
            <v>11.430608657437926</v>
          </cell>
          <cell r="F41">
            <v>77413</v>
          </cell>
          <cell r="G41">
            <v>9.2792970974102648E-2</v>
          </cell>
          <cell r="H41">
            <v>1.7010107668644254</v>
          </cell>
          <cell r="I41">
            <v>162000</v>
          </cell>
          <cell r="J41">
            <v>0.19418523113436539</v>
          </cell>
          <cell r="K41">
            <v>3.5596572181938035</v>
          </cell>
          <cell r="L41">
            <v>759620</v>
          </cell>
          <cell r="M41">
            <v>16.691276642496156</v>
          </cell>
        </row>
        <row r="42">
          <cell r="A42" t="str">
            <v>NC0045</v>
          </cell>
          <cell r="B42" t="str">
            <v>Mecklenburg</v>
          </cell>
          <cell r="C42">
            <v>26138127</v>
          </cell>
          <cell r="D42">
            <v>0.65698023911169501</v>
          </cell>
          <cell r="E42">
            <v>24.809692039732521</v>
          </cell>
          <cell r="F42">
            <v>4006293</v>
          </cell>
          <cell r="G42">
            <v>0.10069793191729116</v>
          </cell>
          <cell r="H42">
            <v>3.8026785756659658</v>
          </cell>
          <cell r="I42">
            <v>9310955</v>
          </cell>
          <cell r="J42">
            <v>0.23403029001497438</v>
          </cell>
          <cell r="K42">
            <v>8.8377383025879297</v>
          </cell>
          <cell r="L42">
            <v>39455375</v>
          </cell>
          <cell r="M42">
            <v>37.450108917986419</v>
          </cell>
        </row>
        <row r="43">
          <cell r="A43" t="str">
            <v>NC0046</v>
          </cell>
          <cell r="B43" t="str">
            <v>Nash (Braswell)</v>
          </cell>
          <cell r="C43">
            <v>1338807</v>
          </cell>
          <cell r="D43">
            <v>0.62711993816895806</v>
          </cell>
          <cell r="E43">
            <v>15.010729902455433</v>
          </cell>
          <cell r="F43">
            <v>124904</v>
          </cell>
          <cell r="G43">
            <v>5.8507155069442818E-2</v>
          </cell>
          <cell r="H43">
            <v>1.4004260567328175</v>
          </cell>
          <cell r="I43">
            <v>592092</v>
          </cell>
          <cell r="J43">
            <v>0.27734594936412393</v>
          </cell>
          <cell r="K43">
            <v>6.6385469223007068</v>
          </cell>
          <cell r="L43">
            <v>2055803</v>
          </cell>
          <cell r="M43">
            <v>23.049702881488955</v>
          </cell>
        </row>
        <row r="44">
          <cell r="A44" t="str">
            <v>NC0047</v>
          </cell>
          <cell r="B44" t="str">
            <v>New Hanover</v>
          </cell>
          <cell r="C44">
            <v>3089763</v>
          </cell>
          <cell r="D44">
            <v>0.74197025743780176</v>
          </cell>
          <cell r="E44">
            <v>13.817765911774176</v>
          </cell>
          <cell r="F44">
            <v>657898</v>
          </cell>
          <cell r="G44">
            <v>0.15798646965084859</v>
          </cell>
          <cell r="H44">
            <v>2.9421934814496797</v>
          </cell>
          <cell r="I44">
            <v>416607</v>
          </cell>
          <cell r="J44">
            <v>0.10004327291134961</v>
          </cell>
          <cell r="K44">
            <v>1.8631131265428786</v>
          </cell>
          <cell r="L44">
            <v>4164268</v>
          </cell>
          <cell r="M44">
            <v>18.623072519766733</v>
          </cell>
        </row>
        <row r="45">
          <cell r="A45" t="str">
            <v>NC0048</v>
          </cell>
          <cell r="B45" t="str">
            <v>Onslow</v>
          </cell>
          <cell r="C45">
            <v>1552672</v>
          </cell>
          <cell r="D45">
            <v>0.68652998311389657</v>
          </cell>
          <cell r="E45">
            <v>8.0070134183194615</v>
          </cell>
          <cell r="F45">
            <v>196850</v>
          </cell>
          <cell r="G45">
            <v>8.7039263396242433E-2</v>
          </cell>
          <cell r="H45">
            <v>1.0151407324896604</v>
          </cell>
          <cell r="I45">
            <v>476547</v>
          </cell>
          <cell r="J45">
            <v>0.2107101846771102</v>
          </cell>
          <cell r="K45">
            <v>2.4575172499149107</v>
          </cell>
          <cell r="L45">
            <v>2226069</v>
          </cell>
          <cell r="M45">
            <v>11.479671400724031</v>
          </cell>
        </row>
        <row r="46">
          <cell r="A46" t="str">
            <v>NC0108</v>
          </cell>
          <cell r="B46" t="str">
            <v>Orange</v>
          </cell>
          <cell r="C46">
            <v>1837020</v>
          </cell>
          <cell r="D46">
            <v>0.78515261371339373</v>
          </cell>
          <cell r="E46">
            <v>21.827449768895331</v>
          </cell>
          <cell r="F46">
            <v>236198</v>
          </cell>
          <cell r="G46">
            <v>0.10095234513172213</v>
          </cell>
          <cell r="H46">
            <v>2.8065018238851724</v>
          </cell>
          <cell r="I46">
            <v>234417</v>
          </cell>
          <cell r="J46">
            <v>0.10019113577906208</v>
          </cell>
          <cell r="K46">
            <v>2.785340003089317</v>
          </cell>
          <cell r="L46">
            <v>2307635</v>
          </cell>
          <cell r="M46">
            <v>27.419291595869822</v>
          </cell>
        </row>
        <row r="47">
          <cell r="A47" t="str">
            <v>NC0049</v>
          </cell>
          <cell r="B47" t="str">
            <v>Pender</v>
          </cell>
          <cell r="C47">
            <v>622646</v>
          </cell>
          <cell r="D47">
            <v>0.76597247082298436</v>
          </cell>
          <cell r="E47">
            <v>10.471854555239744</v>
          </cell>
          <cell r="F47">
            <v>81523</v>
          </cell>
          <cell r="G47">
            <v>0.10028872543773212</v>
          </cell>
          <cell r="H47">
            <v>1.3710792310667854</v>
          </cell>
          <cell r="I47">
            <v>87767</v>
          </cell>
          <cell r="J47">
            <v>0.10797002766695822</v>
          </cell>
          <cell r="K47">
            <v>1.4760927698077666</v>
          </cell>
          <cell r="L47">
            <v>791936</v>
          </cell>
          <cell r="M47">
            <v>13.319026556114297</v>
          </cell>
        </row>
        <row r="48">
          <cell r="A48" t="str">
            <v>NC0109</v>
          </cell>
          <cell r="B48" t="str">
            <v>Person</v>
          </cell>
          <cell r="C48">
            <v>420230</v>
          </cell>
          <cell r="D48">
            <v>0.78798049878117382</v>
          </cell>
          <cell r="E48">
            <v>10.577678211840515</v>
          </cell>
          <cell r="F48">
            <v>82171</v>
          </cell>
          <cell r="G48">
            <v>0.1540802550159385</v>
          </cell>
          <cell r="H48">
            <v>2.0683397100281917</v>
          </cell>
          <cell r="I48">
            <v>45156</v>
          </cell>
          <cell r="J48">
            <v>8.4672792049503093E-2</v>
          </cell>
          <cell r="K48">
            <v>1.1366290777285541</v>
          </cell>
          <cell r="L48">
            <v>547557</v>
          </cell>
          <cell r="M48">
            <v>13.782646999597262</v>
          </cell>
        </row>
        <row r="49">
          <cell r="A49" t="str">
            <v>NC0050</v>
          </cell>
          <cell r="B49" t="str">
            <v>Pitt (Sheppard)</v>
          </cell>
          <cell r="C49">
            <v>1464506</v>
          </cell>
          <cell r="D49">
            <v>0.62717298811909261</v>
          </cell>
          <cell r="E49">
            <v>8.5536080366790301</v>
          </cell>
          <cell r="F49">
            <v>292701</v>
          </cell>
          <cell r="G49">
            <v>0.12534886220708316</v>
          </cell>
          <cell r="H49">
            <v>1.7095523172619222</v>
          </cell>
          <cell r="I49">
            <v>500927</v>
          </cell>
          <cell r="J49">
            <v>0.21452140409088982</v>
          </cell>
          <cell r="K49">
            <v>2.9257191250766579</v>
          </cell>
          <cell r="L49">
            <v>2258134</v>
          </cell>
          <cell r="M49">
            <v>13.18887947901761</v>
          </cell>
        </row>
        <row r="50">
          <cell r="A50" t="str">
            <v>NC0051</v>
          </cell>
          <cell r="B50" t="str">
            <v>Polk</v>
          </cell>
          <cell r="C50">
            <v>402394</v>
          </cell>
          <cell r="D50">
            <v>0.68491896252974438</v>
          </cell>
          <cell r="E50">
            <v>19.134284355682357</v>
          </cell>
          <cell r="F50">
            <v>66552</v>
          </cell>
          <cell r="G50">
            <v>0.11327884310968739</v>
          </cell>
          <cell r="H50">
            <v>3.1646219686162627</v>
          </cell>
          <cell r="I50">
            <v>89742</v>
          </cell>
          <cell r="J50">
            <v>0.15275078041756168</v>
          </cell>
          <cell r="K50">
            <v>4.2673323823109843</v>
          </cell>
          <cell r="L50">
            <v>558688</v>
          </cell>
          <cell r="M50">
            <v>26.566238706609607</v>
          </cell>
        </row>
        <row r="51">
          <cell r="A51" t="str">
            <v>NC0052</v>
          </cell>
          <cell r="B51" t="str">
            <v>Randolph</v>
          </cell>
          <cell r="C51">
            <v>2165313</v>
          </cell>
          <cell r="D51">
            <v>0.72566297240868527</v>
          </cell>
          <cell r="E51">
            <v>15.068183241591916</v>
          </cell>
          <cell r="F51">
            <v>253084</v>
          </cell>
          <cell r="G51">
            <v>8.4816231052545155E-2</v>
          </cell>
          <cell r="H51">
            <v>1.761184682082936</v>
          </cell>
          <cell r="I51">
            <v>532902</v>
          </cell>
          <cell r="J51">
            <v>0.17859184760934479</v>
          </cell>
          <cell r="K51">
            <v>3.7084084313957453</v>
          </cell>
          <cell r="L51">
            <v>2951299</v>
          </cell>
          <cell r="M51">
            <v>20.537776355070598</v>
          </cell>
        </row>
        <row r="52">
          <cell r="A52" t="str">
            <v>NC0053</v>
          </cell>
          <cell r="B52" t="str">
            <v>Robeson</v>
          </cell>
          <cell r="C52">
            <v>794670</v>
          </cell>
          <cell r="D52">
            <v>0.63108866308504175</v>
          </cell>
          <cell r="E52">
            <v>5.9904113616318773</v>
          </cell>
          <cell r="F52">
            <v>103441</v>
          </cell>
          <cell r="G52">
            <v>8.2147863135867472E-2</v>
          </cell>
          <cell r="H52">
            <v>0.77976284704161858</v>
          </cell>
          <cell r="I52">
            <v>280050</v>
          </cell>
          <cell r="J52">
            <v>0.22240222997843878</v>
          </cell>
          <cell r="K52">
            <v>2.1110834709061717</v>
          </cell>
          <cell r="L52">
            <v>1178161</v>
          </cell>
          <cell r="M52">
            <v>8.8812576795796687</v>
          </cell>
        </row>
        <row r="53">
          <cell r="A53" t="str">
            <v>NC0054</v>
          </cell>
          <cell r="B53" t="str">
            <v>Rockingham</v>
          </cell>
          <cell r="C53">
            <v>1405258</v>
          </cell>
          <cell r="D53">
            <v>0.74136729455894101</v>
          </cell>
          <cell r="E53">
            <v>15.292661958189594</v>
          </cell>
          <cell r="F53">
            <v>213908</v>
          </cell>
          <cell r="G53">
            <v>0.11285073292200717</v>
          </cell>
          <cell r="H53">
            <v>2.3278449467303655</v>
          </cell>
          <cell r="I53">
            <v>276330</v>
          </cell>
          <cell r="J53">
            <v>0.14578250008572957</v>
          </cell>
          <cell r="K53">
            <v>3.0071497752772305</v>
          </cell>
          <cell r="L53">
            <v>1895496</v>
          </cell>
          <cell r="M53">
            <v>20.627656680197191</v>
          </cell>
        </row>
        <row r="54">
          <cell r="A54" t="str">
            <v>NC0055</v>
          </cell>
          <cell r="B54" t="str">
            <v>Rowan</v>
          </cell>
          <cell r="C54">
            <v>2128234</v>
          </cell>
          <cell r="D54">
            <v>0.55867664893868363</v>
          </cell>
          <cell r="E54">
            <v>15.097070298645102</v>
          </cell>
          <cell r="F54">
            <v>290956</v>
          </cell>
          <cell r="G54">
            <v>7.6378031301352955E-2</v>
          </cell>
          <cell r="H54">
            <v>2.0639568702560829</v>
          </cell>
          <cell r="I54">
            <v>789540</v>
          </cell>
          <cell r="J54">
            <v>0.20725989783221593</v>
          </cell>
          <cell r="K54">
            <v>5.6007661204511594</v>
          </cell>
          <cell r="L54">
            <v>3208730</v>
          </cell>
          <cell r="M54">
            <v>22.761793289352344</v>
          </cell>
        </row>
        <row r="55">
          <cell r="A55" t="str">
            <v>NC0056</v>
          </cell>
          <cell r="B55" t="str">
            <v>Rutherford</v>
          </cell>
          <cell r="C55">
            <v>456920</v>
          </cell>
          <cell r="D55">
            <v>0.74427726494557034</v>
          </cell>
          <cell r="E55">
            <v>6.7488885278348079</v>
          </cell>
          <cell r="F55">
            <v>77433</v>
          </cell>
          <cell r="G55">
            <v>0.12613066063321882</v>
          </cell>
          <cell r="H55">
            <v>1.143715935778326</v>
          </cell>
          <cell r="I55">
            <v>67875</v>
          </cell>
          <cell r="J55">
            <v>0.11056162863998202</v>
          </cell>
          <cell r="K55">
            <v>1.0025405078061533</v>
          </cell>
          <cell r="L55">
            <v>602228</v>
          </cell>
          <cell r="M55">
            <v>8.8951449714192865</v>
          </cell>
        </row>
        <row r="56">
          <cell r="A56" t="str">
            <v>NC0057</v>
          </cell>
          <cell r="B56" t="str">
            <v>Sampson</v>
          </cell>
          <cell r="C56">
            <v>567543</v>
          </cell>
          <cell r="D56">
            <v>0.67505254306033147</v>
          </cell>
          <cell r="E56">
            <v>8.9378257925321662</v>
          </cell>
          <cell r="F56">
            <v>113726</v>
          </cell>
          <cell r="G56">
            <v>0.13526909064525375</v>
          </cell>
          <cell r="H56">
            <v>1.7909888344698341</v>
          </cell>
          <cell r="I56">
            <v>92129</v>
          </cell>
          <cell r="J56">
            <v>0.1095809757843992</v>
          </cell>
          <cell r="K56">
            <v>1.4508732420983008</v>
          </cell>
          <cell r="L56">
            <v>773398</v>
          </cell>
          <cell r="M56">
            <v>12.179687869100301</v>
          </cell>
        </row>
        <row r="57">
          <cell r="A57" t="str">
            <v>NC0058</v>
          </cell>
          <cell r="B57" t="str">
            <v>Scotland</v>
          </cell>
          <cell r="C57">
            <v>283598</v>
          </cell>
          <cell r="D57">
            <v>0.56963746618004774</v>
          </cell>
          <cell r="E57">
            <v>7.924166643382045</v>
          </cell>
          <cell r="F57">
            <v>87122</v>
          </cell>
          <cell r="G57">
            <v>0.17499402438852923</v>
          </cell>
          <cell r="H57">
            <v>2.4343233954567047</v>
          </cell>
          <cell r="I57">
            <v>112337</v>
          </cell>
          <cell r="J57">
            <v>0.22564109774493479</v>
          </cell>
          <cell r="K57">
            <v>3.138869485037302</v>
          </cell>
          <cell r="L57">
            <v>483057</v>
          </cell>
          <cell r="M57">
            <v>13.497359523876051</v>
          </cell>
        </row>
        <row r="58">
          <cell r="A58" t="str">
            <v>NC0059</v>
          </cell>
          <cell r="B58" t="str">
            <v>Stanly</v>
          </cell>
          <cell r="C58">
            <v>827493</v>
          </cell>
          <cell r="D58">
            <v>0.63403497910540163</v>
          </cell>
          <cell r="E58">
            <v>13.400479344464058</v>
          </cell>
          <cell r="F58">
            <v>80559</v>
          </cell>
          <cell r="G58">
            <v>6.1725263998308202E-2</v>
          </cell>
          <cell r="H58">
            <v>1.3045780635131414</v>
          </cell>
          <cell r="I58">
            <v>221350</v>
          </cell>
          <cell r="J58">
            <v>0.16960100281812734</v>
          </cell>
          <cell r="K58">
            <v>3.5845573351038849</v>
          </cell>
          <cell r="L58">
            <v>1129402</v>
          </cell>
          <cell r="M58">
            <v>18.289614743081085</v>
          </cell>
        </row>
        <row r="59">
          <cell r="A59" t="str">
            <v>NC0060</v>
          </cell>
          <cell r="B59" t="str">
            <v>Transylvania</v>
          </cell>
          <cell r="C59">
            <v>987475</v>
          </cell>
          <cell r="D59">
            <v>0.66135183066821335</v>
          </cell>
          <cell r="E59">
            <v>28.925129617153402</v>
          </cell>
          <cell r="F59">
            <v>158485</v>
          </cell>
          <cell r="G59">
            <v>0.10614379592744301</v>
          </cell>
          <cell r="H59">
            <v>4.6423445326459474</v>
          </cell>
          <cell r="I59">
            <v>318745</v>
          </cell>
          <cell r="J59">
            <v>0.21347638093758289</v>
          </cell>
          <cell r="K59">
            <v>9.336682386713143</v>
          </cell>
          <cell r="L59">
            <v>1464705</v>
          </cell>
          <cell r="M59">
            <v>42.904156536512495</v>
          </cell>
        </row>
        <row r="60">
          <cell r="A60" t="str">
            <v>NC0061</v>
          </cell>
          <cell r="B60" t="str">
            <v>Union</v>
          </cell>
          <cell r="C60">
            <v>3331918</v>
          </cell>
          <cell r="D60">
            <v>0.71161635502072429</v>
          </cell>
          <cell r="E60">
            <v>14.880280463568765</v>
          </cell>
          <cell r="F60">
            <v>485134</v>
          </cell>
          <cell r="G60">
            <v>0.10361278061963831</v>
          </cell>
          <cell r="H60">
            <v>2.1665989326306856</v>
          </cell>
          <cell r="I60">
            <v>834981</v>
          </cell>
          <cell r="J60">
            <v>0.17833156029997119</v>
          </cell>
          <cell r="K60">
            <v>3.7290087756514749</v>
          </cell>
          <cell r="L60">
            <v>4652033</v>
          </cell>
          <cell r="M60">
            <v>20.775888171850927</v>
          </cell>
        </row>
        <row r="61">
          <cell r="A61" t="str">
            <v>NC0062</v>
          </cell>
          <cell r="B61" t="str">
            <v>Vance (Perry)</v>
          </cell>
          <cell r="C61">
            <v>571633</v>
          </cell>
          <cell r="D61">
            <v>0.60413229691240267</v>
          </cell>
          <cell r="E61">
            <v>12.718500389364779</v>
          </cell>
          <cell r="F61">
            <v>70000</v>
          </cell>
          <cell r="G61">
            <v>7.3979740119741497E-2</v>
          </cell>
          <cell r="H61">
            <v>1.5574591166981866</v>
          </cell>
          <cell r="I61">
            <v>284000</v>
          </cell>
          <cell r="J61">
            <v>0.30014637420009405</v>
          </cell>
          <cell r="K61">
            <v>6.3188341306040714</v>
          </cell>
          <cell r="L61">
            <v>925633</v>
          </cell>
          <cell r="M61">
            <v>20.594793636667038</v>
          </cell>
        </row>
        <row r="62">
          <cell r="A62" t="str">
            <v>NC0063</v>
          </cell>
          <cell r="B62" t="str">
            <v>Wake</v>
          </cell>
          <cell r="C62">
            <v>15169770</v>
          </cell>
          <cell r="D62">
            <v>0.59890265315529168</v>
          </cell>
          <cell r="E62">
            <v>14.774579546295683</v>
          </cell>
          <cell r="F62">
            <v>4033896</v>
          </cell>
          <cell r="G62">
            <v>0.15925824959458965</v>
          </cell>
          <cell r="H62">
            <v>3.9288082372695152</v>
          </cell>
          <cell r="I62">
            <v>5542457</v>
          </cell>
          <cell r="J62">
            <v>0.21881625115602402</v>
          </cell>
          <cell r="K62">
            <v>5.3980694386548596</v>
          </cell>
          <cell r="L62">
            <v>24746123</v>
          </cell>
          <cell r="M62">
            <v>24.101457222220059</v>
          </cell>
        </row>
        <row r="63">
          <cell r="A63" t="str">
            <v>NC0101</v>
          </cell>
          <cell r="B63" t="str">
            <v>Warren</v>
          </cell>
          <cell r="C63">
            <v>348883</v>
          </cell>
          <cell r="D63">
            <v>0.68250651924277017</v>
          </cell>
          <cell r="E63">
            <v>17.339247552308532</v>
          </cell>
          <cell r="F63">
            <v>19175</v>
          </cell>
          <cell r="G63">
            <v>3.7511321865726095E-2</v>
          </cell>
          <cell r="H63">
            <v>0.95298444411311567</v>
          </cell>
          <cell r="I63">
            <v>100496</v>
          </cell>
          <cell r="J63">
            <v>0.19659649555243858</v>
          </cell>
          <cell r="K63">
            <v>4.9945827742159929</v>
          </cell>
          <cell r="L63">
            <v>468554</v>
          </cell>
          <cell r="M63">
            <v>23.28681477063764</v>
          </cell>
        </row>
        <row r="64">
          <cell r="A64" t="str">
            <v>NC0065</v>
          </cell>
          <cell r="B64" t="str">
            <v>Wayne</v>
          </cell>
          <cell r="C64">
            <v>1571603</v>
          </cell>
          <cell r="D64">
            <v>0.78595908479650167</v>
          </cell>
          <cell r="E64">
            <v>12.592165566309852</v>
          </cell>
          <cell r="F64">
            <v>219934</v>
          </cell>
          <cell r="G64">
            <v>0.10998905280508742</v>
          </cell>
          <cell r="H64">
            <v>1.7621787064931735</v>
          </cell>
          <cell r="I64">
            <v>208062</v>
          </cell>
          <cell r="J64">
            <v>0.10405186239841088</v>
          </cell>
          <cell r="K64">
            <v>1.6670565989359656</v>
          </cell>
          <cell r="L64">
            <v>1999599</v>
          </cell>
          <cell r="M64">
            <v>16.02140087173899</v>
          </cell>
        </row>
        <row r="65">
          <cell r="A65" t="str">
            <v>NC0066</v>
          </cell>
          <cell r="B65" t="str">
            <v>Wilson</v>
          </cell>
          <cell r="C65">
            <v>1285677</v>
          </cell>
          <cell r="D65">
            <v>0.64422261228248889</v>
          </cell>
          <cell r="E65">
            <v>15.725396903055358</v>
          </cell>
          <cell r="F65">
            <v>88155</v>
          </cell>
          <cell r="G65">
            <v>4.4172404410876769E-2</v>
          </cell>
          <cell r="H65">
            <v>1.0782431077081143</v>
          </cell>
          <cell r="I65">
            <v>399869</v>
          </cell>
          <cell r="J65">
            <v>0.200364984168486</v>
          </cell>
          <cell r="K65">
            <v>4.8908852956285624</v>
          </cell>
          <cell r="L65">
            <v>1773701</v>
          </cell>
          <cell r="M65">
            <v>21.694525306392034</v>
          </cell>
        </row>
        <row r="66">
          <cell r="A66" t="str">
            <v>Mean average</v>
          </cell>
          <cell r="C66">
            <v>2252413.0862068967</v>
          </cell>
          <cell r="D66">
            <v>0.68090193584208758</v>
          </cell>
          <cell r="E66">
            <v>13.297230003601728</v>
          </cell>
          <cell r="F66">
            <v>385321.96551724139</v>
          </cell>
          <cell r="G66">
            <v>0.10413758875352284</v>
          </cell>
          <cell r="H66">
            <v>2.0377354021984475</v>
          </cell>
          <cell r="I66">
            <v>608692.17241379316</v>
          </cell>
          <cell r="J66">
            <v>0.16596384357990987</v>
          </cell>
          <cell r="K66">
            <v>3.3480654436105395</v>
          </cell>
          <cell r="L66">
            <v>3246427.2241379311</v>
          </cell>
          <cell r="M66">
            <v>18.683030849410716</v>
          </cell>
        </row>
        <row r="67">
          <cell r="A67" t="str">
            <v>Regional Libraries</v>
          </cell>
        </row>
        <row r="68">
          <cell r="A68" t="str">
            <v>NC0001</v>
          </cell>
          <cell r="B68" t="str">
            <v>Albemarle</v>
          </cell>
          <cell r="C68">
            <v>747050</v>
          </cell>
          <cell r="D68">
            <v>0.59537661625564253</v>
          </cell>
          <cell r="E68">
            <v>9.7571965936993887</v>
          </cell>
          <cell r="F68">
            <v>93874</v>
          </cell>
          <cell r="G68">
            <v>7.4814784116701949E-2</v>
          </cell>
          <cell r="H68">
            <v>1.2260853664907789</v>
          </cell>
          <cell r="I68">
            <v>198378</v>
          </cell>
          <cell r="J68">
            <v>0.1581013618627426</v>
          </cell>
          <cell r="K68">
            <v>2.5910088292147746</v>
          </cell>
          <cell r="L68">
            <v>1039302</v>
          </cell>
          <cell r="M68">
            <v>13.574290789404943</v>
          </cell>
        </row>
        <row r="69">
          <cell r="A69" t="str">
            <v>NC0003</v>
          </cell>
          <cell r="B69" t="str">
            <v>AMY</v>
          </cell>
          <cell r="C69">
            <v>540543</v>
          </cell>
          <cell r="D69">
            <v>0.64072253054006068</v>
          </cell>
          <cell r="E69">
            <v>10.494757892284394</v>
          </cell>
          <cell r="F69">
            <v>60660</v>
          </cell>
          <cell r="G69">
            <v>7.190219594474459E-2</v>
          </cell>
          <cell r="H69">
            <v>1.1777268667728031</v>
          </cell>
          <cell r="I69">
            <v>239340</v>
          </cell>
          <cell r="J69">
            <v>0.28369719052778058</v>
          </cell>
          <cell r="K69">
            <v>4.6468372616782512</v>
          </cell>
          <cell r="L69">
            <v>840543</v>
          </cell>
          <cell r="M69">
            <v>16.319322020735449</v>
          </cell>
        </row>
        <row r="70">
          <cell r="A70" t="str">
            <v>NC0002</v>
          </cell>
          <cell r="B70" t="str">
            <v>Appalachian</v>
          </cell>
          <cell r="C70">
            <v>1657389</v>
          </cell>
          <cell r="D70">
            <v>0.57169461632841578</v>
          </cell>
          <cell r="E70">
            <v>10.877896864724375</v>
          </cell>
          <cell r="F70">
            <v>163531</v>
          </cell>
          <cell r="G70">
            <v>5.640787546122375E-2</v>
          </cell>
          <cell r="H70">
            <v>1.0732986354954943</v>
          </cell>
          <cell r="I70">
            <v>445353</v>
          </cell>
          <cell r="J70">
            <v>0.15361868123036232</v>
          </cell>
          <cell r="K70">
            <v>2.9229734253066688</v>
          </cell>
          <cell r="L70">
            <v>2266273</v>
          </cell>
          <cell r="M70">
            <v>14.874168925526538</v>
          </cell>
        </row>
        <row r="71">
          <cell r="A71" t="str">
            <v>NC0004</v>
          </cell>
          <cell r="B71" t="str">
            <v>BHM</v>
          </cell>
          <cell r="C71">
            <v>563832</v>
          </cell>
          <cell r="D71">
            <v>0.63377261016766262</v>
          </cell>
          <cell r="E71">
            <v>8.380878768059933</v>
          </cell>
          <cell r="F71">
            <v>68313</v>
          </cell>
          <cell r="G71">
            <v>7.6786894533094133E-2</v>
          </cell>
          <cell r="H71">
            <v>1.0154141149890006</v>
          </cell>
          <cell r="I71">
            <v>257499</v>
          </cell>
          <cell r="J71">
            <v>0.28944049529924332</v>
          </cell>
          <cell r="K71">
            <v>3.8275016350555919</v>
          </cell>
          <cell r="L71">
            <v>889644</v>
          </cell>
          <cell r="M71">
            <v>13.223794518104524</v>
          </cell>
        </row>
        <row r="72">
          <cell r="A72" t="str">
            <v>NC0006</v>
          </cell>
          <cell r="B72" t="str">
            <v>CPC</v>
          </cell>
          <cell r="C72">
            <v>2442190</v>
          </cell>
          <cell r="D72">
            <v>0.61769906535390118</v>
          </cell>
          <cell r="E72">
            <v>13.06305294350482</v>
          </cell>
          <cell r="F72">
            <v>270350</v>
          </cell>
          <cell r="G72">
            <v>6.8379177016705164E-2</v>
          </cell>
          <cell r="H72">
            <v>1.4460776447682318</v>
          </cell>
          <cell r="I72">
            <v>729525</v>
          </cell>
          <cell r="J72">
            <v>0.18451754804184142</v>
          </cell>
          <cell r="K72">
            <v>3.9021630989441252</v>
          </cell>
          <cell r="L72">
            <v>3442065</v>
          </cell>
          <cell r="M72">
            <v>18.411293687217178</v>
          </cell>
        </row>
        <row r="73">
          <cell r="A73" t="str">
            <v>NC0007</v>
          </cell>
          <cell r="B73" t="str">
            <v>E. Albemarle</v>
          </cell>
          <cell r="C73">
            <v>2062667</v>
          </cell>
          <cell r="D73">
            <v>0.73484672783659044</v>
          </cell>
          <cell r="E73">
            <v>18.244164551252002</v>
          </cell>
          <cell r="F73">
            <v>183762</v>
          </cell>
          <cell r="G73">
            <v>6.5467137643016315E-2</v>
          </cell>
          <cell r="H73">
            <v>1.6253637481315066</v>
          </cell>
          <cell r="I73">
            <v>490747</v>
          </cell>
          <cell r="J73">
            <v>0.17483375995525369</v>
          </cell>
          <cell r="K73">
            <v>4.3406274599987613</v>
          </cell>
          <cell r="L73">
            <v>2737176</v>
          </cell>
          <cell r="M73">
            <v>24.210155759382271</v>
          </cell>
        </row>
        <row r="74">
          <cell r="A74" t="str">
            <v>NC0008</v>
          </cell>
          <cell r="B74" t="str">
            <v>Fontana</v>
          </cell>
          <cell r="C74">
            <v>2355565</v>
          </cell>
          <cell r="D74">
            <v>0.71250778882160426</v>
          </cell>
          <cell r="E74">
            <v>25.794340841646498</v>
          </cell>
          <cell r="F74">
            <v>286924</v>
          </cell>
          <cell r="G74">
            <v>8.6788343688180961E-2</v>
          </cell>
          <cell r="H74">
            <v>3.1419279245737561</v>
          </cell>
          <cell r="I74">
            <v>575448</v>
          </cell>
          <cell r="J74">
            <v>0.17406065299060502</v>
          </cell>
          <cell r="K74">
            <v>6.3013764632450364</v>
          </cell>
          <cell r="L74">
            <v>3217937</v>
          </cell>
          <cell r="M74">
            <v>35.237645229465294</v>
          </cell>
        </row>
        <row r="75">
          <cell r="A75" t="str">
            <v>NC0011</v>
          </cell>
          <cell r="B75" t="str">
            <v>Nantahala</v>
          </cell>
          <cell r="C75">
            <v>786558</v>
          </cell>
          <cell r="D75">
            <v>0.6406400552546937</v>
          </cell>
          <cell r="E75">
            <v>16.135847043860011</v>
          </cell>
          <cell r="F75">
            <v>99188</v>
          </cell>
          <cell r="G75">
            <v>8.0787183908373639E-2</v>
          </cell>
          <cell r="H75">
            <v>2.0347925983670456</v>
          </cell>
          <cell r="I75">
            <v>216644</v>
          </cell>
          <cell r="J75">
            <v>0.17645338821879361</v>
          </cell>
          <cell r="K75">
            <v>4.4443441513149793</v>
          </cell>
          <cell r="L75">
            <v>1102390</v>
          </cell>
          <cell r="M75">
            <v>22.614983793542034</v>
          </cell>
        </row>
        <row r="76">
          <cell r="A76" t="str">
            <v>NC0012</v>
          </cell>
          <cell r="B76" t="str">
            <v>Neuse</v>
          </cell>
          <cell r="C76">
            <v>1123397</v>
          </cell>
          <cell r="D76">
            <v>0.51537055260037112</v>
          </cell>
          <cell r="E76">
            <v>12.571305476600791</v>
          </cell>
          <cell r="F76">
            <v>198005</v>
          </cell>
          <cell r="G76">
            <v>9.0836940340446426E-2</v>
          </cell>
          <cell r="H76">
            <v>2.215762852219064</v>
          </cell>
          <cell r="I76">
            <v>490662</v>
          </cell>
          <cell r="J76">
            <v>0.22509651181194476</v>
          </cell>
          <cell r="K76">
            <v>5.4907231261610079</v>
          </cell>
          <cell r="L76">
            <v>1812064</v>
          </cell>
          <cell r="M76">
            <v>20.277791454980864</v>
          </cell>
        </row>
        <row r="77">
          <cell r="A77" t="str">
            <v>NC0013</v>
          </cell>
          <cell r="B77" t="str">
            <v>Northwestern</v>
          </cell>
          <cell r="C77">
            <v>1613068</v>
          </cell>
          <cell r="D77">
            <v>0.67414392972147286</v>
          </cell>
          <cell r="E77">
            <v>9.5719109191139378</v>
          </cell>
          <cell r="F77">
            <v>98591</v>
          </cell>
          <cell r="G77">
            <v>4.1203795608845836E-2</v>
          </cell>
          <cell r="H77">
            <v>0.5850368796767168</v>
          </cell>
          <cell r="I77">
            <v>443119</v>
          </cell>
          <cell r="J77">
            <v>0.1851911909443677</v>
          </cell>
          <cell r="K77">
            <v>2.6294586431364637</v>
          </cell>
          <cell r="L77">
            <v>2154778</v>
          </cell>
          <cell r="M77">
            <v>12.786406441927118</v>
          </cell>
        </row>
        <row r="78">
          <cell r="A78" t="str">
            <v>NC0014</v>
          </cell>
          <cell r="B78" t="str">
            <v>Pettigrew</v>
          </cell>
          <cell r="C78">
            <v>780151</v>
          </cell>
          <cell r="D78">
            <v>0.68701692464442743</v>
          </cell>
          <cell r="E78">
            <v>17.518885295966946</v>
          </cell>
          <cell r="F78">
            <v>80080</v>
          </cell>
          <cell r="G78">
            <v>7.0520085631532559E-2</v>
          </cell>
          <cell r="H78">
            <v>1.7982574328572711</v>
          </cell>
          <cell r="I78">
            <v>257445</v>
          </cell>
          <cell r="J78">
            <v>0.22671133173588784</v>
          </cell>
          <cell r="K78">
            <v>5.7811236863379145</v>
          </cell>
          <cell r="L78">
            <v>1117676</v>
          </cell>
          <cell r="M78">
            <v>25.098266415162129</v>
          </cell>
        </row>
        <row r="79">
          <cell r="A79" t="str">
            <v>NC0015</v>
          </cell>
          <cell r="B79" t="str">
            <v>Sandhill</v>
          </cell>
          <cell r="C79">
            <v>1882240</v>
          </cell>
          <cell r="D79">
            <v>0.66353531094757123</v>
          </cell>
          <cell r="E79">
            <v>8.0828623941460407</v>
          </cell>
          <cell r="F79">
            <v>344724</v>
          </cell>
          <cell r="G79">
            <v>0.12152358175954742</v>
          </cell>
          <cell r="H79">
            <v>1.4803407939261728</v>
          </cell>
          <cell r="I79">
            <v>511084</v>
          </cell>
          <cell r="J79">
            <v>0.18016952187836219</v>
          </cell>
          <cell r="K79">
            <v>2.1947369325111223</v>
          </cell>
          <cell r="L79">
            <v>2738048</v>
          </cell>
          <cell r="M79">
            <v>11.757940120583335</v>
          </cell>
        </row>
        <row r="80">
          <cell r="A80" t="str">
            <v>Mean average</v>
          </cell>
          <cell r="C80">
            <v>1379554.1666666667</v>
          </cell>
          <cell r="D80">
            <v>0.6406105607060345</v>
          </cell>
          <cell r="E80">
            <v>13.374424965404932</v>
          </cell>
          <cell r="F80">
            <v>162333.5</v>
          </cell>
          <cell r="G80">
            <v>7.545149963770105E-2</v>
          </cell>
          <cell r="H80">
            <v>1.5683404048556533</v>
          </cell>
          <cell r="I80">
            <v>404603.66666666669</v>
          </cell>
          <cell r="J80">
            <v>0.20099096954143206</v>
          </cell>
          <cell r="K80">
            <v>4.0894062260753907</v>
          </cell>
          <cell r="L80">
            <v>1946491.3333333333</v>
          </cell>
          <cell r="M80">
            <v>19.032171596335974</v>
          </cell>
        </row>
        <row r="81">
          <cell r="B81" t="str">
            <v>Municipal Libraries</v>
          </cell>
        </row>
        <row r="82">
          <cell r="A82" t="str">
            <v>NC0071</v>
          </cell>
          <cell r="B82" t="str">
            <v>Chapel Hill</v>
          </cell>
          <cell r="C82">
            <v>2117896</v>
          </cell>
          <cell r="D82">
            <v>0.70169784096387144</v>
          </cell>
          <cell r="E82">
            <v>35.385551025863798</v>
          </cell>
          <cell r="F82">
            <v>253616</v>
          </cell>
          <cell r="G82">
            <v>8.4027638578047834E-2</v>
          </cell>
          <cell r="H82">
            <v>4.2373855510258638</v>
          </cell>
          <cell r="I82">
            <v>544291</v>
          </cell>
          <cell r="J82">
            <v>0.18033360446219573</v>
          </cell>
          <cell r="K82">
            <v>9.0939484060683018</v>
          </cell>
          <cell r="L82">
            <v>2915803</v>
          </cell>
          <cell r="M82">
            <v>48.716884982957964</v>
          </cell>
        </row>
        <row r="83">
          <cell r="A83" t="str">
            <v>NC0110</v>
          </cell>
          <cell r="B83" t="str">
            <v>Clayton</v>
          </cell>
          <cell r="C83">
            <v>442445</v>
          </cell>
          <cell r="D83">
            <v>0.79697849061429915</v>
          </cell>
          <cell r="E83">
            <v>22.774746486848201</v>
          </cell>
          <cell r="F83">
            <v>41099</v>
          </cell>
          <cell r="G83">
            <v>7.4031843473781098E-2</v>
          </cell>
          <cell r="H83">
            <v>2.1155608174190559</v>
          </cell>
          <cell r="I83">
            <v>43189</v>
          </cell>
          <cell r="J83">
            <v>7.7796571395633271E-2</v>
          </cell>
          <cell r="K83">
            <v>2.2231430483347916</v>
          </cell>
          <cell r="L83">
            <v>526733</v>
          </cell>
          <cell r="M83">
            <v>27.113450352602047</v>
          </cell>
        </row>
        <row r="84">
          <cell r="A84" t="str">
            <v>NC0075</v>
          </cell>
          <cell r="B84" t="str">
            <v>Farmville</v>
          </cell>
          <cell r="C84">
            <v>239251</v>
          </cell>
          <cell r="D84">
            <v>0.69210497387802805</v>
          </cell>
          <cell r="E84">
            <v>51.231477516059954</v>
          </cell>
          <cell r="F84">
            <v>33322</v>
          </cell>
          <cell r="G84">
            <v>9.639383718171983E-2</v>
          </cell>
          <cell r="H84">
            <v>7.1353319057815847</v>
          </cell>
          <cell r="I84">
            <v>73185</v>
          </cell>
          <cell r="J84">
            <v>0.21170947044427602</v>
          </cell>
          <cell r="K84">
            <v>15.671306209850107</v>
          </cell>
          <cell r="L84">
            <v>345758</v>
          </cell>
          <cell r="M84">
            <v>74.038115631691653</v>
          </cell>
          <cell r="N84">
            <v>0.69210497387802805</v>
          </cell>
          <cell r="O84">
            <v>0.1030343640624628</v>
          </cell>
          <cell r="P84">
            <v>0.19035872401750126</v>
          </cell>
        </row>
      </sheetData>
      <sheetData sheetId="7">
        <row r="4">
          <cell r="C4" t="str">
            <v>Print collections</v>
          </cell>
          <cell r="I4" t="str">
            <v>Non print collections</v>
          </cell>
        </row>
        <row r="5">
          <cell r="C5" t="str">
            <v>Adult</v>
          </cell>
          <cell r="D5" t="str">
            <v>Young adult</v>
          </cell>
          <cell r="E5" t="str">
            <v>Juvenile</v>
          </cell>
          <cell r="F5" t="str">
            <v>Total Book</v>
          </cell>
          <cell r="G5" t="str">
            <v>Print Serial</v>
          </cell>
          <cell r="H5" t="str">
            <v>Total</v>
          </cell>
          <cell r="I5" t="str">
            <v>Audio &amp;</v>
          </cell>
          <cell r="J5" t="str">
            <v>Video &amp;</v>
          </cell>
          <cell r="L5" t="str">
            <v>ePeriodical</v>
          </cell>
        </row>
        <row r="6">
          <cell r="C6" t="str">
            <v>Books</v>
          </cell>
          <cell r="D6" t="str">
            <v>Books</v>
          </cell>
          <cell r="E6" t="str">
            <v>Books</v>
          </cell>
          <cell r="F6" t="str">
            <v>Volumes</v>
          </cell>
          <cell r="G6" t="str">
            <v>Subscriptions</v>
          </cell>
          <cell r="H6" t="str">
            <v>Databases</v>
          </cell>
          <cell r="I6" t="str">
            <v>eAudio</v>
          </cell>
          <cell r="J6" t="str">
            <v>eVideo</v>
          </cell>
          <cell r="K6" t="str">
            <v>eBooks</v>
          </cell>
          <cell r="L6" t="str">
            <v>Subscriptions</v>
          </cell>
        </row>
        <row r="7">
          <cell r="B7" t="str">
            <v>County Libraries</v>
          </cell>
        </row>
        <row r="8">
          <cell r="A8" t="str">
            <v>NC0103</v>
          </cell>
          <cell r="B8" t="str">
            <v>Alamance</v>
          </cell>
          <cell r="C8">
            <v>103220</v>
          </cell>
          <cell r="D8">
            <v>8970</v>
          </cell>
          <cell r="E8">
            <v>64592</v>
          </cell>
          <cell r="F8">
            <v>176782</v>
          </cell>
          <cell r="G8">
            <v>280</v>
          </cell>
          <cell r="H8">
            <v>93</v>
          </cell>
          <cell r="I8">
            <v>25049</v>
          </cell>
          <cell r="J8">
            <v>26966</v>
          </cell>
          <cell r="K8">
            <v>54688</v>
          </cell>
          <cell r="L8">
            <v>38</v>
          </cell>
        </row>
        <row r="9">
          <cell r="A9" t="str">
            <v>NC0016</v>
          </cell>
          <cell r="B9" t="str">
            <v>Alexander</v>
          </cell>
          <cell r="C9">
            <v>28657</v>
          </cell>
          <cell r="D9">
            <v>3876</v>
          </cell>
          <cell r="E9">
            <v>22164</v>
          </cell>
          <cell r="F9">
            <v>54697</v>
          </cell>
          <cell r="G9">
            <v>69</v>
          </cell>
          <cell r="H9">
            <v>89</v>
          </cell>
          <cell r="I9">
            <v>7935</v>
          </cell>
          <cell r="J9">
            <v>4617</v>
          </cell>
          <cell r="K9">
            <v>53094</v>
          </cell>
          <cell r="L9">
            <v>0</v>
          </cell>
        </row>
        <row r="10">
          <cell r="A10" t="str">
            <v>NC0017</v>
          </cell>
          <cell r="B10" t="str">
            <v>Bladen</v>
          </cell>
          <cell r="C10">
            <v>36348</v>
          </cell>
          <cell r="D10">
            <v>33</v>
          </cell>
          <cell r="E10">
            <v>15775</v>
          </cell>
          <cell r="F10">
            <v>52156</v>
          </cell>
          <cell r="G10">
            <v>38</v>
          </cell>
          <cell r="H10">
            <v>90</v>
          </cell>
          <cell r="I10">
            <v>7842</v>
          </cell>
          <cell r="J10">
            <v>2813</v>
          </cell>
          <cell r="K10">
            <v>52890</v>
          </cell>
          <cell r="L10">
            <v>0</v>
          </cell>
        </row>
        <row r="11">
          <cell r="A11" t="str">
            <v>NC0018</v>
          </cell>
          <cell r="B11" t="str">
            <v>Brunswick</v>
          </cell>
          <cell r="C11">
            <v>91169</v>
          </cell>
          <cell r="D11">
            <v>0</v>
          </cell>
          <cell r="E11">
            <v>43610</v>
          </cell>
          <cell r="F11">
            <v>156906</v>
          </cell>
          <cell r="G11">
            <v>130</v>
          </cell>
          <cell r="H11">
            <v>89</v>
          </cell>
          <cell r="I11">
            <v>9326</v>
          </cell>
          <cell r="J11">
            <v>6779</v>
          </cell>
          <cell r="K11">
            <v>55887</v>
          </cell>
          <cell r="L11">
            <v>0</v>
          </cell>
        </row>
        <row r="12">
          <cell r="A12" t="str">
            <v>NC0019</v>
          </cell>
          <cell r="B12" t="str">
            <v>Buncombe</v>
          </cell>
          <cell r="C12">
            <v>292067</v>
          </cell>
          <cell r="D12">
            <v>26319</v>
          </cell>
          <cell r="E12">
            <v>181846</v>
          </cell>
          <cell r="F12">
            <v>500232</v>
          </cell>
          <cell r="G12">
            <v>610</v>
          </cell>
          <cell r="H12">
            <v>96</v>
          </cell>
          <cell r="I12">
            <v>61847</v>
          </cell>
          <cell r="J12">
            <v>20700</v>
          </cell>
          <cell r="K12">
            <v>91017</v>
          </cell>
          <cell r="L12">
            <v>70</v>
          </cell>
        </row>
        <row r="13">
          <cell r="A13" t="str">
            <v>NC0020</v>
          </cell>
          <cell r="B13" t="str">
            <v>Burke</v>
          </cell>
          <cell r="C13">
            <v>74134</v>
          </cell>
          <cell r="D13">
            <v>9360</v>
          </cell>
          <cell r="E13">
            <v>42443</v>
          </cell>
          <cell r="F13">
            <v>125937</v>
          </cell>
          <cell r="G13">
            <v>90</v>
          </cell>
          <cell r="H13">
            <v>89</v>
          </cell>
          <cell r="I13">
            <v>10937</v>
          </cell>
          <cell r="J13">
            <v>2505</v>
          </cell>
          <cell r="K13">
            <v>79894</v>
          </cell>
          <cell r="L13">
            <v>0</v>
          </cell>
        </row>
        <row r="14">
          <cell r="A14" t="str">
            <v>NC0021</v>
          </cell>
          <cell r="B14" t="str">
            <v>Cabarrus</v>
          </cell>
          <cell r="C14">
            <v>112109</v>
          </cell>
          <cell r="D14">
            <v>0</v>
          </cell>
          <cell r="E14">
            <v>144008</v>
          </cell>
          <cell r="F14">
            <v>267533</v>
          </cell>
          <cell r="G14">
            <v>150</v>
          </cell>
          <cell r="H14">
            <v>96</v>
          </cell>
          <cell r="I14">
            <v>24003</v>
          </cell>
          <cell r="J14">
            <v>9436</v>
          </cell>
          <cell r="K14">
            <v>56773</v>
          </cell>
          <cell r="L14">
            <v>78</v>
          </cell>
        </row>
        <row r="15">
          <cell r="A15" t="str">
            <v>NC0022</v>
          </cell>
          <cell r="B15" t="str">
            <v>Caldwell</v>
          </cell>
          <cell r="C15">
            <v>72521</v>
          </cell>
          <cell r="D15">
            <v>8356</v>
          </cell>
          <cell r="E15">
            <v>32107</v>
          </cell>
          <cell r="F15">
            <v>112984</v>
          </cell>
          <cell r="G15">
            <v>131</v>
          </cell>
          <cell r="H15">
            <v>92</v>
          </cell>
          <cell r="I15">
            <v>25173</v>
          </cell>
          <cell r="J15">
            <v>12319</v>
          </cell>
          <cell r="K15">
            <v>89278</v>
          </cell>
          <cell r="L15">
            <v>32</v>
          </cell>
        </row>
        <row r="16">
          <cell r="A16" t="str">
            <v>NC0107</v>
          </cell>
          <cell r="B16" t="str">
            <v>Caswell</v>
          </cell>
          <cell r="C16">
            <v>21435</v>
          </cell>
          <cell r="D16">
            <v>1903</v>
          </cell>
          <cell r="E16">
            <v>14320</v>
          </cell>
          <cell r="F16">
            <v>37658</v>
          </cell>
          <cell r="G16">
            <v>31</v>
          </cell>
          <cell r="H16">
            <v>90</v>
          </cell>
          <cell r="I16">
            <v>7687</v>
          </cell>
          <cell r="J16">
            <v>2779</v>
          </cell>
          <cell r="K16">
            <v>79120</v>
          </cell>
          <cell r="L16">
            <v>-1</v>
          </cell>
        </row>
        <row r="17">
          <cell r="A17" t="str">
            <v>NC0023</v>
          </cell>
          <cell r="B17" t="str">
            <v>Catawba</v>
          </cell>
          <cell r="C17">
            <v>81183</v>
          </cell>
          <cell r="D17">
            <v>11192</v>
          </cell>
          <cell r="E17">
            <v>61944</v>
          </cell>
          <cell r="F17">
            <v>154319</v>
          </cell>
          <cell r="G17">
            <v>239</v>
          </cell>
          <cell r="H17">
            <v>97</v>
          </cell>
          <cell r="I17">
            <v>27795</v>
          </cell>
          <cell r="J17">
            <v>22051</v>
          </cell>
          <cell r="K17">
            <v>89298</v>
          </cell>
          <cell r="L17">
            <v>12</v>
          </cell>
        </row>
        <row r="18">
          <cell r="A18" t="str">
            <v>NC0104</v>
          </cell>
          <cell r="B18" t="str">
            <v>Chatham</v>
          </cell>
          <cell r="C18">
            <v>54587</v>
          </cell>
          <cell r="D18">
            <v>5155</v>
          </cell>
          <cell r="E18">
            <v>20347</v>
          </cell>
          <cell r="F18">
            <v>80089</v>
          </cell>
          <cell r="G18">
            <v>265</v>
          </cell>
          <cell r="H18">
            <v>96</v>
          </cell>
          <cell r="I18">
            <v>11730</v>
          </cell>
          <cell r="J18">
            <v>6897</v>
          </cell>
          <cell r="K18">
            <v>79121</v>
          </cell>
          <cell r="L18">
            <v>-1</v>
          </cell>
        </row>
        <row r="19">
          <cell r="A19" t="str">
            <v>NC0024</v>
          </cell>
          <cell r="B19" t="str">
            <v>Cleveland</v>
          </cell>
          <cell r="C19">
            <v>58448</v>
          </cell>
          <cell r="D19">
            <v>3580</v>
          </cell>
          <cell r="E19">
            <v>33813</v>
          </cell>
          <cell r="F19">
            <v>95841</v>
          </cell>
          <cell r="G19">
            <v>88</v>
          </cell>
          <cell r="H19">
            <v>90</v>
          </cell>
          <cell r="I19">
            <v>8610</v>
          </cell>
          <cell r="J19">
            <v>4052</v>
          </cell>
          <cell r="K19">
            <v>79121</v>
          </cell>
          <cell r="L19">
            <v>0</v>
          </cell>
        </row>
        <row r="20">
          <cell r="A20" t="str">
            <v>NC0025</v>
          </cell>
          <cell r="B20" t="str">
            <v>Columbus</v>
          </cell>
          <cell r="C20">
            <v>117652</v>
          </cell>
          <cell r="D20">
            <v>9876</v>
          </cell>
          <cell r="E20">
            <v>51563</v>
          </cell>
          <cell r="F20">
            <v>179091</v>
          </cell>
          <cell r="G20">
            <v>351</v>
          </cell>
          <cell r="H20">
            <v>88</v>
          </cell>
          <cell r="I20">
            <v>8837</v>
          </cell>
          <cell r="J20">
            <v>6335</v>
          </cell>
          <cell r="K20">
            <v>79307</v>
          </cell>
          <cell r="L20">
            <v>0</v>
          </cell>
        </row>
        <row r="21">
          <cell r="A21" t="str">
            <v>NC0026</v>
          </cell>
          <cell r="B21" t="str">
            <v>Cumberland</v>
          </cell>
          <cell r="C21">
            <v>245648</v>
          </cell>
          <cell r="D21">
            <v>35692</v>
          </cell>
          <cell r="E21">
            <v>192645</v>
          </cell>
          <cell r="F21">
            <v>473985</v>
          </cell>
          <cell r="G21">
            <v>716</v>
          </cell>
          <cell r="H21">
            <v>108</v>
          </cell>
          <cell r="I21">
            <v>54337</v>
          </cell>
          <cell r="J21">
            <v>32014</v>
          </cell>
          <cell r="K21">
            <v>90362</v>
          </cell>
          <cell r="L21">
            <v>134</v>
          </cell>
        </row>
        <row r="22">
          <cell r="A22" t="str">
            <v>NC0027</v>
          </cell>
          <cell r="B22" t="str">
            <v>Davidson</v>
          </cell>
          <cell r="C22">
            <v>203335</v>
          </cell>
          <cell r="D22">
            <v>22890</v>
          </cell>
          <cell r="E22">
            <v>86052</v>
          </cell>
          <cell r="F22">
            <v>312277</v>
          </cell>
          <cell r="G22">
            <v>1618</v>
          </cell>
          <cell r="H22">
            <v>110</v>
          </cell>
          <cell r="I22">
            <v>40790</v>
          </cell>
          <cell r="J22">
            <v>18370</v>
          </cell>
          <cell r="K22">
            <v>111078</v>
          </cell>
          <cell r="L22">
            <v>99</v>
          </cell>
        </row>
        <row r="23">
          <cell r="A23" t="str">
            <v>NC0028</v>
          </cell>
          <cell r="B23" t="str">
            <v>Davie</v>
          </cell>
          <cell r="C23">
            <v>41611</v>
          </cell>
          <cell r="D23">
            <v>3564</v>
          </cell>
          <cell r="E23">
            <v>26234</v>
          </cell>
          <cell r="F23">
            <v>71409</v>
          </cell>
          <cell r="G23">
            <v>87</v>
          </cell>
          <cell r="H23">
            <v>93</v>
          </cell>
          <cell r="I23">
            <v>10914</v>
          </cell>
          <cell r="J23">
            <v>3016</v>
          </cell>
          <cell r="K23">
            <v>79366</v>
          </cell>
          <cell r="L23">
            <v>0</v>
          </cell>
        </row>
        <row r="24">
          <cell r="A24" t="str">
            <v>NC0029</v>
          </cell>
          <cell r="B24" t="str">
            <v>Duplin</v>
          </cell>
          <cell r="C24">
            <v>46839</v>
          </cell>
          <cell r="D24">
            <v>1140</v>
          </cell>
          <cell r="E24">
            <v>32842</v>
          </cell>
          <cell r="F24">
            <v>80821</v>
          </cell>
          <cell r="G24">
            <v>44</v>
          </cell>
          <cell r="H24">
            <v>88</v>
          </cell>
          <cell r="I24">
            <v>9288</v>
          </cell>
          <cell r="J24">
            <v>5481</v>
          </cell>
          <cell r="K24">
            <v>79121</v>
          </cell>
          <cell r="L24">
            <v>-1</v>
          </cell>
        </row>
        <row r="25">
          <cell r="A25" t="str">
            <v>NC0030</v>
          </cell>
          <cell r="B25" t="str">
            <v>Durham</v>
          </cell>
          <cell r="C25">
            <v>290732</v>
          </cell>
          <cell r="D25">
            <v>25851</v>
          </cell>
          <cell r="E25">
            <v>222383</v>
          </cell>
          <cell r="F25">
            <v>538966</v>
          </cell>
          <cell r="G25">
            <v>432</v>
          </cell>
          <cell r="H25">
            <v>109</v>
          </cell>
          <cell r="I25">
            <v>55227</v>
          </cell>
          <cell r="J25">
            <v>49253</v>
          </cell>
          <cell r="K25">
            <v>67674</v>
          </cell>
          <cell r="L25">
            <v>115</v>
          </cell>
        </row>
        <row r="26">
          <cell r="A26" t="str">
            <v>NC0031</v>
          </cell>
          <cell r="B26" t="str">
            <v>Edgecombe</v>
          </cell>
          <cell r="C26">
            <v>71537</v>
          </cell>
          <cell r="D26">
            <v>2595</v>
          </cell>
          <cell r="E26">
            <v>29605</v>
          </cell>
          <cell r="F26">
            <v>103737</v>
          </cell>
          <cell r="G26">
            <v>100</v>
          </cell>
          <cell r="H26">
            <v>89</v>
          </cell>
          <cell r="I26">
            <v>6551</v>
          </cell>
          <cell r="J26">
            <v>1022</v>
          </cell>
          <cell r="K26">
            <v>52882</v>
          </cell>
          <cell r="L26">
            <v>0</v>
          </cell>
        </row>
        <row r="27">
          <cell r="A27" t="str">
            <v>NC0032</v>
          </cell>
          <cell r="B27" t="str">
            <v>Forsyth</v>
          </cell>
          <cell r="C27">
            <v>366660</v>
          </cell>
          <cell r="D27">
            <v>19951</v>
          </cell>
          <cell r="E27">
            <v>211199</v>
          </cell>
          <cell r="F27">
            <v>597810</v>
          </cell>
          <cell r="G27">
            <v>1528</v>
          </cell>
          <cell r="H27">
            <v>116</v>
          </cell>
          <cell r="I27">
            <v>56702</v>
          </cell>
          <cell r="J27">
            <v>31632</v>
          </cell>
          <cell r="K27">
            <v>120872</v>
          </cell>
          <cell r="L27">
            <v>11</v>
          </cell>
        </row>
        <row r="28">
          <cell r="A28" t="str">
            <v>NC0033</v>
          </cell>
          <cell r="B28" t="str">
            <v>Franklin</v>
          </cell>
          <cell r="C28">
            <v>59731</v>
          </cell>
          <cell r="D28">
            <v>3770</v>
          </cell>
          <cell r="E28">
            <v>39192</v>
          </cell>
          <cell r="F28">
            <v>102693</v>
          </cell>
          <cell r="G28">
            <v>108</v>
          </cell>
          <cell r="H28">
            <v>90</v>
          </cell>
          <cell r="I28">
            <v>8477</v>
          </cell>
          <cell r="J28">
            <v>4662</v>
          </cell>
          <cell r="K28">
            <v>79121</v>
          </cell>
          <cell r="L28">
            <v>42</v>
          </cell>
        </row>
        <row r="29">
          <cell r="A29" t="str">
            <v>NC0105</v>
          </cell>
          <cell r="B29" t="str">
            <v>Gaston</v>
          </cell>
          <cell r="C29">
            <v>254356</v>
          </cell>
          <cell r="D29">
            <v>20972</v>
          </cell>
          <cell r="E29">
            <v>143019</v>
          </cell>
          <cell r="F29">
            <v>418347</v>
          </cell>
          <cell r="G29">
            <v>303</v>
          </cell>
          <cell r="H29">
            <v>98</v>
          </cell>
          <cell r="I29">
            <v>39311</v>
          </cell>
          <cell r="J29">
            <v>26894</v>
          </cell>
          <cell r="K29">
            <v>90447</v>
          </cell>
          <cell r="L29">
            <v>158</v>
          </cell>
        </row>
        <row r="30">
          <cell r="A30" t="str">
            <v>NC0034</v>
          </cell>
          <cell r="B30" t="str">
            <v>Granville</v>
          </cell>
          <cell r="C30">
            <v>74187</v>
          </cell>
          <cell r="D30">
            <v>7715</v>
          </cell>
          <cell r="E30">
            <v>38181</v>
          </cell>
          <cell r="F30">
            <v>120083</v>
          </cell>
          <cell r="G30">
            <v>175</v>
          </cell>
          <cell r="H30">
            <v>93</v>
          </cell>
          <cell r="I30">
            <v>15664</v>
          </cell>
          <cell r="J30">
            <v>6386</v>
          </cell>
          <cell r="K30">
            <v>79131</v>
          </cell>
          <cell r="L30">
            <v>10</v>
          </cell>
        </row>
        <row r="31">
          <cell r="A31" t="str">
            <v>NC0035</v>
          </cell>
          <cell r="B31" t="str">
            <v>Guilford (Greensboro)</v>
          </cell>
          <cell r="C31">
            <v>286041</v>
          </cell>
          <cell r="D31">
            <v>31528</v>
          </cell>
          <cell r="E31">
            <v>206243</v>
          </cell>
          <cell r="F31">
            <v>523812</v>
          </cell>
          <cell r="G31">
            <v>704</v>
          </cell>
          <cell r="H31">
            <v>102</v>
          </cell>
          <cell r="I31">
            <v>51613</v>
          </cell>
          <cell r="J31">
            <v>61743</v>
          </cell>
          <cell r="K31">
            <v>128512</v>
          </cell>
          <cell r="L31">
            <v>12</v>
          </cell>
        </row>
        <row r="32">
          <cell r="A32" t="str">
            <v>NC0036</v>
          </cell>
          <cell r="B32" t="str">
            <v>Halifax</v>
          </cell>
          <cell r="C32">
            <v>68115</v>
          </cell>
          <cell r="D32">
            <v>694</v>
          </cell>
          <cell r="E32">
            <v>26396</v>
          </cell>
          <cell r="F32">
            <v>95205</v>
          </cell>
          <cell r="G32">
            <v>14</v>
          </cell>
          <cell r="H32">
            <v>89</v>
          </cell>
          <cell r="I32">
            <v>6195</v>
          </cell>
          <cell r="J32">
            <v>393</v>
          </cell>
          <cell r="K32">
            <v>52685</v>
          </cell>
          <cell r="L32">
            <v>0</v>
          </cell>
        </row>
        <row r="33">
          <cell r="A33" t="str">
            <v>NC0037</v>
          </cell>
          <cell r="B33" t="str">
            <v>Harnett</v>
          </cell>
          <cell r="C33">
            <v>93511</v>
          </cell>
          <cell r="D33">
            <v>5798</v>
          </cell>
          <cell r="E33">
            <v>82884</v>
          </cell>
          <cell r="F33">
            <v>182193</v>
          </cell>
          <cell r="G33">
            <v>123</v>
          </cell>
          <cell r="H33">
            <v>88</v>
          </cell>
          <cell r="I33">
            <v>12083</v>
          </cell>
          <cell r="J33">
            <v>10567</v>
          </cell>
          <cell r="K33">
            <v>79332</v>
          </cell>
          <cell r="L33">
            <v>0</v>
          </cell>
        </row>
        <row r="34">
          <cell r="A34" t="str">
            <v>NC0038</v>
          </cell>
          <cell r="B34" t="str">
            <v>Haywood</v>
          </cell>
          <cell r="C34">
            <v>91197</v>
          </cell>
          <cell r="D34">
            <v>4357</v>
          </cell>
          <cell r="E34">
            <v>34732</v>
          </cell>
          <cell r="F34">
            <v>130286</v>
          </cell>
          <cell r="G34">
            <v>227</v>
          </cell>
          <cell r="H34">
            <v>95</v>
          </cell>
          <cell r="I34">
            <v>30470</v>
          </cell>
          <cell r="J34">
            <v>7441</v>
          </cell>
          <cell r="K34">
            <v>89428</v>
          </cell>
          <cell r="L34">
            <v>47</v>
          </cell>
        </row>
        <row r="35">
          <cell r="A35" t="str">
            <v>NC0039</v>
          </cell>
          <cell r="B35" t="str">
            <v>Henderson</v>
          </cell>
          <cell r="C35">
            <v>164143</v>
          </cell>
          <cell r="D35">
            <v>14258</v>
          </cell>
          <cell r="E35">
            <v>77329</v>
          </cell>
          <cell r="F35">
            <v>255730</v>
          </cell>
          <cell r="G35">
            <v>314</v>
          </cell>
          <cell r="H35">
            <v>97</v>
          </cell>
          <cell r="I35">
            <v>33321</v>
          </cell>
          <cell r="J35">
            <v>18581</v>
          </cell>
          <cell r="K35">
            <v>91431</v>
          </cell>
          <cell r="L35">
            <v>85</v>
          </cell>
        </row>
        <row r="36">
          <cell r="A36" t="str">
            <v>NC0040</v>
          </cell>
          <cell r="B36" t="str">
            <v>Iredell</v>
          </cell>
          <cell r="C36">
            <v>144172</v>
          </cell>
          <cell r="D36">
            <v>13472</v>
          </cell>
          <cell r="E36">
            <v>67757</v>
          </cell>
          <cell r="F36">
            <v>225401</v>
          </cell>
          <cell r="G36">
            <v>91</v>
          </cell>
          <cell r="H36">
            <v>94</v>
          </cell>
          <cell r="I36">
            <v>15079</v>
          </cell>
          <cell r="J36">
            <v>668</v>
          </cell>
          <cell r="K36">
            <v>63918</v>
          </cell>
          <cell r="L36">
            <v>100</v>
          </cell>
        </row>
        <row r="37">
          <cell r="A37" t="str">
            <v>NC0041</v>
          </cell>
          <cell r="B37" t="str">
            <v>Johnston</v>
          </cell>
          <cell r="C37">
            <v>145829</v>
          </cell>
          <cell r="D37">
            <v>11405</v>
          </cell>
          <cell r="E37">
            <v>80312</v>
          </cell>
          <cell r="F37">
            <v>237546</v>
          </cell>
          <cell r="G37">
            <v>50</v>
          </cell>
          <cell r="H37">
            <v>88</v>
          </cell>
          <cell r="I37">
            <v>12560</v>
          </cell>
          <cell r="J37">
            <v>6491</v>
          </cell>
          <cell r="K37">
            <v>53282</v>
          </cell>
          <cell r="L37">
            <v>0</v>
          </cell>
        </row>
        <row r="38">
          <cell r="A38" t="str">
            <v>NC0042</v>
          </cell>
          <cell r="B38" t="str">
            <v>Lee</v>
          </cell>
          <cell r="C38">
            <v>79640</v>
          </cell>
          <cell r="D38">
            <v>1618</v>
          </cell>
          <cell r="E38">
            <v>39750</v>
          </cell>
          <cell r="F38">
            <v>121008</v>
          </cell>
          <cell r="G38">
            <v>95</v>
          </cell>
          <cell r="H38">
            <v>88</v>
          </cell>
          <cell r="I38">
            <v>10114</v>
          </cell>
          <cell r="J38">
            <v>5345</v>
          </cell>
          <cell r="K38">
            <v>79121</v>
          </cell>
          <cell r="L38">
            <v>0</v>
          </cell>
        </row>
        <row r="39">
          <cell r="A39" t="str">
            <v>NC0106</v>
          </cell>
          <cell r="B39" t="str">
            <v>Lincoln</v>
          </cell>
          <cell r="C39">
            <v>72983</v>
          </cell>
          <cell r="D39">
            <v>5979</v>
          </cell>
          <cell r="E39">
            <v>39765</v>
          </cell>
          <cell r="F39">
            <v>118727</v>
          </cell>
          <cell r="G39">
            <v>165</v>
          </cell>
          <cell r="H39">
            <v>94</v>
          </cell>
          <cell r="I39">
            <v>26587</v>
          </cell>
          <cell r="J39">
            <v>14275</v>
          </cell>
          <cell r="K39">
            <v>92590</v>
          </cell>
          <cell r="L39">
            <v>210</v>
          </cell>
        </row>
        <row r="40">
          <cell r="A40" t="str">
            <v>NC0043</v>
          </cell>
          <cell r="B40" t="str">
            <v>Madison</v>
          </cell>
          <cell r="C40">
            <v>34800</v>
          </cell>
          <cell r="D40">
            <v>1938</v>
          </cell>
          <cell r="E40">
            <v>16071</v>
          </cell>
          <cell r="F40">
            <v>52809</v>
          </cell>
          <cell r="G40">
            <v>112</v>
          </cell>
          <cell r="H40">
            <v>89</v>
          </cell>
          <cell r="I40">
            <v>10106</v>
          </cell>
          <cell r="J40">
            <v>6674</v>
          </cell>
          <cell r="K40">
            <v>79182</v>
          </cell>
          <cell r="L40">
            <v>42</v>
          </cell>
        </row>
        <row r="41">
          <cell r="A41" t="str">
            <v>NC0044</v>
          </cell>
          <cell r="B41" t="str">
            <v>McDowell</v>
          </cell>
          <cell r="C41">
            <v>61737</v>
          </cell>
          <cell r="D41">
            <v>3835</v>
          </cell>
          <cell r="E41">
            <v>22208</v>
          </cell>
          <cell r="F41">
            <v>87780</v>
          </cell>
          <cell r="G41">
            <v>122</v>
          </cell>
          <cell r="H41">
            <v>92</v>
          </cell>
          <cell r="I41">
            <v>12367</v>
          </cell>
          <cell r="J41">
            <v>7642</v>
          </cell>
          <cell r="K41">
            <v>79183</v>
          </cell>
          <cell r="L41">
            <v>0</v>
          </cell>
        </row>
        <row r="42">
          <cell r="A42" t="str">
            <v>NC0045</v>
          </cell>
          <cell r="B42" t="str">
            <v>Mecklenburg</v>
          </cell>
          <cell r="C42">
            <v>467246</v>
          </cell>
          <cell r="D42">
            <v>63321</v>
          </cell>
          <cell r="E42">
            <v>356799</v>
          </cell>
          <cell r="F42">
            <v>887366</v>
          </cell>
          <cell r="G42">
            <v>1858</v>
          </cell>
          <cell r="H42">
            <v>113</v>
          </cell>
          <cell r="I42">
            <v>72848</v>
          </cell>
          <cell r="J42">
            <v>31869</v>
          </cell>
          <cell r="K42">
            <v>90476</v>
          </cell>
          <cell r="L42">
            <v>194</v>
          </cell>
        </row>
        <row r="43">
          <cell r="A43" t="str">
            <v>NC0046</v>
          </cell>
          <cell r="B43" t="str">
            <v>Nash (Braswell)</v>
          </cell>
          <cell r="C43">
            <v>42637</v>
          </cell>
          <cell r="D43">
            <v>5404</v>
          </cell>
          <cell r="E43">
            <v>41943</v>
          </cell>
          <cell r="F43">
            <v>89984</v>
          </cell>
          <cell r="G43">
            <v>81</v>
          </cell>
          <cell r="H43">
            <v>91</v>
          </cell>
          <cell r="I43">
            <v>10104</v>
          </cell>
          <cell r="J43">
            <v>2974</v>
          </cell>
          <cell r="K43">
            <v>79121</v>
          </cell>
          <cell r="L43">
            <v>0</v>
          </cell>
        </row>
        <row r="44">
          <cell r="A44" t="str">
            <v>NC0047</v>
          </cell>
          <cell r="B44" t="str">
            <v>New Hanover</v>
          </cell>
          <cell r="C44">
            <v>237586</v>
          </cell>
          <cell r="D44">
            <v>13482</v>
          </cell>
          <cell r="E44">
            <v>113693</v>
          </cell>
          <cell r="F44">
            <v>364761</v>
          </cell>
          <cell r="G44">
            <v>447</v>
          </cell>
          <cell r="H44">
            <v>133</v>
          </cell>
          <cell r="I44">
            <v>35448</v>
          </cell>
          <cell r="J44">
            <v>27731</v>
          </cell>
          <cell r="K44">
            <v>92033</v>
          </cell>
          <cell r="L44">
            <v>74</v>
          </cell>
        </row>
        <row r="45">
          <cell r="A45" t="str">
            <v>NC0048</v>
          </cell>
          <cell r="B45" t="str">
            <v>Onslow</v>
          </cell>
          <cell r="C45">
            <v>61011</v>
          </cell>
          <cell r="D45">
            <v>7409</v>
          </cell>
          <cell r="E45">
            <v>39207</v>
          </cell>
          <cell r="F45">
            <v>107627</v>
          </cell>
          <cell r="G45">
            <v>78</v>
          </cell>
          <cell r="H45">
            <v>96</v>
          </cell>
          <cell r="I45">
            <v>27400</v>
          </cell>
          <cell r="J45">
            <v>10921</v>
          </cell>
          <cell r="K45">
            <v>90152</v>
          </cell>
          <cell r="L45">
            <v>85</v>
          </cell>
        </row>
        <row r="46">
          <cell r="A46" t="str">
            <v>NC0108</v>
          </cell>
          <cell r="B46" t="str">
            <v>Orange</v>
          </cell>
          <cell r="C46">
            <v>47173</v>
          </cell>
          <cell r="D46">
            <v>6079</v>
          </cell>
          <cell r="E46">
            <v>41548</v>
          </cell>
          <cell r="F46">
            <v>94800</v>
          </cell>
          <cell r="G46">
            <v>203</v>
          </cell>
          <cell r="H46">
            <v>97</v>
          </cell>
          <cell r="I46">
            <v>12311</v>
          </cell>
          <cell r="J46">
            <v>8298</v>
          </cell>
          <cell r="K46">
            <v>53729</v>
          </cell>
          <cell r="L46">
            <v>0</v>
          </cell>
        </row>
        <row r="47">
          <cell r="A47" t="str">
            <v>NC0049</v>
          </cell>
          <cell r="B47" t="str">
            <v>Pender</v>
          </cell>
          <cell r="C47">
            <v>66128</v>
          </cell>
          <cell r="D47">
            <v>3673</v>
          </cell>
          <cell r="E47">
            <v>39554</v>
          </cell>
          <cell r="F47">
            <v>109355</v>
          </cell>
          <cell r="G47">
            <v>116</v>
          </cell>
          <cell r="H47">
            <v>91</v>
          </cell>
          <cell r="I47">
            <v>10033</v>
          </cell>
          <cell r="J47">
            <v>3161</v>
          </cell>
          <cell r="K47">
            <v>79155</v>
          </cell>
          <cell r="L47">
            <v>118</v>
          </cell>
        </row>
        <row r="48">
          <cell r="A48" t="str">
            <v>NC0109</v>
          </cell>
          <cell r="B48" t="str">
            <v>Person</v>
          </cell>
          <cell r="C48">
            <v>37437</v>
          </cell>
          <cell r="D48">
            <v>3229</v>
          </cell>
          <cell r="E48">
            <v>27369</v>
          </cell>
          <cell r="F48">
            <v>68035</v>
          </cell>
          <cell r="G48">
            <v>99</v>
          </cell>
          <cell r="H48">
            <v>96</v>
          </cell>
          <cell r="I48">
            <v>14036</v>
          </cell>
          <cell r="J48">
            <v>2443</v>
          </cell>
          <cell r="K48">
            <v>79203</v>
          </cell>
          <cell r="L48">
            <v>50</v>
          </cell>
        </row>
        <row r="49">
          <cell r="A49" t="str">
            <v>NC0050</v>
          </cell>
          <cell r="B49" t="str">
            <v>Pitt (Sheppard)</v>
          </cell>
          <cell r="C49">
            <v>123941</v>
          </cell>
          <cell r="D49">
            <v>10395</v>
          </cell>
          <cell r="E49">
            <v>70910</v>
          </cell>
          <cell r="F49">
            <v>205246</v>
          </cell>
          <cell r="G49">
            <v>194</v>
          </cell>
          <cell r="H49">
            <v>101</v>
          </cell>
          <cell r="I49">
            <v>14970</v>
          </cell>
          <cell r="J49">
            <v>11237</v>
          </cell>
          <cell r="K49">
            <v>55224</v>
          </cell>
          <cell r="L49">
            <v>0</v>
          </cell>
        </row>
        <row r="50">
          <cell r="A50" t="str">
            <v>NC0051</v>
          </cell>
          <cell r="B50" t="str">
            <v>Polk</v>
          </cell>
          <cell r="C50">
            <v>27767</v>
          </cell>
          <cell r="D50">
            <v>2694</v>
          </cell>
          <cell r="E50">
            <v>11346</v>
          </cell>
          <cell r="F50">
            <v>41807</v>
          </cell>
          <cell r="G50">
            <v>144</v>
          </cell>
          <cell r="H50">
            <v>89</v>
          </cell>
          <cell r="I50">
            <v>21285</v>
          </cell>
          <cell r="J50">
            <v>7769</v>
          </cell>
          <cell r="K50">
            <v>89278</v>
          </cell>
          <cell r="L50">
            <v>12</v>
          </cell>
        </row>
        <row r="51">
          <cell r="A51" t="str">
            <v>NC0052</v>
          </cell>
          <cell r="B51" t="str">
            <v>Randolph</v>
          </cell>
          <cell r="C51">
            <v>154701</v>
          </cell>
          <cell r="D51">
            <v>15199</v>
          </cell>
          <cell r="E51">
            <v>85566</v>
          </cell>
          <cell r="F51">
            <v>255466</v>
          </cell>
          <cell r="G51">
            <v>280</v>
          </cell>
          <cell r="H51">
            <v>96</v>
          </cell>
          <cell r="I51">
            <v>22712</v>
          </cell>
          <cell r="J51">
            <v>23857</v>
          </cell>
          <cell r="K51">
            <v>81432</v>
          </cell>
          <cell r="L51">
            <v>60</v>
          </cell>
        </row>
        <row r="52">
          <cell r="A52" t="str">
            <v>NC0053</v>
          </cell>
          <cell r="B52" t="str">
            <v>Robeson</v>
          </cell>
          <cell r="C52">
            <v>85004</v>
          </cell>
          <cell r="D52">
            <v>5037</v>
          </cell>
          <cell r="E52">
            <v>31839</v>
          </cell>
          <cell r="F52">
            <v>121880</v>
          </cell>
          <cell r="G52">
            <v>114</v>
          </cell>
          <cell r="H52">
            <v>89</v>
          </cell>
          <cell r="I52">
            <v>5838</v>
          </cell>
          <cell r="J52">
            <v>5114</v>
          </cell>
          <cell r="K52">
            <v>52685</v>
          </cell>
          <cell r="L52">
            <v>-1</v>
          </cell>
        </row>
        <row r="53">
          <cell r="A53" t="str">
            <v>NC0054</v>
          </cell>
          <cell r="B53" t="str">
            <v>Rockingham</v>
          </cell>
          <cell r="C53">
            <v>172419</v>
          </cell>
          <cell r="D53">
            <v>11245</v>
          </cell>
          <cell r="E53">
            <v>66689</v>
          </cell>
          <cell r="F53">
            <v>250353</v>
          </cell>
          <cell r="G53">
            <v>199</v>
          </cell>
          <cell r="H53">
            <v>91</v>
          </cell>
          <cell r="I53">
            <v>12986</v>
          </cell>
          <cell r="J53">
            <v>12756</v>
          </cell>
          <cell r="K53">
            <v>52684</v>
          </cell>
          <cell r="L53">
            <v>43</v>
          </cell>
        </row>
        <row r="54">
          <cell r="A54" t="str">
            <v>NC0055</v>
          </cell>
          <cell r="B54" t="str">
            <v>Rowan</v>
          </cell>
          <cell r="C54">
            <v>133922</v>
          </cell>
          <cell r="D54">
            <v>14305</v>
          </cell>
          <cell r="E54">
            <v>80039</v>
          </cell>
          <cell r="F54">
            <v>228266</v>
          </cell>
          <cell r="G54">
            <v>193</v>
          </cell>
          <cell r="H54">
            <v>95</v>
          </cell>
          <cell r="I54">
            <v>24129</v>
          </cell>
          <cell r="J54">
            <v>20086</v>
          </cell>
          <cell r="K54">
            <v>89539</v>
          </cell>
          <cell r="L54">
            <v>12</v>
          </cell>
        </row>
        <row r="55">
          <cell r="A55" t="str">
            <v>NC0056</v>
          </cell>
          <cell r="B55" t="str">
            <v>Rutherford</v>
          </cell>
          <cell r="C55">
            <v>53723</v>
          </cell>
          <cell r="D55">
            <v>2480</v>
          </cell>
          <cell r="E55">
            <v>23984</v>
          </cell>
          <cell r="F55">
            <v>80187</v>
          </cell>
          <cell r="G55">
            <v>53</v>
          </cell>
          <cell r="H55">
            <v>89</v>
          </cell>
          <cell r="I55">
            <v>22927</v>
          </cell>
          <cell r="J55">
            <v>11456</v>
          </cell>
          <cell r="K55">
            <v>89278</v>
          </cell>
          <cell r="L55">
            <v>12</v>
          </cell>
        </row>
        <row r="56">
          <cell r="A56" t="str">
            <v>NC0057</v>
          </cell>
          <cell r="B56" t="str">
            <v>Sampson</v>
          </cell>
          <cell r="C56">
            <v>45498</v>
          </cell>
          <cell r="D56">
            <v>2718</v>
          </cell>
          <cell r="E56">
            <v>30428</v>
          </cell>
          <cell r="F56">
            <v>78644</v>
          </cell>
          <cell r="G56">
            <v>106</v>
          </cell>
          <cell r="H56">
            <v>91</v>
          </cell>
          <cell r="I56">
            <v>7612</v>
          </cell>
          <cell r="J56">
            <v>4613</v>
          </cell>
          <cell r="K56">
            <v>79131</v>
          </cell>
          <cell r="L56">
            <v>0</v>
          </cell>
        </row>
        <row r="57">
          <cell r="A57" t="str">
            <v>NC0058</v>
          </cell>
          <cell r="B57" t="str">
            <v>Scotland</v>
          </cell>
          <cell r="C57">
            <v>26096</v>
          </cell>
          <cell r="D57">
            <v>2718</v>
          </cell>
          <cell r="E57">
            <v>12920</v>
          </cell>
          <cell r="F57">
            <v>41734</v>
          </cell>
          <cell r="G57">
            <v>33</v>
          </cell>
          <cell r="H57">
            <v>94</v>
          </cell>
          <cell r="I57">
            <v>8854</v>
          </cell>
          <cell r="J57">
            <v>3411</v>
          </cell>
          <cell r="K57">
            <v>79121</v>
          </cell>
          <cell r="L57">
            <v>42</v>
          </cell>
        </row>
        <row r="58">
          <cell r="A58" t="str">
            <v>NC0059</v>
          </cell>
          <cell r="B58" t="str">
            <v>Stanly</v>
          </cell>
          <cell r="C58">
            <v>64314</v>
          </cell>
          <cell r="D58">
            <v>2994</v>
          </cell>
          <cell r="E58">
            <v>31594</v>
          </cell>
          <cell r="F58">
            <v>98902</v>
          </cell>
          <cell r="G58">
            <v>250</v>
          </cell>
          <cell r="H58">
            <v>89</v>
          </cell>
          <cell r="I58">
            <v>9604</v>
          </cell>
          <cell r="J58">
            <v>6534</v>
          </cell>
          <cell r="K58">
            <v>79121</v>
          </cell>
          <cell r="L58">
            <v>0</v>
          </cell>
        </row>
        <row r="59">
          <cell r="A59" t="str">
            <v>NC0060</v>
          </cell>
          <cell r="B59" t="str">
            <v>Transylvania</v>
          </cell>
          <cell r="C59">
            <v>78228</v>
          </cell>
          <cell r="D59">
            <v>7086</v>
          </cell>
          <cell r="E59">
            <v>37582</v>
          </cell>
          <cell r="F59">
            <v>122896</v>
          </cell>
          <cell r="G59">
            <v>126</v>
          </cell>
          <cell r="H59">
            <v>99</v>
          </cell>
          <cell r="I59">
            <v>25154</v>
          </cell>
          <cell r="J59">
            <v>8801</v>
          </cell>
          <cell r="K59">
            <v>91113</v>
          </cell>
          <cell r="L59">
            <v>66</v>
          </cell>
        </row>
        <row r="60">
          <cell r="A60" t="str">
            <v>NC0061</v>
          </cell>
          <cell r="B60" t="str">
            <v>Union</v>
          </cell>
          <cell r="C60">
            <v>89968</v>
          </cell>
          <cell r="D60">
            <v>10528</v>
          </cell>
          <cell r="E60">
            <v>63192</v>
          </cell>
          <cell r="F60">
            <v>163688</v>
          </cell>
          <cell r="G60">
            <v>217</v>
          </cell>
          <cell r="H60">
            <v>107</v>
          </cell>
          <cell r="I60">
            <v>14447</v>
          </cell>
          <cell r="J60">
            <v>11629</v>
          </cell>
          <cell r="K60">
            <v>59119</v>
          </cell>
          <cell r="L60">
            <v>34</v>
          </cell>
        </row>
        <row r="61">
          <cell r="A61" t="str">
            <v>NC0062</v>
          </cell>
          <cell r="B61" t="str">
            <v>Vance (Perry)</v>
          </cell>
          <cell r="C61">
            <v>54742</v>
          </cell>
          <cell r="D61">
            <v>3459</v>
          </cell>
          <cell r="E61">
            <v>26909</v>
          </cell>
          <cell r="F61">
            <v>85110</v>
          </cell>
          <cell r="G61">
            <v>31</v>
          </cell>
          <cell r="H61">
            <v>95</v>
          </cell>
          <cell r="I61">
            <v>9113</v>
          </cell>
          <cell r="J61">
            <v>1950</v>
          </cell>
          <cell r="K61">
            <v>79196</v>
          </cell>
          <cell r="L61">
            <v>15</v>
          </cell>
        </row>
        <row r="62">
          <cell r="A62" t="str">
            <v>NC0063</v>
          </cell>
          <cell r="B62" t="str">
            <v>Wake</v>
          </cell>
          <cell r="C62">
            <v>670040</v>
          </cell>
          <cell r="D62">
            <v>69590</v>
          </cell>
          <cell r="E62">
            <v>627396</v>
          </cell>
          <cell r="F62">
            <v>1367026</v>
          </cell>
          <cell r="G62">
            <v>1207</v>
          </cell>
          <cell r="H62">
            <v>95</v>
          </cell>
          <cell r="I62">
            <v>47725</v>
          </cell>
          <cell r="J62">
            <v>322</v>
          </cell>
          <cell r="K62">
            <v>85427</v>
          </cell>
          <cell r="L62">
            <v>0</v>
          </cell>
        </row>
        <row r="63">
          <cell r="A63" t="str">
            <v>NC0101</v>
          </cell>
          <cell r="B63" t="str">
            <v>Warren</v>
          </cell>
          <cell r="C63">
            <v>23185</v>
          </cell>
          <cell r="D63">
            <v>0</v>
          </cell>
          <cell r="E63">
            <v>8260</v>
          </cell>
          <cell r="F63">
            <v>31445</v>
          </cell>
          <cell r="G63">
            <v>132</v>
          </cell>
          <cell r="H63">
            <v>88</v>
          </cell>
          <cell r="I63">
            <v>6484</v>
          </cell>
          <cell r="J63">
            <v>3436</v>
          </cell>
          <cell r="K63">
            <v>52685</v>
          </cell>
          <cell r="L63">
            <v>0</v>
          </cell>
        </row>
        <row r="64">
          <cell r="A64" t="str">
            <v>NC0065</v>
          </cell>
          <cell r="B64" t="str">
            <v>Wayne</v>
          </cell>
          <cell r="C64">
            <v>74621</v>
          </cell>
          <cell r="D64">
            <v>6963</v>
          </cell>
          <cell r="E64">
            <v>51039</v>
          </cell>
          <cell r="F64">
            <v>132623</v>
          </cell>
          <cell r="G64">
            <v>213</v>
          </cell>
          <cell r="H64">
            <v>95</v>
          </cell>
          <cell r="I64">
            <v>11887</v>
          </cell>
          <cell r="J64">
            <v>6085</v>
          </cell>
          <cell r="K64">
            <v>79530</v>
          </cell>
          <cell r="L64">
            <v>35</v>
          </cell>
        </row>
        <row r="65">
          <cell r="A65" t="str">
            <v>NC0066</v>
          </cell>
          <cell r="B65" t="str">
            <v>Wilson</v>
          </cell>
          <cell r="C65">
            <v>114145</v>
          </cell>
          <cell r="D65">
            <v>10145</v>
          </cell>
          <cell r="E65">
            <v>70524</v>
          </cell>
          <cell r="F65">
            <v>194814</v>
          </cell>
          <cell r="G65">
            <v>154</v>
          </cell>
          <cell r="H65">
            <v>90</v>
          </cell>
          <cell r="I65">
            <v>8137</v>
          </cell>
          <cell r="J65">
            <v>5994</v>
          </cell>
          <cell r="K65">
            <v>53656</v>
          </cell>
          <cell r="L65">
            <v>0</v>
          </cell>
        </row>
        <row r="66">
          <cell r="A66" t="str">
            <v>Mean average</v>
          </cell>
          <cell r="C66">
            <v>120549.41379310345</v>
          </cell>
          <cell r="D66">
            <v>10479.224137931034</v>
          </cell>
          <cell r="E66">
            <v>76442.431034482754</v>
          </cell>
          <cell r="F66">
            <v>208049.39655172414</v>
          </cell>
          <cell r="G66">
            <v>278.06896551724139</v>
          </cell>
          <cell r="H66">
            <v>95.08620689655173</v>
          </cell>
          <cell r="I66">
            <v>20871.913793103449</v>
          </cell>
          <cell r="J66">
            <v>11711.137931034482</v>
          </cell>
          <cell r="K66">
            <v>77418.862068965522</v>
          </cell>
          <cell r="L66">
            <v>36.948275862068968</v>
          </cell>
        </row>
        <row r="67">
          <cell r="A67" t="str">
            <v>Regional Libraries</v>
          </cell>
        </row>
        <row r="68">
          <cell r="A68" t="str">
            <v>NC0001</v>
          </cell>
          <cell r="B68" t="str">
            <v>Albemarle</v>
          </cell>
          <cell r="C68">
            <v>99345</v>
          </cell>
          <cell r="D68">
            <v>6373</v>
          </cell>
          <cell r="E68">
            <v>60772</v>
          </cell>
          <cell r="F68">
            <v>166490</v>
          </cell>
          <cell r="G68">
            <v>119</v>
          </cell>
          <cell r="H68">
            <v>92</v>
          </cell>
          <cell r="I68">
            <v>12545</v>
          </cell>
          <cell r="J68">
            <v>12876</v>
          </cell>
          <cell r="K68">
            <v>52685</v>
          </cell>
          <cell r="L68">
            <v>0</v>
          </cell>
        </row>
        <row r="69">
          <cell r="A69" t="str">
            <v>NC0003</v>
          </cell>
          <cell r="B69" t="str">
            <v>AMY</v>
          </cell>
          <cell r="C69">
            <v>125492</v>
          </cell>
          <cell r="D69">
            <v>2239</v>
          </cell>
          <cell r="E69">
            <v>33123</v>
          </cell>
          <cell r="F69">
            <v>160854</v>
          </cell>
          <cell r="G69">
            <v>108</v>
          </cell>
          <cell r="H69">
            <v>88</v>
          </cell>
          <cell r="I69">
            <v>9912</v>
          </cell>
          <cell r="J69">
            <v>4175</v>
          </cell>
          <cell r="K69">
            <v>63319</v>
          </cell>
          <cell r="L69">
            <v>0</v>
          </cell>
        </row>
        <row r="70">
          <cell r="A70" t="str">
            <v>NC0002</v>
          </cell>
          <cell r="B70" t="str">
            <v>Appalachian</v>
          </cell>
          <cell r="C70">
            <v>130537</v>
          </cell>
          <cell r="D70">
            <v>10422</v>
          </cell>
          <cell r="E70">
            <v>63670</v>
          </cell>
          <cell r="F70">
            <v>204629</v>
          </cell>
          <cell r="G70">
            <v>188</v>
          </cell>
          <cell r="H70">
            <v>89</v>
          </cell>
          <cell r="I70">
            <v>14882</v>
          </cell>
          <cell r="J70">
            <v>11065</v>
          </cell>
          <cell r="K70">
            <v>54499</v>
          </cell>
          <cell r="L70">
            <v>0</v>
          </cell>
        </row>
        <row r="71">
          <cell r="A71" t="str">
            <v>NC0004</v>
          </cell>
          <cell r="B71" t="str">
            <v>BHM</v>
          </cell>
          <cell r="C71">
            <v>64157</v>
          </cell>
          <cell r="D71">
            <v>1879</v>
          </cell>
          <cell r="E71">
            <v>35881</v>
          </cell>
          <cell r="F71">
            <v>101917</v>
          </cell>
          <cell r="G71">
            <v>56</v>
          </cell>
          <cell r="H71">
            <v>88</v>
          </cell>
          <cell r="I71">
            <v>7277</v>
          </cell>
          <cell r="J71">
            <v>6473</v>
          </cell>
          <cell r="K71">
            <v>60261</v>
          </cell>
          <cell r="L71">
            <v>50</v>
          </cell>
        </row>
        <row r="72">
          <cell r="A72" t="str">
            <v>NC0006</v>
          </cell>
          <cell r="B72" t="str">
            <v>CPC</v>
          </cell>
          <cell r="C72">
            <v>202382</v>
          </cell>
          <cell r="D72">
            <v>13503</v>
          </cell>
          <cell r="E72">
            <v>98898</v>
          </cell>
          <cell r="F72">
            <v>314783</v>
          </cell>
          <cell r="G72">
            <v>403</v>
          </cell>
          <cell r="H72">
            <v>100</v>
          </cell>
          <cell r="I72">
            <v>26424</v>
          </cell>
          <cell r="J72">
            <v>14859</v>
          </cell>
          <cell r="K72">
            <v>53316</v>
          </cell>
          <cell r="L72">
            <v>0</v>
          </cell>
        </row>
        <row r="73">
          <cell r="A73" t="str">
            <v>NC0007</v>
          </cell>
          <cell r="B73" t="str">
            <v>E. Albemarle</v>
          </cell>
          <cell r="C73">
            <v>145855</v>
          </cell>
          <cell r="D73">
            <v>9276</v>
          </cell>
          <cell r="E73">
            <v>72980</v>
          </cell>
          <cell r="F73">
            <v>228111</v>
          </cell>
          <cell r="G73">
            <v>136</v>
          </cell>
          <cell r="H73">
            <v>97</v>
          </cell>
          <cell r="I73">
            <v>13534</v>
          </cell>
          <cell r="J73">
            <v>17635</v>
          </cell>
          <cell r="K73">
            <v>54860</v>
          </cell>
          <cell r="L73">
            <v>36</v>
          </cell>
        </row>
        <row r="74">
          <cell r="A74" t="str">
            <v>NC0008</v>
          </cell>
          <cell r="B74" t="str">
            <v>Fontana</v>
          </cell>
          <cell r="C74">
            <v>141743</v>
          </cell>
          <cell r="D74">
            <v>6965</v>
          </cell>
          <cell r="E74">
            <v>73039</v>
          </cell>
          <cell r="F74">
            <v>221747</v>
          </cell>
          <cell r="G74">
            <v>406</v>
          </cell>
          <cell r="H74">
            <v>90</v>
          </cell>
          <cell r="I74">
            <v>20850</v>
          </cell>
          <cell r="J74">
            <v>15161</v>
          </cell>
          <cell r="K74">
            <v>79633</v>
          </cell>
          <cell r="L74">
            <v>51</v>
          </cell>
        </row>
        <row r="75">
          <cell r="A75" t="str">
            <v>NC0011</v>
          </cell>
          <cell r="B75" t="str">
            <v>Nantahala</v>
          </cell>
          <cell r="C75">
            <v>100338</v>
          </cell>
          <cell r="D75">
            <v>5612</v>
          </cell>
          <cell r="E75">
            <v>39087</v>
          </cell>
          <cell r="F75">
            <v>145037</v>
          </cell>
          <cell r="G75">
            <v>197</v>
          </cell>
          <cell r="H75">
            <v>91</v>
          </cell>
          <cell r="I75">
            <v>10988</v>
          </cell>
          <cell r="J75">
            <v>11334</v>
          </cell>
          <cell r="K75">
            <v>52708</v>
          </cell>
          <cell r="L75">
            <v>0</v>
          </cell>
        </row>
        <row r="76">
          <cell r="A76" t="str">
            <v>NC0012</v>
          </cell>
          <cell r="B76" t="str">
            <v>Neuse</v>
          </cell>
          <cell r="C76">
            <v>93882</v>
          </cell>
          <cell r="D76">
            <v>9867</v>
          </cell>
          <cell r="E76">
            <v>46968</v>
          </cell>
          <cell r="F76">
            <v>150717</v>
          </cell>
          <cell r="G76">
            <v>336</v>
          </cell>
          <cell r="H76">
            <v>92</v>
          </cell>
          <cell r="I76">
            <v>15607</v>
          </cell>
          <cell r="J76">
            <v>10572</v>
          </cell>
          <cell r="K76">
            <v>53752</v>
          </cell>
          <cell r="L76">
            <v>50</v>
          </cell>
        </row>
        <row r="77">
          <cell r="A77" t="str">
            <v>NC0013</v>
          </cell>
          <cell r="B77" t="str">
            <v>Northwestern</v>
          </cell>
          <cell r="C77">
            <v>201094</v>
          </cell>
          <cell r="D77">
            <v>13601</v>
          </cell>
          <cell r="E77">
            <v>132183</v>
          </cell>
          <cell r="F77">
            <v>346878</v>
          </cell>
          <cell r="G77">
            <v>166</v>
          </cell>
          <cell r="H77">
            <v>90</v>
          </cell>
          <cell r="I77">
            <v>12150</v>
          </cell>
          <cell r="J77">
            <v>13213</v>
          </cell>
          <cell r="K77">
            <v>60161</v>
          </cell>
          <cell r="L77">
            <v>0</v>
          </cell>
        </row>
        <row r="78">
          <cell r="A78" t="str">
            <v>NC0014</v>
          </cell>
          <cell r="B78" t="str">
            <v>Pettigrew</v>
          </cell>
          <cell r="C78">
            <v>80837</v>
          </cell>
          <cell r="D78">
            <v>4362</v>
          </cell>
          <cell r="E78">
            <v>36653</v>
          </cell>
          <cell r="F78">
            <v>121852</v>
          </cell>
          <cell r="G78">
            <v>162</v>
          </cell>
          <cell r="H78">
            <v>90</v>
          </cell>
          <cell r="I78">
            <v>12898</v>
          </cell>
          <cell r="J78">
            <v>5615</v>
          </cell>
          <cell r="K78">
            <v>79121</v>
          </cell>
          <cell r="L78">
            <v>42</v>
          </cell>
        </row>
        <row r="79">
          <cell r="A79" t="str">
            <v>NC0015</v>
          </cell>
          <cell r="B79" t="str">
            <v>Sandhill</v>
          </cell>
          <cell r="C79">
            <v>190004</v>
          </cell>
          <cell r="D79">
            <v>16198</v>
          </cell>
          <cell r="E79">
            <v>103568</v>
          </cell>
          <cell r="F79">
            <v>308418</v>
          </cell>
          <cell r="G79">
            <v>350</v>
          </cell>
          <cell r="H79">
            <v>93</v>
          </cell>
          <cell r="I79">
            <v>11372</v>
          </cell>
          <cell r="J79">
            <v>16728</v>
          </cell>
          <cell r="K79">
            <v>28253</v>
          </cell>
          <cell r="L79">
            <v>57</v>
          </cell>
        </row>
        <row r="80">
          <cell r="A80" t="str">
            <v>Mean average</v>
          </cell>
          <cell r="C80">
            <v>131305.5</v>
          </cell>
          <cell r="D80">
            <v>8358.0833333333339</v>
          </cell>
          <cell r="E80">
            <v>66401.833333333328</v>
          </cell>
          <cell r="F80">
            <v>205952.75</v>
          </cell>
          <cell r="G80">
            <v>218.91666666666666</v>
          </cell>
          <cell r="I80">
            <v>14036.583333333334</v>
          </cell>
          <cell r="J80">
            <v>11642.166666666666</v>
          </cell>
          <cell r="K80">
            <v>57714</v>
          </cell>
          <cell r="L80">
            <v>23.833333333333332</v>
          </cell>
        </row>
        <row r="81">
          <cell r="B81" t="str">
            <v>Municipal Libraries</v>
          </cell>
        </row>
        <row r="82">
          <cell r="A82" t="str">
            <v>NC0071</v>
          </cell>
          <cell r="B82" t="str">
            <v>Chapel Hill</v>
          </cell>
          <cell r="C82">
            <v>91377</v>
          </cell>
          <cell r="D82">
            <v>9811</v>
          </cell>
          <cell r="E82">
            <v>82426</v>
          </cell>
          <cell r="F82">
            <v>183614</v>
          </cell>
          <cell r="G82">
            <v>160</v>
          </cell>
          <cell r="H82">
            <v>93</v>
          </cell>
          <cell r="I82">
            <v>31518</v>
          </cell>
          <cell r="J82">
            <v>12073</v>
          </cell>
          <cell r="K82">
            <v>90118</v>
          </cell>
          <cell r="L82">
            <v>12</v>
          </cell>
        </row>
        <row r="83">
          <cell r="A83" t="str">
            <v>NC0110</v>
          </cell>
          <cell r="B83" t="str">
            <v>Clayton</v>
          </cell>
          <cell r="C83">
            <v>36090</v>
          </cell>
          <cell r="D83">
            <v>2412</v>
          </cell>
          <cell r="E83">
            <v>25728</v>
          </cell>
          <cell r="F83">
            <v>64230</v>
          </cell>
          <cell r="G83">
            <v>20</v>
          </cell>
          <cell r="H83">
            <v>74</v>
          </cell>
          <cell r="I83">
            <v>8724</v>
          </cell>
          <cell r="J83">
            <v>321</v>
          </cell>
          <cell r="K83">
            <v>36310</v>
          </cell>
          <cell r="L83">
            <v>-2</v>
          </cell>
        </row>
        <row r="84">
          <cell r="A84" t="str">
            <v>NC0075</v>
          </cell>
          <cell r="B84" t="str">
            <v>Farmville</v>
          </cell>
          <cell r="C84">
            <v>16235</v>
          </cell>
          <cell r="D84">
            <v>3231</v>
          </cell>
          <cell r="E84">
            <v>12033</v>
          </cell>
          <cell r="F84">
            <v>31499</v>
          </cell>
          <cell r="G84">
            <v>90</v>
          </cell>
          <cell r="H84">
            <v>92</v>
          </cell>
          <cell r="I84">
            <v>7241</v>
          </cell>
          <cell r="J84">
            <v>1615</v>
          </cell>
          <cell r="K84">
            <v>79221</v>
          </cell>
          <cell r="L84">
            <v>50</v>
          </cell>
        </row>
      </sheetData>
      <sheetData sheetId="8">
        <row r="4">
          <cell r="C4" t="str">
            <v>% of</v>
          </cell>
          <cell r="D4" t="str">
            <v>% of</v>
          </cell>
          <cell r="E4" t="str">
            <v>% of</v>
          </cell>
          <cell r="F4" t="str">
            <v>Total</v>
          </cell>
          <cell r="G4" t="str">
            <v>eBooks</v>
          </cell>
          <cell r="H4" t="str">
            <v>Subscriptions</v>
          </cell>
        </row>
        <row r="5">
          <cell r="C5" t="str">
            <v>Books</v>
          </cell>
          <cell r="D5" t="str">
            <v xml:space="preserve">Books Young </v>
          </cell>
          <cell r="E5" t="str">
            <v>Books</v>
          </cell>
          <cell r="F5" t="str">
            <v>Book Volumes</v>
          </cell>
          <cell r="G5" t="str">
            <v>Per</v>
          </cell>
          <cell r="H5" t="str">
            <v>Per 1,000</v>
          </cell>
        </row>
        <row r="6">
          <cell r="C6" t="str">
            <v>Adult Volumes</v>
          </cell>
          <cell r="D6" t="str">
            <v>Adult Volumes</v>
          </cell>
          <cell r="E6" t="str">
            <v>Juvenile Volumes</v>
          </cell>
          <cell r="F6" t="str">
            <v>Per Capita</v>
          </cell>
          <cell r="G6" t="str">
            <v>Capita</v>
          </cell>
          <cell r="H6" t="str">
            <v>Population</v>
          </cell>
        </row>
        <row r="7">
          <cell r="B7" t="str">
            <v>County Libraries</v>
          </cell>
        </row>
        <row r="8">
          <cell r="A8" t="str">
            <v>NC0103</v>
          </cell>
          <cell r="B8" t="str">
            <v>Alamance</v>
          </cell>
          <cell r="C8">
            <v>0.58388297451097959</v>
          </cell>
          <cell r="D8">
            <v>5.0740460001583873E-2</v>
          </cell>
          <cell r="E8">
            <v>0.36537656548743652</v>
          </cell>
          <cell r="F8">
            <v>1.1114590013454551</v>
          </cell>
          <cell r="G8">
            <v>0.34383291209274836</v>
          </cell>
          <cell r="H8">
            <v>1.7604084147522225</v>
          </cell>
        </row>
        <row r="9">
          <cell r="A9" t="str">
            <v>NC0016</v>
          </cell>
          <cell r="B9" t="str">
            <v>Alexander</v>
          </cell>
          <cell r="C9">
            <v>0.52392270142786623</v>
          </cell>
          <cell r="D9">
            <v>7.0863118635391339E-2</v>
          </cell>
          <cell r="E9">
            <v>0.40521417993674241</v>
          </cell>
          <cell r="F9">
            <v>1.4287169574757079</v>
          </cell>
          <cell r="G9">
            <v>1.3868456796572981</v>
          </cell>
          <cell r="H9">
            <v>1.80231950684359</v>
          </cell>
        </row>
        <row r="10">
          <cell r="A10" t="str">
            <v>NC0017</v>
          </cell>
          <cell r="B10" t="str">
            <v>Bladen</v>
          </cell>
          <cell r="C10">
            <v>0.69690927218344967</v>
          </cell>
          <cell r="D10">
            <v>6.3271723291663474E-4</v>
          </cell>
          <cell r="E10">
            <v>0.3024580105836337</v>
          </cell>
          <cell r="F10">
            <v>1.5044855337929444</v>
          </cell>
          <cell r="G10">
            <v>1.5256584071307007</v>
          </cell>
          <cell r="H10">
            <v>1.0961433063143624</v>
          </cell>
        </row>
        <row r="11">
          <cell r="A11" t="str">
            <v>NC0018</v>
          </cell>
          <cell r="B11" t="str">
            <v>Brunswick</v>
          </cell>
          <cell r="C11">
            <v>0.58104215262641323</v>
          </cell>
          <cell r="D11">
            <v>0</v>
          </cell>
          <cell r="E11">
            <v>0.27793710884223677</v>
          </cell>
          <cell r="F11">
            <v>1.2282270058708415</v>
          </cell>
          <cell r="G11">
            <v>0.43747162426614483</v>
          </cell>
          <cell r="H11">
            <v>1.0176125244618395</v>
          </cell>
        </row>
        <row r="12">
          <cell r="A12" t="str">
            <v>NC0019</v>
          </cell>
          <cell r="B12" t="str">
            <v>Buncombe</v>
          </cell>
          <cell r="C12">
            <v>0.58386308752738725</v>
          </cell>
          <cell r="D12">
            <v>5.2613587295494889E-2</v>
          </cell>
          <cell r="E12">
            <v>0.36352332517711783</v>
          </cell>
          <cell r="F12">
            <v>1.9358374031562735</v>
          </cell>
          <cell r="G12">
            <v>0.35222479354194564</v>
          </cell>
          <cell r="H12">
            <v>2.3606263012468749</v>
          </cell>
        </row>
        <row r="13">
          <cell r="A13" t="str">
            <v>NC0020</v>
          </cell>
          <cell r="B13" t="str">
            <v>Burke</v>
          </cell>
          <cell r="C13">
            <v>0.58865940906961423</v>
          </cell>
          <cell r="D13">
            <v>7.4322875723576071E-2</v>
          </cell>
          <cell r="E13">
            <v>0.33701771520680973</v>
          </cell>
          <cell r="F13">
            <v>1.4032446767022853</v>
          </cell>
          <cell r="G13">
            <v>0.89021360045461129</v>
          </cell>
          <cell r="H13">
            <v>1.0028190357337849</v>
          </cell>
        </row>
        <row r="14">
          <cell r="A14" t="str">
            <v>NC0021</v>
          </cell>
          <cell r="B14" t="str">
            <v>Cabarrus</v>
          </cell>
          <cell r="C14">
            <v>0.4190473698571765</v>
          </cell>
          <cell r="D14">
            <v>0</v>
          </cell>
          <cell r="E14">
            <v>0.53828125876060151</v>
          </cell>
          <cell r="F14">
            <v>1.3332452918574924</v>
          </cell>
          <cell r="G14">
            <v>0.28292709667452393</v>
          </cell>
          <cell r="H14">
            <v>0.74752196468706233</v>
          </cell>
        </row>
        <row r="15">
          <cell r="A15" t="str">
            <v>NC0022</v>
          </cell>
          <cell r="B15" t="str">
            <v>Caldwell</v>
          </cell>
          <cell r="C15">
            <v>0.64186964525950574</v>
          </cell>
          <cell r="D15">
            <v>7.3957374495503783E-2</v>
          </cell>
          <cell r="E15">
            <v>0.28417298024499044</v>
          </cell>
          <cell r="F15">
            <v>1.3650026579036389</v>
          </cell>
          <cell r="G15">
            <v>1.0786014594307254</v>
          </cell>
          <cell r="H15">
            <v>1.5826608031701541</v>
          </cell>
        </row>
        <row r="16">
          <cell r="A16" t="str">
            <v>NC0107</v>
          </cell>
          <cell r="B16" t="str">
            <v>Caswell</v>
          </cell>
          <cell r="C16">
            <v>0.56920176323755911</v>
          </cell>
          <cell r="D16">
            <v>5.0533751128578254E-2</v>
          </cell>
          <cell r="E16">
            <v>0.38026448563386267</v>
          </cell>
          <cell r="F16">
            <v>1.5896829752205666</v>
          </cell>
          <cell r="G16">
            <v>3.339946810756047</v>
          </cell>
          <cell r="H16">
            <v>1.30862425598379</v>
          </cell>
        </row>
        <row r="17">
          <cell r="A17" t="str">
            <v>NC0023</v>
          </cell>
          <cell r="B17" t="str">
            <v>Catawba</v>
          </cell>
          <cell r="C17">
            <v>0.52607261581529174</v>
          </cell>
          <cell r="D17">
            <v>7.2525094123212314E-2</v>
          </cell>
          <cell r="E17">
            <v>0.40140229006149597</v>
          </cell>
          <cell r="F17">
            <v>1.3290987701105867</v>
          </cell>
          <cell r="G17">
            <v>0.76909429152168673</v>
          </cell>
          <cell r="H17">
            <v>2.0584283598029418</v>
          </cell>
        </row>
        <row r="18">
          <cell r="A18" t="str">
            <v>NC0104</v>
          </cell>
          <cell r="B18" t="str">
            <v>Chatham</v>
          </cell>
          <cell r="C18">
            <v>0.68157924309206008</v>
          </cell>
          <cell r="D18">
            <v>6.4365892944099695E-2</v>
          </cell>
          <cell r="E18">
            <v>0.25405486396384025</v>
          </cell>
          <cell r="F18">
            <v>1.0928280981360696</v>
          </cell>
          <cell r="G18">
            <v>1.0796195726332452</v>
          </cell>
          <cell r="H18">
            <v>3.6159703081079604</v>
          </cell>
        </row>
        <row r="19">
          <cell r="A19" t="str">
            <v>NC0024</v>
          </cell>
          <cell r="B19" t="str">
            <v>Cleveland</v>
          </cell>
          <cell r="C19">
            <v>0.6098433864421281</v>
          </cell>
          <cell r="D19">
            <v>3.7353533456453918E-2</v>
          </cell>
          <cell r="E19">
            <v>0.35280308010141798</v>
          </cell>
          <cell r="F19">
            <v>1.0817146533334838</v>
          </cell>
          <cell r="G19">
            <v>0.89300346497217864</v>
          </cell>
          <cell r="H19">
            <v>0.99321678084897458</v>
          </cell>
        </row>
        <row r="20">
          <cell r="A20" t="str">
            <v>NC0025</v>
          </cell>
          <cell r="B20" t="str">
            <v>Columbus</v>
          </cell>
          <cell r="C20">
            <v>0.65693976805087917</v>
          </cell>
          <cell r="D20">
            <v>5.5145149672512855E-2</v>
          </cell>
          <cell r="E20">
            <v>0.287915082276608</v>
          </cell>
          <cell r="F20">
            <v>3.1319471162253856</v>
          </cell>
          <cell r="G20">
            <v>1.3869224581161903</v>
          </cell>
          <cell r="H20">
            <v>6.1382952677415972</v>
          </cell>
        </row>
        <row r="21">
          <cell r="A21" t="str">
            <v>NC0026</v>
          </cell>
          <cell r="B21" t="str">
            <v>Cumberland</v>
          </cell>
          <cell r="C21">
            <v>0.51826112640695376</v>
          </cell>
          <cell r="D21">
            <v>7.5301961032522124E-2</v>
          </cell>
          <cell r="E21">
            <v>0.40643691256052406</v>
          </cell>
          <cell r="F21">
            <v>1.4370846269525566</v>
          </cell>
          <cell r="G21">
            <v>0.27397035994954883</v>
          </cell>
          <cell r="H21">
            <v>2.1708547589017173</v>
          </cell>
        </row>
        <row r="22">
          <cell r="A22" t="str">
            <v>NC0027</v>
          </cell>
          <cell r="B22" t="str">
            <v>Davidson</v>
          </cell>
          <cell r="C22">
            <v>0.65113665111423513</v>
          </cell>
          <cell r="D22">
            <v>7.330030709914595E-2</v>
          </cell>
          <cell r="E22">
            <v>0.27556304178661895</v>
          </cell>
          <cell r="F22">
            <v>1.9501711131095123</v>
          </cell>
          <cell r="G22">
            <v>0.69368255395683454</v>
          </cell>
          <cell r="H22">
            <v>10.104416466826539</v>
          </cell>
        </row>
        <row r="23">
          <cell r="A23" t="str">
            <v>NC0028</v>
          </cell>
          <cell r="B23" t="str">
            <v>Davie</v>
          </cell>
          <cell r="C23">
            <v>0.58271366354381104</v>
          </cell>
          <cell r="D23">
            <v>4.9909675251018776E-2</v>
          </cell>
          <cell r="E23">
            <v>0.36737666120517021</v>
          </cell>
          <cell r="F23">
            <v>1.6917154296273482</v>
          </cell>
          <cell r="G23">
            <v>1.8802207955272323</v>
          </cell>
          <cell r="H23">
            <v>2.0610741275970721</v>
          </cell>
        </row>
        <row r="24">
          <cell r="A24" t="str">
            <v>NC0029</v>
          </cell>
          <cell r="B24" t="str">
            <v>Duplin</v>
          </cell>
          <cell r="C24">
            <v>0.57953997104712884</v>
          </cell>
          <cell r="D24">
            <v>1.410524492396778E-2</v>
          </cell>
          <cell r="E24">
            <v>0.4063547840289034</v>
          </cell>
          <cell r="F24">
            <v>1.3561253083208886</v>
          </cell>
          <cell r="G24">
            <v>1.3276003825695923</v>
          </cell>
          <cell r="H24">
            <v>0.73829219591590178</v>
          </cell>
        </row>
        <row r="25">
          <cell r="A25" t="str">
            <v>NC0030</v>
          </cell>
          <cell r="B25" t="str">
            <v>Durham</v>
          </cell>
          <cell r="C25">
            <v>0.53942549251715322</v>
          </cell>
          <cell r="D25">
            <v>4.7964064523550648E-2</v>
          </cell>
          <cell r="E25">
            <v>0.41261044295929611</v>
          </cell>
          <cell r="F25">
            <v>1.8064284756669795</v>
          </cell>
          <cell r="G25">
            <v>0.22681994905483308</v>
          </cell>
          <cell r="H25">
            <v>1.4479152701434508</v>
          </cell>
        </row>
        <row r="26">
          <cell r="A26" t="str">
            <v>NC0031</v>
          </cell>
          <cell r="B26" t="str">
            <v>Edgecombe</v>
          </cell>
          <cell r="C26">
            <v>0.68959966068037437</v>
          </cell>
          <cell r="D26">
            <v>2.5015182625292808E-2</v>
          </cell>
          <cell r="E26">
            <v>0.28538515669433279</v>
          </cell>
          <cell r="F26">
            <v>1.9389368621733767</v>
          </cell>
          <cell r="G26">
            <v>0.98841164816268545</v>
          </cell>
          <cell r="H26">
            <v>1.8690890060184666</v>
          </cell>
        </row>
        <row r="27">
          <cell r="A27" t="str">
            <v>NC0032</v>
          </cell>
          <cell r="B27" t="str">
            <v>Forsyth</v>
          </cell>
          <cell r="C27">
            <v>0.61333868620464693</v>
          </cell>
          <cell r="D27">
            <v>3.3373479868185542E-2</v>
          </cell>
          <cell r="E27">
            <v>0.3532878339271675</v>
          </cell>
          <cell r="F27">
            <v>1.6195853302376237</v>
          </cell>
          <cell r="G27">
            <v>0.3274661147128386</v>
          </cell>
          <cell r="H27">
            <v>4.1396537103813733</v>
          </cell>
        </row>
        <row r="28">
          <cell r="A28" t="str">
            <v>NC0033</v>
          </cell>
          <cell r="B28" t="str">
            <v>Franklin</v>
          </cell>
          <cell r="C28">
            <v>0.58164626605513525</v>
          </cell>
          <cell r="D28">
            <v>3.6711362994556594E-2</v>
          </cell>
          <cell r="E28">
            <v>0.38164237095030817</v>
          </cell>
          <cell r="F28">
            <v>1.5691496676598671</v>
          </cell>
          <cell r="G28">
            <v>1.2089693635877454</v>
          </cell>
          <cell r="H28">
            <v>1.6502406600962642</v>
          </cell>
        </row>
        <row r="29">
          <cell r="A29" t="str">
            <v>NC0105</v>
          </cell>
          <cell r="B29" t="str">
            <v>Gaston</v>
          </cell>
          <cell r="C29">
            <v>0.6080024477287993</v>
          </cell>
          <cell r="D29">
            <v>5.0130633182501605E-2</v>
          </cell>
          <cell r="E29">
            <v>0.34186691908869909</v>
          </cell>
          <cell r="F29">
            <v>1.9511270305438571</v>
          </cell>
          <cell r="G29">
            <v>0.42183542975472571</v>
          </cell>
          <cell r="H29">
            <v>1.4131605826139273</v>
          </cell>
        </row>
        <row r="30">
          <cell r="A30" t="str">
            <v>NC0034</v>
          </cell>
          <cell r="B30" t="str">
            <v>Granville</v>
          </cell>
          <cell r="C30">
            <v>0.61779768993113093</v>
          </cell>
          <cell r="D30">
            <v>6.4247228999941702E-2</v>
          </cell>
          <cell r="E30">
            <v>0.31795508106892734</v>
          </cell>
          <cell r="F30">
            <v>2.0204768394662898</v>
          </cell>
          <cell r="G30">
            <v>1.3314320327091009</v>
          </cell>
          <cell r="H30">
            <v>2.9444921171739606</v>
          </cell>
        </row>
        <row r="31">
          <cell r="A31" t="str">
            <v>NC0035</v>
          </cell>
          <cell r="B31" t="str">
            <v>Guilford (Greensboro)</v>
          </cell>
          <cell r="C31">
            <v>0.54607569127855027</v>
          </cell>
          <cell r="D31">
            <v>6.0189533649477295E-2</v>
          </cell>
          <cell r="E31">
            <v>0.39373477507197241</v>
          </cell>
          <cell r="F31">
            <v>1.2590545048986146</v>
          </cell>
          <cell r="G31">
            <v>0.30889634550856176</v>
          </cell>
          <cell r="H31">
            <v>1.6921612552759857</v>
          </cell>
        </row>
        <row r="32">
          <cell r="A32" t="str">
            <v>NC0036</v>
          </cell>
          <cell r="B32" t="str">
            <v>Halifax</v>
          </cell>
          <cell r="C32">
            <v>0.71545612100204825</v>
          </cell>
          <cell r="D32">
            <v>7.2895331127566833E-3</v>
          </cell>
          <cell r="E32">
            <v>0.2772543458851951</v>
          </cell>
          <cell r="F32">
            <v>2.5690115761353516</v>
          </cell>
          <cell r="G32">
            <v>1.4216519603874902</v>
          </cell>
          <cell r="H32">
            <v>0.37777597884454522</v>
          </cell>
        </row>
        <row r="33">
          <cell r="A33" t="str">
            <v>NC0037</v>
          </cell>
          <cell r="B33" t="str">
            <v>Harnett</v>
          </cell>
          <cell r="C33">
            <v>0.51325243011531729</v>
          </cell>
          <cell r="D33">
            <v>3.1823396069003751E-2</v>
          </cell>
          <cell r="E33">
            <v>0.45492417381567896</v>
          </cell>
          <cell r="F33">
            <v>1.4147286520736433</v>
          </cell>
          <cell r="G33">
            <v>0.61601298308006491</v>
          </cell>
          <cell r="H33">
            <v>0.95509500477547515</v>
          </cell>
        </row>
        <row r="34">
          <cell r="A34" t="str">
            <v>NC0038</v>
          </cell>
          <cell r="B34" t="str">
            <v>Haywood</v>
          </cell>
          <cell r="C34">
            <v>0.69997543865035383</v>
          </cell>
          <cell r="D34">
            <v>3.3441812627603887E-2</v>
          </cell>
          <cell r="E34">
            <v>0.2665827487220423</v>
          </cell>
          <cell r="F34">
            <v>2.1091774457269592</v>
          </cell>
          <cell r="G34">
            <v>1.4477343737352479</v>
          </cell>
          <cell r="H34">
            <v>3.6748636091369735</v>
          </cell>
        </row>
        <row r="35">
          <cell r="A35" t="str">
            <v>NC0039</v>
          </cell>
          <cell r="B35" t="str">
            <v>Henderson</v>
          </cell>
          <cell r="C35">
            <v>0.64186055605521453</v>
          </cell>
          <cell r="D35">
            <v>5.5754115668869508E-2</v>
          </cell>
          <cell r="E35">
            <v>0.30238532827591602</v>
          </cell>
          <cell r="F35">
            <v>2.2356952397604579</v>
          </cell>
          <cell r="G35">
            <v>0.79932683481225686</v>
          </cell>
          <cell r="H35">
            <v>2.7451151811863443</v>
          </cell>
        </row>
        <row r="36">
          <cell r="A36" t="str">
            <v>NC0040</v>
          </cell>
          <cell r="B36" t="str">
            <v>Iredell</v>
          </cell>
          <cell r="C36">
            <v>0.63962449146188349</v>
          </cell>
          <cell r="D36">
            <v>5.9769033855218034E-2</v>
          </cell>
          <cell r="E36">
            <v>0.30060647468289847</v>
          </cell>
          <cell r="F36">
            <v>1.6780521578582968</v>
          </cell>
          <cell r="G36">
            <v>0.47585298124669639</v>
          </cell>
          <cell r="H36">
            <v>0.67747146802855795</v>
          </cell>
        </row>
        <row r="37">
          <cell r="A37" t="str">
            <v>NC0041</v>
          </cell>
          <cell r="B37" t="str">
            <v>Johnston</v>
          </cell>
          <cell r="C37">
            <v>0.61389793976745555</v>
          </cell>
          <cell r="D37">
            <v>4.8011753513003796E-2</v>
          </cell>
          <cell r="E37">
            <v>0.33809030671954066</v>
          </cell>
          <cell r="F37">
            <v>1.3970582181106022</v>
          </cell>
          <cell r="G37">
            <v>0.3133627001817294</v>
          </cell>
          <cell r="H37">
            <v>0.29406056471390851</v>
          </cell>
        </row>
        <row r="38">
          <cell r="A38" t="str">
            <v>NC0042</v>
          </cell>
          <cell r="B38" t="str">
            <v>Lee</v>
          </cell>
          <cell r="C38">
            <v>0.65813830490546077</v>
          </cell>
          <cell r="D38">
            <v>1.3371016792278196E-2</v>
          </cell>
          <cell r="E38">
            <v>0.32849067830226103</v>
          </cell>
          <cell r="F38">
            <v>2.0425359530078997</v>
          </cell>
          <cell r="G38">
            <v>1.3355107690230235</v>
          </cell>
          <cell r="H38">
            <v>1.6035379110120855</v>
          </cell>
        </row>
        <row r="39">
          <cell r="A39" t="str">
            <v>NC0106</v>
          </cell>
          <cell r="B39" t="str">
            <v>Lincoln</v>
          </cell>
          <cell r="C39">
            <v>0.61471274436311873</v>
          </cell>
          <cell r="D39">
            <v>5.0359227471426043E-2</v>
          </cell>
          <cell r="E39">
            <v>0.33492802816545519</v>
          </cell>
          <cell r="F39">
            <v>1.4473077907671303</v>
          </cell>
          <cell r="G39">
            <v>1.1286921117111406</v>
          </cell>
          <cell r="H39">
            <v>2.0113856618677848</v>
          </cell>
        </row>
        <row r="40">
          <cell r="A40" t="str">
            <v>NC0043</v>
          </cell>
          <cell r="B40" t="str">
            <v>Madison</v>
          </cell>
          <cell r="C40">
            <v>0.65897858319604607</v>
          </cell>
          <cell r="D40">
            <v>3.6698290064193603E-2</v>
          </cell>
          <cell r="E40">
            <v>0.30432312673976025</v>
          </cell>
          <cell r="F40">
            <v>2.4027025797352017</v>
          </cell>
          <cell r="G40">
            <v>3.6026206833795897</v>
          </cell>
          <cell r="H40">
            <v>5.0957732380909055</v>
          </cell>
        </row>
        <row r="41">
          <cell r="A41" t="str">
            <v>NC0044</v>
          </cell>
          <cell r="B41" t="str">
            <v>McDowell</v>
          </cell>
          <cell r="C41">
            <v>0.70331510594668489</v>
          </cell>
          <cell r="D41">
            <v>4.3688767372977902E-2</v>
          </cell>
          <cell r="E41">
            <v>0.25299612668033722</v>
          </cell>
          <cell r="F41">
            <v>1.928806855636124</v>
          </cell>
          <cell r="G41">
            <v>1.7399033179520984</v>
          </cell>
          <cell r="H41">
            <v>2.680729509997803</v>
          </cell>
        </row>
        <row r="42">
          <cell r="A42" t="str">
            <v>NC0045</v>
          </cell>
          <cell r="B42" t="str">
            <v>Mecklenburg</v>
          </cell>
          <cell r="C42">
            <v>0.52655386841506213</v>
          </cell>
          <cell r="D42">
            <v>7.1358379744096576E-2</v>
          </cell>
          <cell r="E42">
            <v>0.40208775184084133</v>
          </cell>
          <cell r="F42">
            <v>0.84226682296437272</v>
          </cell>
          <cell r="G42">
            <v>8.5877679643489357E-2</v>
          </cell>
          <cell r="H42">
            <v>1.7635696624254302</v>
          </cell>
        </row>
        <row r="43">
          <cell r="A43" t="str">
            <v>NC0046</v>
          </cell>
          <cell r="B43" t="str">
            <v>Nash (Braswell)</v>
          </cell>
          <cell r="C43">
            <v>0.47382868065433853</v>
          </cell>
          <cell r="D43">
            <v>6.005512091038407E-2</v>
          </cell>
          <cell r="E43">
            <v>0.46611619843527741</v>
          </cell>
          <cell r="F43">
            <v>1.0089023433120305</v>
          </cell>
          <cell r="G43">
            <v>0.88710617782262591</v>
          </cell>
          <cell r="H43">
            <v>0.90817356205852673</v>
          </cell>
        </row>
        <row r="44">
          <cell r="A44" t="str">
            <v>NC0047</v>
          </cell>
          <cell r="B44" t="str">
            <v>New Hanover</v>
          </cell>
          <cell r="C44">
            <v>0.65134704642217778</v>
          </cell>
          <cell r="D44">
            <v>3.6961188284931779E-2</v>
          </cell>
          <cell r="E44">
            <v>0.31169176529289039</v>
          </cell>
          <cell r="F44">
            <v>1.6312520124503596</v>
          </cell>
          <cell r="G44">
            <v>0.41158187542485064</v>
          </cell>
          <cell r="H44">
            <v>1.9990340238274122</v>
          </cell>
        </row>
        <row r="45">
          <cell r="A45" t="str">
            <v>NC0048</v>
          </cell>
          <cell r="B45" t="str">
            <v>Onslow</v>
          </cell>
          <cell r="C45">
            <v>0.56687448316872158</v>
          </cell>
          <cell r="D45">
            <v>6.8839603445232142E-2</v>
          </cell>
          <cell r="E45">
            <v>0.36428591338604627</v>
          </cell>
          <cell r="F45">
            <v>0.55502439225636102</v>
          </cell>
          <cell r="G45">
            <v>0.46490712377651949</v>
          </cell>
          <cell r="H45">
            <v>0.40224016832203968</v>
          </cell>
        </row>
        <row r="46">
          <cell r="A46" t="str">
            <v>NC0108</v>
          </cell>
          <cell r="B46" t="str">
            <v>Orange</v>
          </cell>
          <cell r="C46">
            <v>0.49760548523206749</v>
          </cell>
          <cell r="D46">
            <v>6.4124472573839658E-2</v>
          </cell>
          <cell r="E46">
            <v>0.43827004219409282</v>
          </cell>
          <cell r="F46">
            <v>1.1264124713347037</v>
          </cell>
          <cell r="G46">
            <v>0.63840733831584706</v>
          </cell>
          <cell r="H46">
            <v>2.4120435831323297</v>
          </cell>
        </row>
        <row r="47">
          <cell r="A47" t="str">
            <v>NC0049</v>
          </cell>
          <cell r="B47" t="str">
            <v>Pender</v>
          </cell>
          <cell r="C47">
            <v>0.60470943258195786</v>
          </cell>
          <cell r="D47">
            <v>3.3587856065109049E-2</v>
          </cell>
          <cell r="E47">
            <v>0.36170271135293308</v>
          </cell>
          <cell r="F47">
            <v>1.8391664844682891</v>
          </cell>
          <cell r="G47">
            <v>1.3312534687768043</v>
          </cell>
          <cell r="H47">
            <v>1.9509241662321934</v>
          </cell>
        </row>
        <row r="48">
          <cell r="A48" t="str">
            <v>NC0109</v>
          </cell>
          <cell r="B48" t="str">
            <v>Person</v>
          </cell>
          <cell r="C48">
            <v>0.55026089512750787</v>
          </cell>
          <cell r="D48">
            <v>4.7460865730873818E-2</v>
          </cell>
          <cell r="E48">
            <v>0.40227823914161831</v>
          </cell>
          <cell r="F48">
            <v>1.7125201369311316</v>
          </cell>
          <cell r="G48">
            <v>1.9936316955296014</v>
          </cell>
          <cell r="H48">
            <v>2.4919452275473217</v>
          </cell>
        </row>
        <row r="49">
          <cell r="A49" t="str">
            <v>NC0050</v>
          </cell>
          <cell r="B49" t="str">
            <v>Pitt (Sheppard)</v>
          </cell>
          <cell r="C49">
            <v>0.60386560517622756</v>
          </cell>
          <cell r="D49">
            <v>5.0646541223702289E-2</v>
          </cell>
          <cell r="E49">
            <v>0.34548785360007017</v>
          </cell>
          <cell r="F49">
            <v>1.1987617907309522</v>
          </cell>
          <cell r="G49">
            <v>0.32254183336740355</v>
          </cell>
          <cell r="H49">
            <v>1.1330782933738281</v>
          </cell>
        </row>
        <row r="50">
          <cell r="A50" t="str">
            <v>NC0051</v>
          </cell>
          <cell r="B50" t="str">
            <v>Polk</v>
          </cell>
          <cell r="C50">
            <v>0.66417107183007629</v>
          </cell>
          <cell r="D50">
            <v>6.443896955055374E-2</v>
          </cell>
          <cell r="E50">
            <v>0.27138995861936999</v>
          </cell>
          <cell r="F50">
            <v>1.9879695672848312</v>
          </cell>
          <cell r="G50">
            <v>4.2452686638135999</v>
          </cell>
          <cell r="H50">
            <v>6.847360912981455</v>
          </cell>
        </row>
        <row r="51">
          <cell r="A51" t="str">
            <v>NC0052</v>
          </cell>
          <cell r="B51" t="str">
            <v>Randolph</v>
          </cell>
          <cell r="C51">
            <v>0.60556394980153916</v>
          </cell>
          <cell r="D51">
            <v>5.9495197012518299E-2</v>
          </cell>
          <cell r="E51">
            <v>0.33494085318594258</v>
          </cell>
          <cell r="F51">
            <v>1.7777607671484541</v>
          </cell>
          <cell r="G51">
            <v>0.56667664108113369</v>
          </cell>
          <cell r="H51">
            <v>1.9484902679870009</v>
          </cell>
        </row>
        <row r="52">
          <cell r="A52" t="str">
            <v>NC0053</v>
          </cell>
          <cell r="B52" t="str">
            <v>Robeson</v>
          </cell>
          <cell r="C52">
            <v>0.69744010502133247</v>
          </cell>
          <cell r="D52">
            <v>4.1327535280603872E-2</v>
          </cell>
          <cell r="E52">
            <v>0.26123235969806369</v>
          </cell>
          <cell r="F52">
            <v>0.91876041219083804</v>
          </cell>
          <cell r="G52">
            <v>0.39715205379286428</v>
          </cell>
          <cell r="H52">
            <v>0.85935909902982877</v>
          </cell>
        </row>
        <row r="53">
          <cell r="A53" t="str">
            <v>NC0054</v>
          </cell>
          <cell r="B53" t="str">
            <v>Rockingham</v>
          </cell>
          <cell r="C53">
            <v>0.68870355058657173</v>
          </cell>
          <cell r="D53">
            <v>4.4916577792157471E-2</v>
          </cell>
          <cell r="E53">
            <v>0.26637987162127075</v>
          </cell>
          <cell r="F53">
            <v>2.724456149133212</v>
          </cell>
          <cell r="G53">
            <v>0.57333144704051542</v>
          </cell>
          <cell r="H53">
            <v>2.1656092544427636</v>
          </cell>
        </row>
        <row r="54">
          <cell r="A54" t="str">
            <v>NC0055</v>
          </cell>
          <cell r="B54" t="str">
            <v>Rowan</v>
          </cell>
          <cell r="C54">
            <v>0.58669271814462076</v>
          </cell>
          <cell r="D54">
            <v>6.2668115269028241E-2</v>
          </cell>
          <cell r="E54">
            <v>0.35063916658635103</v>
          </cell>
          <cell r="F54">
            <v>1.619252323189331</v>
          </cell>
          <cell r="G54">
            <v>0.6351635099666596</v>
          </cell>
          <cell r="H54">
            <v>1.3690856210541249</v>
          </cell>
        </row>
        <row r="55">
          <cell r="A55" t="str">
            <v>NC0056</v>
          </cell>
          <cell r="B55" t="str">
            <v>Rutherford</v>
          </cell>
          <cell r="C55">
            <v>0.66997144175489798</v>
          </cell>
          <cell r="D55">
            <v>3.0927706486088769E-2</v>
          </cell>
          <cell r="E55">
            <v>0.2991008517590133</v>
          </cell>
          <cell r="F55">
            <v>1.1843936014652232</v>
          </cell>
          <cell r="G55">
            <v>1.3186712553358049</v>
          </cell>
          <cell r="H55">
            <v>0.78283089375655435</v>
          </cell>
        </row>
        <row r="56">
          <cell r="A56" t="str">
            <v>NC0057</v>
          </cell>
          <cell r="B56" t="str">
            <v>Sampson</v>
          </cell>
          <cell r="C56">
            <v>0.57853110218198467</v>
          </cell>
          <cell r="D56">
            <v>3.4560805655866944E-2</v>
          </cell>
          <cell r="E56">
            <v>0.38690809216214844</v>
          </cell>
          <cell r="F56">
            <v>1.238507693034536</v>
          </cell>
          <cell r="G56">
            <v>1.2461771051512622</v>
          </cell>
          <cell r="H56">
            <v>1.6693176270492449</v>
          </cell>
        </row>
        <row r="57">
          <cell r="A57" t="str">
            <v>NC0058</v>
          </cell>
          <cell r="B57" t="str">
            <v>Scotland</v>
          </cell>
          <cell r="C57">
            <v>0.62529352566252938</v>
          </cell>
          <cell r="D57">
            <v>6.5126755163655528E-2</v>
          </cell>
          <cell r="E57">
            <v>0.3095797191738151</v>
          </cell>
          <cell r="F57">
            <v>1.1661124926653441</v>
          </cell>
          <cell r="G57">
            <v>2.2107630836290482</v>
          </cell>
          <cell r="H57">
            <v>0.92207102741065683</v>
          </cell>
        </row>
        <row r="58">
          <cell r="A58" t="str">
            <v>NC0059</v>
          </cell>
          <cell r="B58" t="str">
            <v>Stanly</v>
          </cell>
          <cell r="C58">
            <v>0.6502800752259813</v>
          </cell>
          <cell r="D58">
            <v>3.0272390851550018E-2</v>
          </cell>
          <cell r="E58">
            <v>0.31944753392246872</v>
          </cell>
          <cell r="F58">
            <v>1.6016258846010591</v>
          </cell>
          <cell r="G58">
            <v>1.2812909912390082</v>
          </cell>
          <cell r="H58">
            <v>4.048517432916066</v>
          </cell>
        </row>
        <row r="59">
          <cell r="A59" t="str">
            <v>NC0060</v>
          </cell>
          <cell r="B59" t="str">
            <v>Transylvania</v>
          </cell>
          <cell r="C59">
            <v>0.63653821117042053</v>
          </cell>
          <cell r="D59">
            <v>5.765850800676995E-2</v>
          </cell>
          <cell r="E59">
            <v>0.30580328082280955</v>
          </cell>
          <cell r="F59">
            <v>3.5998711151468994</v>
          </cell>
          <cell r="G59">
            <v>2.6688830955798353</v>
          </cell>
          <cell r="H59">
            <v>3.6907935206069302</v>
          </cell>
        </row>
        <row r="60">
          <cell r="A60" t="str">
            <v>NC0061</v>
          </cell>
          <cell r="B60" t="str">
            <v>Union</v>
          </cell>
          <cell r="C60">
            <v>0.54963100532720788</v>
          </cell>
          <cell r="D60">
            <v>6.431748203900102E-2</v>
          </cell>
          <cell r="E60">
            <v>0.38605151263379112</v>
          </cell>
          <cell r="F60">
            <v>0.73102739878971934</v>
          </cell>
          <cell r="G60">
            <v>0.26402429493334523</v>
          </cell>
          <cell r="H60">
            <v>0.96911774557309693</v>
          </cell>
        </row>
        <row r="61">
          <cell r="A61" t="str">
            <v>NC0062</v>
          </cell>
          <cell r="B61" t="str">
            <v>Vance (Perry)</v>
          </cell>
          <cell r="C61">
            <v>0.64319116437551405</v>
          </cell>
          <cell r="D61">
            <v>4.064152273528375E-2</v>
          </cell>
          <cell r="E61">
            <v>0.31616731288920219</v>
          </cell>
          <cell r="F61">
            <v>1.8936477917454666</v>
          </cell>
          <cell r="G61">
            <v>1.7620647458004228</v>
          </cell>
          <cell r="H61">
            <v>0.6897318945377684</v>
          </cell>
        </row>
        <row r="62">
          <cell r="A62" t="str">
            <v>NC0063</v>
          </cell>
          <cell r="B62" t="str">
            <v>Wake</v>
          </cell>
          <cell r="C62">
            <v>0.49014429864538056</v>
          </cell>
          <cell r="D62">
            <v>5.0906127608399548E-2</v>
          </cell>
          <cell r="E62">
            <v>0.45894957374621992</v>
          </cell>
          <cell r="F62">
            <v>1.3314133555653382</v>
          </cell>
          <cell r="G62">
            <v>8.3201525593427014E-2</v>
          </cell>
          <cell r="H62">
            <v>1.1755562221694125</v>
          </cell>
        </row>
        <row r="63">
          <cell r="A63" t="str">
            <v>NC0101</v>
          </cell>
          <cell r="B63" t="str">
            <v>Warren</v>
          </cell>
          <cell r="C63">
            <v>0.7373191286373032</v>
          </cell>
          <cell r="D63">
            <v>0</v>
          </cell>
          <cell r="E63">
            <v>0.2626808713626968</v>
          </cell>
          <cell r="F63">
            <v>1.5627950897072711</v>
          </cell>
          <cell r="G63">
            <v>2.6184086278017991</v>
          </cell>
          <cell r="H63">
            <v>6.5603101237513046</v>
          </cell>
        </row>
        <row r="64">
          <cell r="A64" t="str">
            <v>NC0065</v>
          </cell>
          <cell r="B64" t="str">
            <v>Wayne</v>
          </cell>
          <cell r="C64">
            <v>0.56265504475091044</v>
          </cell>
          <cell r="D64">
            <v>5.2502205499800184E-2</v>
          </cell>
          <cell r="E64">
            <v>0.38484274974928934</v>
          </cell>
          <cell r="F64">
            <v>1.0626161784500994</v>
          </cell>
          <cell r="G64">
            <v>0.63721876802769051</v>
          </cell>
          <cell r="H64">
            <v>1.7066213704249726</v>
          </cell>
        </row>
        <row r="65">
          <cell r="A65" t="str">
            <v>NC0066</v>
          </cell>
          <cell r="B65" t="str">
            <v>Wilson</v>
          </cell>
          <cell r="C65">
            <v>0.58591784984652029</v>
          </cell>
          <cell r="D65">
            <v>5.2075312862525279E-2</v>
          </cell>
          <cell r="E65">
            <v>0.36200683729095445</v>
          </cell>
          <cell r="F65">
            <v>2.3828126911127963</v>
          </cell>
          <cell r="G65">
            <v>0.65627828469385263</v>
          </cell>
          <cell r="H65">
            <v>1.8836077203454098</v>
          </cell>
        </row>
        <row r="66">
          <cell r="A66" t="str">
            <v>Mean average</v>
          </cell>
          <cell r="C66">
            <v>0.6051150377726322</v>
          </cell>
          <cell r="D66">
            <v>4.6523765779289447E-2</v>
          </cell>
          <cell r="E66">
            <v>0.34519409110474092</v>
          </cell>
          <cell r="F66">
            <v>1.6216853580047919</v>
          </cell>
          <cell r="G66">
            <v>1.0851071922135946</v>
          </cell>
          <cell r="H66">
            <v>2.1755378367112042</v>
          </cell>
        </row>
        <row r="67">
          <cell r="A67" t="str">
            <v>Regional Libraries</v>
          </cell>
        </row>
        <row r="68">
          <cell r="A68" t="str">
            <v>NC0001</v>
          </cell>
          <cell r="B68" t="str">
            <v>Albemarle</v>
          </cell>
          <cell r="C68">
            <v>0.59670250465493424</v>
          </cell>
          <cell r="D68">
            <v>3.8278575289807194E-2</v>
          </cell>
          <cell r="E68">
            <v>0.3650189200552586</v>
          </cell>
          <cell r="F68">
            <v>2.1745206624523274</v>
          </cell>
          <cell r="G68">
            <v>0.68811713076641767</v>
          </cell>
          <cell r="H68">
            <v>1.5542552635703466</v>
          </cell>
        </row>
        <row r="69">
          <cell r="A69" t="str">
            <v>NC0003</v>
          </cell>
          <cell r="B69" t="str">
            <v>AMY</v>
          </cell>
          <cell r="C69">
            <v>0.78016089124299048</v>
          </cell>
          <cell r="D69">
            <v>1.3919454909420965E-2</v>
          </cell>
          <cell r="E69">
            <v>0.20591965384758851</v>
          </cell>
          <cell r="F69">
            <v>3.1230147943928861</v>
          </cell>
          <cell r="G69">
            <v>1.229351920164641</v>
          </cell>
          <cell r="H69">
            <v>2.0968430862423797</v>
          </cell>
        </row>
        <row r="70">
          <cell r="A70" t="str">
            <v>NC0002</v>
          </cell>
          <cell r="B70" t="str">
            <v>Appalachian</v>
          </cell>
          <cell r="C70">
            <v>0.63792033387252056</v>
          </cell>
          <cell r="D70">
            <v>5.0931197435358622E-2</v>
          </cell>
          <cell r="E70">
            <v>0.31114846869212087</v>
          </cell>
          <cell r="F70">
            <v>1.3430360389333369</v>
          </cell>
          <cell r="G70">
            <v>0.35769182806849431</v>
          </cell>
          <cell r="H70">
            <v>1.2338953682980776</v>
          </cell>
        </row>
        <row r="71">
          <cell r="A71" t="str">
            <v>NC0004</v>
          </cell>
          <cell r="B71" t="str">
            <v>BHM</v>
          </cell>
          <cell r="C71">
            <v>0.62950243825858299</v>
          </cell>
          <cell r="D71">
            <v>1.8436570935172737E-2</v>
          </cell>
          <cell r="E71">
            <v>0.35206099080624431</v>
          </cell>
          <cell r="F71">
            <v>1.514908734169689</v>
          </cell>
          <cell r="G71">
            <v>0.89572804566264341</v>
          </cell>
          <cell r="H71">
            <v>0.8323919376895178</v>
          </cell>
        </row>
        <row r="72">
          <cell r="A72" t="str">
            <v>NC0006</v>
          </cell>
          <cell r="B72" t="str">
            <v>CPC</v>
          </cell>
          <cell r="C72">
            <v>0.64292544387721062</v>
          </cell>
          <cell r="D72">
            <v>4.2896217394204898E-2</v>
          </cell>
          <cell r="E72">
            <v>0.31417833872858447</v>
          </cell>
          <cell r="F72">
            <v>1.6837457342447875</v>
          </cell>
          <cell r="G72">
            <v>0.28518245129818032</v>
          </cell>
          <cell r="H72">
            <v>2.155610471024958</v>
          </cell>
        </row>
        <row r="73">
          <cell r="A73" t="str">
            <v>NC0007</v>
          </cell>
          <cell r="B73" t="str">
            <v>E. Albemarle</v>
          </cell>
          <cell r="C73">
            <v>0.63940362367443915</v>
          </cell>
          <cell r="D73">
            <v>4.0664413377697703E-2</v>
          </cell>
          <cell r="E73">
            <v>0.31993196294786308</v>
          </cell>
          <cell r="F73">
            <v>2.0176279641603059</v>
          </cell>
          <cell r="G73">
            <v>0.48523337372522313</v>
          </cell>
          <cell r="H73">
            <v>1.2029117540399261</v>
          </cell>
        </row>
        <row r="74">
          <cell r="A74" t="str">
            <v>NC0008</v>
          </cell>
          <cell r="B74" t="str">
            <v>Fontana</v>
          </cell>
          <cell r="C74">
            <v>0.63921045155064105</v>
          </cell>
          <cell r="D74">
            <v>3.1409669578393397E-2</v>
          </cell>
          <cell r="E74">
            <v>0.32937987887096554</v>
          </cell>
          <cell r="F74">
            <v>2.4282147589273002</v>
          </cell>
          <cell r="G74">
            <v>0.87201191401758626</v>
          </cell>
          <cell r="H74">
            <v>4.4458558272467448</v>
          </cell>
        </row>
        <row r="75">
          <cell r="A75" t="str">
            <v>NC0011</v>
          </cell>
          <cell r="B75" t="str">
            <v>Nantahala</v>
          </cell>
          <cell r="C75">
            <v>0.69180967615160271</v>
          </cell>
          <cell r="D75">
            <v>3.8693574742996617E-2</v>
          </cell>
          <cell r="E75">
            <v>0.26949674910540067</v>
          </cell>
          <cell r="F75">
            <v>2.9753620809912609</v>
          </cell>
          <cell r="G75">
            <v>1.081278463873959</v>
          </cell>
          <cell r="H75">
            <v>4.0413572395683746</v>
          </cell>
        </row>
        <row r="76">
          <cell r="A76" t="str">
            <v>NC0012</v>
          </cell>
          <cell r="B76" t="str">
            <v>Neuse</v>
          </cell>
          <cell r="C76">
            <v>0.62290252592607331</v>
          </cell>
          <cell r="D76">
            <v>6.5467067417743191E-2</v>
          </cell>
          <cell r="E76">
            <v>0.31163040665618347</v>
          </cell>
          <cell r="F76">
            <v>1.6865893780354067</v>
          </cell>
          <cell r="G76">
            <v>0.60150847116223893</v>
          </cell>
          <cell r="H76">
            <v>3.7599874667084445</v>
          </cell>
        </row>
        <row r="77">
          <cell r="A77" t="str">
            <v>NC0013</v>
          </cell>
          <cell r="B77" t="str">
            <v>Northwestern</v>
          </cell>
          <cell r="C77">
            <v>0.57972543660883658</v>
          </cell>
          <cell r="D77">
            <v>3.9209750978730272E-2</v>
          </cell>
          <cell r="E77">
            <v>0.38106481241243317</v>
          </cell>
          <cell r="F77">
            <v>2.0583666130630602</v>
          </cell>
          <cell r="G77">
            <v>0.35699408382338105</v>
          </cell>
          <cell r="H77">
            <v>0.98504044006384972</v>
          </cell>
        </row>
        <row r="78">
          <cell r="A78" t="str">
            <v>NC0014</v>
          </cell>
          <cell r="B78" t="str">
            <v>Pettigrew</v>
          </cell>
          <cell r="C78">
            <v>0.66340314479860818</v>
          </cell>
          <cell r="D78">
            <v>3.5797524866231167E-2</v>
          </cell>
          <cell r="E78">
            <v>0.30079933033516071</v>
          </cell>
          <cell r="F78">
            <v>2.7362795293272253</v>
          </cell>
          <cell r="G78">
            <v>1.7767223569567951</v>
          </cell>
          <cell r="H78">
            <v>3.6378334680679063</v>
          </cell>
        </row>
        <row r="79">
          <cell r="A79" t="str">
            <v>NC0015</v>
          </cell>
          <cell r="B79" t="str">
            <v>Sandhill</v>
          </cell>
          <cell r="C79">
            <v>0.61606002243708213</v>
          </cell>
          <cell r="D79">
            <v>5.2519632446874048E-2</v>
          </cell>
          <cell r="E79">
            <v>0.33580400625125639</v>
          </cell>
          <cell r="F79">
            <v>1.3244327258360959</v>
          </cell>
          <cell r="G79">
            <v>0.1213262449112802</v>
          </cell>
          <cell r="H79">
            <v>1.5029974062559046</v>
          </cell>
        </row>
        <row r="80">
          <cell r="A80" t="str">
            <v>Mean average</v>
          </cell>
          <cell r="C80">
            <v>0.6449772077544601</v>
          </cell>
          <cell r="D80">
            <v>3.9018637447719239E-2</v>
          </cell>
          <cell r="E80">
            <v>0.31636945989242166</v>
          </cell>
          <cell r="F80">
            <v>2.0888415845444737</v>
          </cell>
          <cell r="G80">
            <v>0.72926219036923678</v>
          </cell>
          <cell r="H80">
            <v>2.2874149773980359</v>
          </cell>
        </row>
        <row r="81">
          <cell r="B81" t="str">
            <v>Municipal Libraries</v>
          </cell>
        </row>
        <row r="82">
          <cell r="A82" t="str">
            <v>NC0071</v>
          </cell>
          <cell r="B82" t="str">
            <v>Chapel Hill</v>
          </cell>
          <cell r="C82">
            <v>0.49765813064363285</v>
          </cell>
          <cell r="D82">
            <v>5.3432744779809818E-2</v>
          </cell>
          <cell r="E82">
            <v>0.44890912457655735</v>
          </cell>
          <cell r="F82">
            <v>3.0678005747510526</v>
          </cell>
          <cell r="G82">
            <v>1.5056806790082202</v>
          </cell>
          <cell r="H82">
            <v>2.6732607097507186</v>
          </cell>
          <cell r="I82">
            <v>3.3062232974725898</v>
          </cell>
          <cell r="J82">
            <v>6.5095231171852284</v>
          </cell>
          <cell r="K82" t="str">
            <v xml:space="preserve"> </v>
          </cell>
        </row>
        <row r="83">
          <cell r="A83" t="str">
            <v>NC0110</v>
          </cell>
          <cell r="B83" t="str">
            <v>Clayton</v>
          </cell>
          <cell r="C83">
            <v>0.56188696870621202</v>
          </cell>
          <cell r="D83">
            <v>3.755254553946754E-2</v>
          </cell>
          <cell r="E83">
            <v>0.40056048575432041</v>
          </cell>
          <cell r="F83">
            <v>3.3062232974725898</v>
          </cell>
          <cell r="G83">
            <v>1.8690482318422814</v>
          </cell>
          <cell r="H83">
            <v>1.0294950326864674</v>
          </cell>
        </row>
        <row r="84">
          <cell r="A84" t="str">
            <v>NC0075</v>
          </cell>
          <cell r="B84" t="str">
            <v>Farmville</v>
          </cell>
          <cell r="C84">
            <v>0.51541318772024514</v>
          </cell>
          <cell r="D84">
            <v>0.10257468491063208</v>
          </cell>
          <cell r="E84">
            <v>0.38201212736912282</v>
          </cell>
          <cell r="F84">
            <v>6.7449678800856532</v>
          </cell>
          <cell r="G84">
            <v>16.963811563169166</v>
          </cell>
          <cell r="H84">
            <v>19.271948608137045</v>
          </cell>
        </row>
      </sheetData>
      <sheetData sheetId="9">
        <row r="4">
          <cell r="C4" t="str">
            <v>Print</v>
          </cell>
          <cell r="H4" t="str">
            <v>Non-Print</v>
          </cell>
          <cell r="M4" t="str">
            <v>Total Use of Electronic Materials</v>
          </cell>
          <cell r="N4" t="str">
            <v>Total Collection Use</v>
          </cell>
        </row>
        <row r="5">
          <cell r="C5" t="str">
            <v>Adult</v>
          </cell>
          <cell r="D5" t="str">
            <v>Young Adult</v>
          </cell>
          <cell r="E5" t="str">
            <v>Juvenile</v>
          </cell>
          <cell r="G5" t="str">
            <v>Total Print</v>
          </cell>
          <cell r="H5" t="str">
            <v>Audio &amp;</v>
          </cell>
          <cell r="I5" t="str">
            <v>Video &amp;</v>
          </cell>
        </row>
        <row r="6">
          <cell r="C6" t="str">
            <v>Books</v>
          </cell>
          <cell r="D6" t="str">
            <v>Books</v>
          </cell>
          <cell r="E6" t="str">
            <v>Books</v>
          </cell>
          <cell r="F6" t="str">
            <v>Periodicals</v>
          </cell>
          <cell r="G6" t="str">
            <v>Circulation</v>
          </cell>
          <cell r="H6" t="str">
            <v>eAudio</v>
          </cell>
          <cell r="I6" t="str">
            <v>eVideo</v>
          </cell>
          <cell r="J6" t="str">
            <v>eBooks</v>
          </cell>
          <cell r="K6" t="str">
            <v>ePeriodicals</v>
          </cell>
          <cell r="L6" t="str">
            <v>Databases</v>
          </cell>
        </row>
        <row r="7">
          <cell r="B7" t="str">
            <v>County Libraries</v>
          </cell>
        </row>
        <row r="8">
          <cell r="A8" t="str">
            <v>NC0103</v>
          </cell>
          <cell r="B8" t="str">
            <v>Alamance</v>
          </cell>
          <cell r="C8">
            <v>224401</v>
          </cell>
          <cell r="D8">
            <v>20176</v>
          </cell>
          <cell r="E8">
            <v>197790</v>
          </cell>
          <cell r="F8">
            <v>6178</v>
          </cell>
          <cell r="G8">
            <v>448916</v>
          </cell>
          <cell r="H8">
            <v>61526</v>
          </cell>
          <cell r="I8">
            <v>295897</v>
          </cell>
          <cell r="J8">
            <v>11089</v>
          </cell>
          <cell r="K8">
            <v>3333</v>
          </cell>
          <cell r="L8">
            <v>154126</v>
          </cell>
          <cell r="M8">
            <v>176635</v>
          </cell>
          <cell r="N8">
            <v>988302</v>
          </cell>
        </row>
        <row r="9">
          <cell r="A9" t="str">
            <v>NC0016</v>
          </cell>
          <cell r="B9" t="str">
            <v>Alexander</v>
          </cell>
          <cell r="C9">
            <v>27203</v>
          </cell>
          <cell r="D9">
            <v>4638</v>
          </cell>
          <cell r="E9">
            <v>26945</v>
          </cell>
          <cell r="F9">
            <v>0</v>
          </cell>
          <cell r="G9">
            <v>58951</v>
          </cell>
          <cell r="H9">
            <v>4629</v>
          </cell>
          <cell r="I9">
            <v>18556</v>
          </cell>
          <cell r="J9">
            <v>240</v>
          </cell>
          <cell r="K9">
            <v>0</v>
          </cell>
          <cell r="L9">
            <v>6950</v>
          </cell>
          <cell r="M9">
            <v>7969</v>
          </cell>
          <cell r="N9">
            <v>89328</v>
          </cell>
        </row>
        <row r="10">
          <cell r="A10" t="str">
            <v>NC0017</v>
          </cell>
          <cell r="B10" t="str">
            <v>Bladen</v>
          </cell>
          <cell r="C10">
            <v>12780</v>
          </cell>
          <cell r="D10">
            <v>18</v>
          </cell>
          <cell r="E10">
            <v>13801</v>
          </cell>
          <cell r="F10">
            <v>23</v>
          </cell>
          <cell r="G10">
            <v>26658</v>
          </cell>
          <cell r="H10">
            <v>1727</v>
          </cell>
          <cell r="I10">
            <v>4172</v>
          </cell>
          <cell r="J10">
            <v>46</v>
          </cell>
          <cell r="K10">
            <v>0</v>
          </cell>
          <cell r="L10">
            <v>1627</v>
          </cell>
          <cell r="M10">
            <v>2058</v>
          </cell>
          <cell r="N10">
            <v>34230</v>
          </cell>
        </row>
        <row r="11">
          <cell r="A11" t="str">
            <v>NC0018</v>
          </cell>
          <cell r="B11" t="str">
            <v>Brunswick</v>
          </cell>
          <cell r="C11">
            <v>225775</v>
          </cell>
          <cell r="D11">
            <v>0</v>
          </cell>
          <cell r="E11">
            <v>71000</v>
          </cell>
          <cell r="F11">
            <v>500</v>
          </cell>
          <cell r="G11">
            <v>302275</v>
          </cell>
          <cell r="H11">
            <v>16532</v>
          </cell>
          <cell r="I11">
            <v>40480</v>
          </cell>
          <cell r="J11">
            <v>17246</v>
          </cell>
          <cell r="K11">
            <v>0</v>
          </cell>
          <cell r="L11">
            <v>29045</v>
          </cell>
          <cell r="M11">
            <v>47601</v>
          </cell>
          <cell r="N11">
            <v>405578</v>
          </cell>
        </row>
        <row r="12">
          <cell r="A12" t="str">
            <v>NC0019</v>
          </cell>
          <cell r="B12" t="str">
            <v>Buncombe</v>
          </cell>
          <cell r="C12">
            <v>567520</v>
          </cell>
          <cell r="D12">
            <v>40106</v>
          </cell>
          <cell r="E12">
            <v>507659</v>
          </cell>
          <cell r="F12">
            <v>24</v>
          </cell>
          <cell r="G12">
            <v>1133800</v>
          </cell>
          <cell r="H12">
            <v>237107</v>
          </cell>
          <cell r="I12">
            <v>145143</v>
          </cell>
          <cell r="J12">
            <v>140944</v>
          </cell>
          <cell r="K12">
            <v>8414</v>
          </cell>
          <cell r="L12">
            <v>166064</v>
          </cell>
          <cell r="M12">
            <v>403345</v>
          </cell>
          <cell r="N12">
            <v>1833866</v>
          </cell>
        </row>
        <row r="13">
          <cell r="A13" t="str">
            <v>NC0020</v>
          </cell>
          <cell r="B13" t="str">
            <v>Burke</v>
          </cell>
          <cell r="C13">
            <v>82305</v>
          </cell>
          <cell r="D13">
            <v>11441</v>
          </cell>
          <cell r="E13">
            <v>59689</v>
          </cell>
          <cell r="F13">
            <v>207</v>
          </cell>
          <cell r="G13">
            <v>153699</v>
          </cell>
          <cell r="H13">
            <v>8898</v>
          </cell>
          <cell r="I13">
            <v>2022</v>
          </cell>
          <cell r="J13">
            <v>15507</v>
          </cell>
          <cell r="K13">
            <v>637</v>
          </cell>
          <cell r="L13">
            <v>36862</v>
          </cell>
          <cell r="M13">
            <v>56983</v>
          </cell>
          <cell r="N13">
            <v>224118</v>
          </cell>
        </row>
        <row r="14">
          <cell r="A14" t="str">
            <v>NC0021</v>
          </cell>
          <cell r="B14" t="str">
            <v>Cabarrus</v>
          </cell>
          <cell r="C14">
            <v>230383</v>
          </cell>
          <cell r="D14">
            <v>0</v>
          </cell>
          <cell r="E14">
            <v>379123</v>
          </cell>
          <cell r="F14">
            <v>2126</v>
          </cell>
          <cell r="G14">
            <v>643644</v>
          </cell>
          <cell r="H14">
            <v>48724</v>
          </cell>
          <cell r="I14">
            <v>63265</v>
          </cell>
          <cell r="J14">
            <v>14601</v>
          </cell>
          <cell r="K14">
            <v>4400</v>
          </cell>
          <cell r="L14">
            <v>220177</v>
          </cell>
          <cell r="M14">
            <v>262811</v>
          </cell>
          <cell r="N14">
            <v>994811</v>
          </cell>
        </row>
        <row r="15">
          <cell r="A15" t="str">
            <v>NC0022</v>
          </cell>
          <cell r="B15" t="str">
            <v>Caldwell</v>
          </cell>
          <cell r="C15">
            <v>94092</v>
          </cell>
          <cell r="D15">
            <v>12925</v>
          </cell>
          <cell r="E15">
            <v>65227</v>
          </cell>
          <cell r="F15">
            <v>3842</v>
          </cell>
          <cell r="G15">
            <v>176323</v>
          </cell>
          <cell r="H15">
            <v>17877</v>
          </cell>
          <cell r="I15">
            <v>53094</v>
          </cell>
          <cell r="J15">
            <v>15134</v>
          </cell>
          <cell r="K15">
            <v>582</v>
          </cell>
          <cell r="L15">
            <v>14775</v>
          </cell>
          <cell r="M15">
            <v>40486</v>
          </cell>
          <cell r="N15">
            <v>277787</v>
          </cell>
        </row>
        <row r="16">
          <cell r="A16" t="str">
            <v>NC0107</v>
          </cell>
          <cell r="B16" t="str">
            <v>Caswell</v>
          </cell>
          <cell r="C16">
            <v>14356</v>
          </cell>
          <cell r="D16">
            <v>2852</v>
          </cell>
          <cell r="E16">
            <v>15591</v>
          </cell>
          <cell r="F16">
            <v>575</v>
          </cell>
          <cell r="G16">
            <v>33461</v>
          </cell>
          <cell r="H16">
            <v>1069</v>
          </cell>
          <cell r="I16">
            <v>5845</v>
          </cell>
          <cell r="J16">
            <v>1662</v>
          </cell>
          <cell r="K16">
            <v>21</v>
          </cell>
          <cell r="L16">
            <v>66</v>
          </cell>
          <cell r="M16">
            <v>2020</v>
          </cell>
          <cell r="N16">
            <v>42129</v>
          </cell>
        </row>
        <row r="17">
          <cell r="A17" t="str">
            <v>NC0023</v>
          </cell>
          <cell r="B17" t="str">
            <v>Catawba</v>
          </cell>
          <cell r="C17">
            <v>148585</v>
          </cell>
          <cell r="D17">
            <v>17969</v>
          </cell>
          <cell r="E17">
            <v>135817</v>
          </cell>
          <cell r="F17">
            <v>3807</v>
          </cell>
          <cell r="G17">
            <v>306178</v>
          </cell>
          <cell r="H17">
            <v>42346</v>
          </cell>
          <cell r="I17">
            <v>151632</v>
          </cell>
          <cell r="J17">
            <v>25609</v>
          </cell>
          <cell r="K17">
            <v>1243</v>
          </cell>
          <cell r="L17">
            <v>88955</v>
          </cell>
          <cell r="M17">
            <v>140391</v>
          </cell>
          <cell r="N17">
            <v>615963</v>
          </cell>
        </row>
        <row r="18">
          <cell r="A18" t="str">
            <v>NC0104</v>
          </cell>
          <cell r="B18" t="str">
            <v>Chatham</v>
          </cell>
          <cell r="C18">
            <v>83917</v>
          </cell>
          <cell r="D18">
            <v>8029</v>
          </cell>
          <cell r="E18">
            <v>88173</v>
          </cell>
          <cell r="F18">
            <v>2849</v>
          </cell>
          <cell r="G18">
            <v>182968</v>
          </cell>
          <cell r="H18">
            <v>16906</v>
          </cell>
          <cell r="I18">
            <v>34378</v>
          </cell>
          <cell r="J18">
            <v>32672</v>
          </cell>
          <cell r="K18">
            <v>1395</v>
          </cell>
          <cell r="L18">
            <v>11595</v>
          </cell>
          <cell r="M18">
            <v>51913</v>
          </cell>
          <cell r="N18">
            <v>279914</v>
          </cell>
        </row>
        <row r="19">
          <cell r="A19" t="str">
            <v>NC0024</v>
          </cell>
          <cell r="B19" t="str">
            <v>Cleveland</v>
          </cell>
          <cell r="C19">
            <v>75613</v>
          </cell>
          <cell r="D19">
            <v>4886</v>
          </cell>
          <cell r="E19">
            <v>46867</v>
          </cell>
          <cell r="F19">
            <v>4</v>
          </cell>
          <cell r="G19">
            <v>134147</v>
          </cell>
          <cell r="H19">
            <v>7543</v>
          </cell>
          <cell r="I19">
            <v>17136</v>
          </cell>
          <cell r="J19">
            <v>12206</v>
          </cell>
          <cell r="K19">
            <v>431</v>
          </cell>
          <cell r="L19">
            <v>15323</v>
          </cell>
          <cell r="M19">
            <v>30646</v>
          </cell>
          <cell r="N19">
            <v>192116</v>
          </cell>
        </row>
        <row r="20">
          <cell r="A20" t="str">
            <v>NC0025</v>
          </cell>
          <cell r="B20" t="str">
            <v>Columbus</v>
          </cell>
          <cell r="C20">
            <v>59327</v>
          </cell>
          <cell r="D20">
            <v>3070</v>
          </cell>
          <cell r="E20">
            <v>20400</v>
          </cell>
          <cell r="F20">
            <v>2115</v>
          </cell>
          <cell r="G20">
            <v>84912</v>
          </cell>
          <cell r="H20">
            <v>2790</v>
          </cell>
          <cell r="I20">
            <v>12157</v>
          </cell>
          <cell r="J20">
            <v>2604</v>
          </cell>
          <cell r="K20">
            <v>0</v>
          </cell>
          <cell r="L20">
            <v>3866</v>
          </cell>
          <cell r="M20">
            <v>7315</v>
          </cell>
          <cell r="N20">
            <v>106329</v>
          </cell>
        </row>
        <row r="21">
          <cell r="A21" t="str">
            <v>NC0026</v>
          </cell>
          <cell r="B21" t="str">
            <v>Cumberland</v>
          </cell>
          <cell r="C21">
            <v>446762</v>
          </cell>
          <cell r="D21">
            <v>80442</v>
          </cell>
          <cell r="E21">
            <v>552819</v>
          </cell>
          <cell r="F21">
            <v>11500</v>
          </cell>
          <cell r="G21">
            <v>1095065</v>
          </cell>
          <cell r="H21">
            <v>107579</v>
          </cell>
          <cell r="I21">
            <v>216122</v>
          </cell>
          <cell r="J21">
            <v>80459</v>
          </cell>
          <cell r="K21">
            <v>6037</v>
          </cell>
          <cell r="L21">
            <v>272954</v>
          </cell>
          <cell r="M21">
            <v>396417</v>
          </cell>
          <cell r="N21">
            <v>1778636</v>
          </cell>
        </row>
        <row r="22">
          <cell r="A22" t="str">
            <v>NC0027</v>
          </cell>
          <cell r="B22" t="str">
            <v>Davidson</v>
          </cell>
          <cell r="C22">
            <v>162636</v>
          </cell>
          <cell r="D22">
            <v>21388</v>
          </cell>
          <cell r="E22">
            <v>133132</v>
          </cell>
          <cell r="F22">
            <v>780</v>
          </cell>
          <cell r="G22">
            <v>319051</v>
          </cell>
          <cell r="H22">
            <v>32176</v>
          </cell>
          <cell r="I22">
            <v>96046</v>
          </cell>
          <cell r="J22">
            <v>40626</v>
          </cell>
          <cell r="K22">
            <v>1340</v>
          </cell>
          <cell r="L22">
            <v>58189</v>
          </cell>
          <cell r="M22">
            <v>116336</v>
          </cell>
          <cell r="N22">
            <v>547462</v>
          </cell>
        </row>
        <row r="23">
          <cell r="A23" t="str">
            <v>NC0028</v>
          </cell>
          <cell r="B23" t="str">
            <v>Davie</v>
          </cell>
          <cell r="C23">
            <v>32397</v>
          </cell>
          <cell r="D23">
            <v>2833</v>
          </cell>
          <cell r="E23">
            <v>36135</v>
          </cell>
          <cell r="F23">
            <v>0</v>
          </cell>
          <cell r="G23">
            <v>72734</v>
          </cell>
          <cell r="H23">
            <v>6137</v>
          </cell>
          <cell r="I23">
            <v>7353</v>
          </cell>
          <cell r="J23">
            <v>9324</v>
          </cell>
          <cell r="K23">
            <v>177</v>
          </cell>
          <cell r="L23">
            <v>18148</v>
          </cell>
          <cell r="M23">
            <v>29271</v>
          </cell>
          <cell r="N23">
            <v>115293</v>
          </cell>
        </row>
        <row r="24">
          <cell r="A24" t="str">
            <v>NC0029</v>
          </cell>
          <cell r="B24" t="str">
            <v>Duplin</v>
          </cell>
          <cell r="C24">
            <v>27675</v>
          </cell>
          <cell r="D24">
            <v>1037</v>
          </cell>
          <cell r="E24">
            <v>15090</v>
          </cell>
          <cell r="F24">
            <v>462</v>
          </cell>
          <cell r="G24">
            <v>44264</v>
          </cell>
          <cell r="H24">
            <v>2333</v>
          </cell>
          <cell r="I24">
            <v>12452</v>
          </cell>
          <cell r="J24">
            <v>4111</v>
          </cell>
          <cell r="K24">
            <v>95</v>
          </cell>
          <cell r="L24">
            <v>2015</v>
          </cell>
          <cell r="M24">
            <v>6701</v>
          </cell>
          <cell r="N24">
            <v>65270</v>
          </cell>
        </row>
        <row r="25">
          <cell r="A25" t="str">
            <v>NC0030</v>
          </cell>
          <cell r="B25" t="str">
            <v>Durham</v>
          </cell>
          <cell r="C25">
            <v>809674</v>
          </cell>
          <cell r="D25">
            <v>75127</v>
          </cell>
          <cell r="E25">
            <v>1029667</v>
          </cell>
          <cell r="F25">
            <v>0</v>
          </cell>
          <cell r="G25">
            <v>1914468</v>
          </cell>
          <cell r="H25">
            <v>207413</v>
          </cell>
          <cell r="I25">
            <v>516301</v>
          </cell>
          <cell r="J25">
            <v>123898</v>
          </cell>
          <cell r="K25">
            <v>13604</v>
          </cell>
          <cell r="L25">
            <v>225984</v>
          </cell>
          <cell r="M25">
            <v>470483</v>
          </cell>
          <cell r="N25">
            <v>3024451</v>
          </cell>
        </row>
        <row r="26">
          <cell r="A26" t="str">
            <v>NC0031</v>
          </cell>
          <cell r="B26" t="str">
            <v>Edgecombe</v>
          </cell>
          <cell r="C26">
            <v>29623</v>
          </cell>
          <cell r="D26">
            <v>3416</v>
          </cell>
          <cell r="E26">
            <v>14150</v>
          </cell>
          <cell r="F26">
            <v>42</v>
          </cell>
          <cell r="G26">
            <v>47231</v>
          </cell>
          <cell r="H26">
            <v>999</v>
          </cell>
          <cell r="I26">
            <v>3109</v>
          </cell>
          <cell r="J26">
            <v>273</v>
          </cell>
          <cell r="K26">
            <v>0</v>
          </cell>
          <cell r="L26">
            <v>11236</v>
          </cell>
          <cell r="M26">
            <v>11666</v>
          </cell>
          <cell r="N26">
            <v>62848</v>
          </cell>
        </row>
        <row r="27">
          <cell r="A27" t="str">
            <v>NC0032</v>
          </cell>
          <cell r="B27" t="str">
            <v>Forsyth</v>
          </cell>
          <cell r="C27">
            <v>483631</v>
          </cell>
          <cell r="D27">
            <v>34248</v>
          </cell>
          <cell r="E27">
            <v>400507</v>
          </cell>
          <cell r="F27">
            <v>16190</v>
          </cell>
          <cell r="G27">
            <v>934700</v>
          </cell>
          <cell r="H27">
            <v>144626</v>
          </cell>
          <cell r="I27">
            <v>185155</v>
          </cell>
          <cell r="J27">
            <v>119092</v>
          </cell>
          <cell r="K27">
            <v>3668</v>
          </cell>
          <cell r="L27">
            <v>231336</v>
          </cell>
          <cell r="M27">
            <v>420888</v>
          </cell>
          <cell r="N27">
            <v>1719387</v>
          </cell>
        </row>
        <row r="28">
          <cell r="A28" t="str">
            <v>NC0033</v>
          </cell>
          <cell r="B28" t="str">
            <v>Franklin</v>
          </cell>
          <cell r="C28">
            <v>39114</v>
          </cell>
          <cell r="D28">
            <v>5245</v>
          </cell>
          <cell r="E28">
            <v>53299</v>
          </cell>
          <cell r="F28">
            <v>1724</v>
          </cell>
          <cell r="G28">
            <v>99834</v>
          </cell>
          <cell r="H28">
            <v>3819</v>
          </cell>
          <cell r="I28">
            <v>15157</v>
          </cell>
          <cell r="J28">
            <v>8859</v>
          </cell>
          <cell r="K28">
            <v>179</v>
          </cell>
          <cell r="L28">
            <v>1099</v>
          </cell>
          <cell r="M28">
            <v>11854</v>
          </cell>
          <cell r="N28">
            <v>152171</v>
          </cell>
        </row>
        <row r="29">
          <cell r="A29" t="str">
            <v>NC0105</v>
          </cell>
          <cell r="B29" t="str">
            <v>Gaston</v>
          </cell>
          <cell r="C29">
            <v>329262</v>
          </cell>
          <cell r="D29">
            <v>39212</v>
          </cell>
          <cell r="E29">
            <v>348892</v>
          </cell>
          <cell r="F29">
            <v>0</v>
          </cell>
          <cell r="G29">
            <v>717366</v>
          </cell>
          <cell r="H29">
            <v>58938</v>
          </cell>
          <cell r="I29">
            <v>189439</v>
          </cell>
          <cell r="J29">
            <v>52262</v>
          </cell>
          <cell r="K29">
            <v>4023</v>
          </cell>
          <cell r="L29">
            <v>120614</v>
          </cell>
          <cell r="M29">
            <v>206356</v>
          </cell>
          <cell r="N29">
            <v>1145619</v>
          </cell>
        </row>
        <row r="30">
          <cell r="A30" t="str">
            <v>NC0034</v>
          </cell>
          <cell r="B30" t="str">
            <v>Granville</v>
          </cell>
          <cell r="C30">
            <v>49643</v>
          </cell>
          <cell r="D30">
            <v>5969</v>
          </cell>
          <cell r="E30">
            <v>38965</v>
          </cell>
          <cell r="F30">
            <v>1255</v>
          </cell>
          <cell r="G30">
            <v>97814</v>
          </cell>
          <cell r="H30">
            <v>4998</v>
          </cell>
          <cell r="I30">
            <v>25983</v>
          </cell>
          <cell r="J30">
            <v>10493</v>
          </cell>
          <cell r="K30">
            <v>79</v>
          </cell>
          <cell r="L30">
            <v>21754</v>
          </cell>
          <cell r="M30">
            <v>34125</v>
          </cell>
          <cell r="N30">
            <v>162205</v>
          </cell>
        </row>
        <row r="31">
          <cell r="A31" t="str">
            <v>NC0035</v>
          </cell>
          <cell r="B31" t="str">
            <v>Guilford (Greensboro)</v>
          </cell>
          <cell r="C31">
            <v>347959</v>
          </cell>
          <cell r="D31">
            <v>65728</v>
          </cell>
          <cell r="E31">
            <v>629177</v>
          </cell>
          <cell r="F31">
            <v>0</v>
          </cell>
          <cell r="G31">
            <v>1043317</v>
          </cell>
          <cell r="H31">
            <v>164934</v>
          </cell>
          <cell r="I31">
            <v>280118</v>
          </cell>
          <cell r="J31">
            <v>217525</v>
          </cell>
          <cell r="K31">
            <v>6866</v>
          </cell>
          <cell r="L31">
            <v>356337</v>
          </cell>
          <cell r="M31">
            <v>698237</v>
          </cell>
          <cell r="N31">
            <v>2071985</v>
          </cell>
        </row>
        <row r="32">
          <cell r="A32" t="str">
            <v>NC0036</v>
          </cell>
          <cell r="B32" t="str">
            <v>Halifax</v>
          </cell>
          <cell r="C32">
            <v>77058</v>
          </cell>
          <cell r="D32">
            <v>1248</v>
          </cell>
          <cell r="E32">
            <v>13062</v>
          </cell>
          <cell r="F32">
            <v>256</v>
          </cell>
          <cell r="G32">
            <v>91624</v>
          </cell>
          <cell r="H32">
            <v>632</v>
          </cell>
          <cell r="I32">
            <v>109</v>
          </cell>
          <cell r="J32">
            <v>177</v>
          </cell>
          <cell r="K32">
            <v>0</v>
          </cell>
          <cell r="L32">
            <v>4544</v>
          </cell>
          <cell r="M32">
            <v>4738</v>
          </cell>
          <cell r="N32">
            <v>97086</v>
          </cell>
        </row>
        <row r="33">
          <cell r="A33" t="str">
            <v>NC0037</v>
          </cell>
          <cell r="B33" t="str">
            <v>Harnett</v>
          </cell>
          <cell r="C33">
            <v>75247</v>
          </cell>
          <cell r="D33">
            <v>5872</v>
          </cell>
          <cell r="E33">
            <v>118476</v>
          </cell>
          <cell r="F33">
            <v>723</v>
          </cell>
          <cell r="G33">
            <v>201431</v>
          </cell>
          <cell r="H33">
            <v>13035</v>
          </cell>
          <cell r="I33">
            <v>30353</v>
          </cell>
          <cell r="J33">
            <v>12276</v>
          </cell>
          <cell r="K33">
            <v>168</v>
          </cell>
          <cell r="L33">
            <v>78485</v>
          </cell>
          <cell r="M33">
            <v>96422</v>
          </cell>
          <cell r="N33">
            <v>336091</v>
          </cell>
        </row>
        <row r="34">
          <cell r="A34" t="str">
            <v>NC0038</v>
          </cell>
          <cell r="B34" t="str">
            <v>Haywood</v>
          </cell>
          <cell r="C34">
            <v>135344</v>
          </cell>
          <cell r="D34">
            <v>7390</v>
          </cell>
          <cell r="E34">
            <v>68659</v>
          </cell>
          <cell r="F34">
            <v>4722</v>
          </cell>
          <cell r="G34">
            <v>216929</v>
          </cell>
          <cell r="H34">
            <v>32652</v>
          </cell>
          <cell r="I34">
            <v>56119</v>
          </cell>
          <cell r="J34">
            <v>21541</v>
          </cell>
          <cell r="K34">
            <v>898</v>
          </cell>
          <cell r="L34">
            <v>13407</v>
          </cell>
          <cell r="M34">
            <v>47328</v>
          </cell>
          <cell r="N34">
            <v>341882</v>
          </cell>
        </row>
        <row r="35">
          <cell r="A35" t="str">
            <v>NC0039</v>
          </cell>
          <cell r="B35" t="str">
            <v>Henderson</v>
          </cell>
          <cell r="C35">
            <v>338080</v>
          </cell>
          <cell r="D35">
            <v>21877</v>
          </cell>
          <cell r="E35">
            <v>195614</v>
          </cell>
          <cell r="F35">
            <v>3336</v>
          </cell>
          <cell r="G35">
            <v>561050</v>
          </cell>
          <cell r="H35">
            <v>86134</v>
          </cell>
          <cell r="I35">
            <v>200637</v>
          </cell>
          <cell r="J35">
            <v>57286</v>
          </cell>
          <cell r="K35">
            <v>1590</v>
          </cell>
          <cell r="L35">
            <v>149274</v>
          </cell>
          <cell r="M35">
            <v>241690</v>
          </cell>
          <cell r="N35">
            <v>1056328</v>
          </cell>
        </row>
        <row r="36">
          <cell r="A36" t="str">
            <v>NC0040</v>
          </cell>
          <cell r="B36" t="str">
            <v>Iredell</v>
          </cell>
          <cell r="C36">
            <v>171308</v>
          </cell>
          <cell r="D36">
            <v>14300</v>
          </cell>
          <cell r="E36">
            <v>127235</v>
          </cell>
          <cell r="F36">
            <v>0</v>
          </cell>
          <cell r="G36">
            <v>314534</v>
          </cell>
          <cell r="H36">
            <v>26427</v>
          </cell>
          <cell r="I36">
            <v>1522</v>
          </cell>
          <cell r="J36">
            <v>33376</v>
          </cell>
          <cell r="K36">
            <v>2749</v>
          </cell>
          <cell r="L36">
            <v>16342</v>
          </cell>
          <cell r="M36">
            <v>62007</v>
          </cell>
          <cell r="N36">
            <v>394962</v>
          </cell>
        </row>
        <row r="37">
          <cell r="A37" t="str">
            <v>NC0041</v>
          </cell>
          <cell r="B37" t="str">
            <v>Johnston</v>
          </cell>
          <cell r="C37">
            <v>102500</v>
          </cell>
          <cell r="D37">
            <v>15226</v>
          </cell>
          <cell r="E37">
            <v>97888</v>
          </cell>
          <cell r="F37">
            <v>18</v>
          </cell>
          <cell r="G37">
            <v>230028</v>
          </cell>
          <cell r="H37">
            <v>12673</v>
          </cell>
          <cell r="I37">
            <v>12982</v>
          </cell>
          <cell r="J37">
            <v>3617</v>
          </cell>
          <cell r="K37">
            <v>0</v>
          </cell>
          <cell r="L37">
            <v>56072</v>
          </cell>
          <cell r="M37">
            <v>60593</v>
          </cell>
          <cell r="N37">
            <v>315379</v>
          </cell>
        </row>
        <row r="38">
          <cell r="A38" t="str">
            <v>NC0042</v>
          </cell>
          <cell r="B38" t="str">
            <v>Lee</v>
          </cell>
          <cell r="C38">
            <v>37630</v>
          </cell>
          <cell r="D38">
            <v>2173</v>
          </cell>
          <cell r="E38">
            <v>26613</v>
          </cell>
          <cell r="F38">
            <v>345</v>
          </cell>
          <cell r="G38">
            <v>67038</v>
          </cell>
          <cell r="H38">
            <v>7400</v>
          </cell>
          <cell r="I38">
            <v>18935</v>
          </cell>
          <cell r="J38">
            <v>11506</v>
          </cell>
          <cell r="K38">
            <v>509</v>
          </cell>
          <cell r="L38">
            <v>7244</v>
          </cell>
          <cell r="M38">
            <v>21206</v>
          </cell>
          <cell r="N38">
            <v>112834</v>
          </cell>
        </row>
        <row r="39">
          <cell r="A39" t="str">
            <v>NC0106</v>
          </cell>
          <cell r="B39" t="str">
            <v>Lincoln</v>
          </cell>
          <cell r="C39">
            <v>75334</v>
          </cell>
          <cell r="D39">
            <v>6237</v>
          </cell>
          <cell r="E39">
            <v>78492</v>
          </cell>
          <cell r="F39">
            <v>0</v>
          </cell>
          <cell r="G39">
            <v>160063</v>
          </cell>
          <cell r="H39">
            <v>19732</v>
          </cell>
          <cell r="I39">
            <v>31097</v>
          </cell>
          <cell r="J39">
            <v>16075</v>
          </cell>
          <cell r="K39">
            <v>2123</v>
          </cell>
          <cell r="L39">
            <v>22723</v>
          </cell>
          <cell r="M39">
            <v>50728</v>
          </cell>
          <cell r="N39">
            <v>251813</v>
          </cell>
        </row>
        <row r="40">
          <cell r="A40" t="str">
            <v>NC0043</v>
          </cell>
          <cell r="B40" t="str">
            <v>Madison</v>
          </cell>
          <cell r="C40">
            <v>38231</v>
          </cell>
          <cell r="D40">
            <v>3256</v>
          </cell>
          <cell r="E40">
            <v>27703</v>
          </cell>
          <cell r="F40">
            <v>892</v>
          </cell>
          <cell r="G40">
            <v>70082</v>
          </cell>
          <cell r="H40">
            <v>9098</v>
          </cell>
          <cell r="I40">
            <v>25197</v>
          </cell>
          <cell r="J40">
            <v>7050</v>
          </cell>
          <cell r="K40">
            <v>151</v>
          </cell>
          <cell r="L40">
            <v>6070</v>
          </cell>
          <cell r="M40">
            <v>15428</v>
          </cell>
          <cell r="N40">
            <v>117700</v>
          </cell>
        </row>
        <row r="41">
          <cell r="A41" t="str">
            <v>NC0044</v>
          </cell>
          <cell r="B41" t="str">
            <v>McDowell</v>
          </cell>
          <cell r="C41">
            <v>60702</v>
          </cell>
          <cell r="D41">
            <v>5067</v>
          </cell>
          <cell r="E41">
            <v>30984</v>
          </cell>
          <cell r="F41">
            <v>2448</v>
          </cell>
          <cell r="G41">
            <v>99347</v>
          </cell>
          <cell r="H41">
            <v>12776</v>
          </cell>
          <cell r="I41">
            <v>41216</v>
          </cell>
          <cell r="J41">
            <v>12913</v>
          </cell>
          <cell r="K41">
            <v>233</v>
          </cell>
          <cell r="L41">
            <v>645</v>
          </cell>
          <cell r="M41">
            <v>16288</v>
          </cell>
          <cell r="N41">
            <v>167131</v>
          </cell>
        </row>
        <row r="42">
          <cell r="A42" t="str">
            <v>NC0045</v>
          </cell>
          <cell r="B42" t="str">
            <v>Mecklenburg</v>
          </cell>
          <cell r="C42">
            <v>1466838</v>
          </cell>
          <cell r="D42">
            <v>213838</v>
          </cell>
          <cell r="E42">
            <v>2348603</v>
          </cell>
          <cell r="F42">
            <v>0</v>
          </cell>
          <cell r="G42">
            <v>4029279</v>
          </cell>
          <cell r="H42">
            <v>558538</v>
          </cell>
          <cell r="I42">
            <v>476202</v>
          </cell>
          <cell r="J42">
            <v>924499</v>
          </cell>
          <cell r="K42">
            <v>50816</v>
          </cell>
          <cell r="L42">
            <v>2757457</v>
          </cell>
          <cell r="M42">
            <v>3997768</v>
          </cell>
          <cell r="N42">
            <v>8796791</v>
          </cell>
        </row>
        <row r="43">
          <cell r="A43" t="str">
            <v>NC0046</v>
          </cell>
          <cell r="B43" t="str">
            <v>Nash (Braswell)</v>
          </cell>
          <cell r="C43">
            <v>68008</v>
          </cell>
          <cell r="D43">
            <v>9189</v>
          </cell>
          <cell r="E43">
            <v>80904</v>
          </cell>
          <cell r="F43">
            <v>475</v>
          </cell>
          <cell r="G43">
            <v>158576</v>
          </cell>
          <cell r="H43">
            <v>10351</v>
          </cell>
          <cell r="I43">
            <v>26102</v>
          </cell>
          <cell r="J43">
            <v>17980</v>
          </cell>
          <cell r="K43">
            <v>523</v>
          </cell>
          <cell r="L43">
            <v>8730</v>
          </cell>
          <cell r="M43">
            <v>29860</v>
          </cell>
          <cell r="N43">
            <v>223391</v>
          </cell>
        </row>
        <row r="44">
          <cell r="A44" t="str">
            <v>NC0047</v>
          </cell>
          <cell r="B44" t="str">
            <v>New Hanover</v>
          </cell>
          <cell r="C44">
            <v>445204</v>
          </cell>
          <cell r="D44">
            <v>30156</v>
          </cell>
          <cell r="E44">
            <v>383063</v>
          </cell>
          <cell r="F44">
            <v>8077</v>
          </cell>
          <cell r="G44">
            <v>867158</v>
          </cell>
          <cell r="H44">
            <v>117461</v>
          </cell>
          <cell r="I44">
            <v>206674</v>
          </cell>
          <cell r="J44">
            <v>95622</v>
          </cell>
          <cell r="K44">
            <v>2671</v>
          </cell>
          <cell r="L44">
            <v>268507</v>
          </cell>
          <cell r="M44">
            <v>413161</v>
          </cell>
          <cell r="N44">
            <v>1558268</v>
          </cell>
        </row>
        <row r="45">
          <cell r="A45" t="str">
            <v>NC0048</v>
          </cell>
          <cell r="B45" t="str">
            <v>Onslow</v>
          </cell>
          <cell r="C45">
            <v>134515</v>
          </cell>
          <cell r="D45">
            <v>20357</v>
          </cell>
          <cell r="E45">
            <v>199831</v>
          </cell>
          <cell r="F45">
            <v>687</v>
          </cell>
          <cell r="G45">
            <v>356885</v>
          </cell>
          <cell r="H45">
            <v>44854</v>
          </cell>
          <cell r="I45">
            <v>97731</v>
          </cell>
          <cell r="J45">
            <v>33605</v>
          </cell>
          <cell r="K45">
            <v>2810</v>
          </cell>
          <cell r="L45">
            <v>136147</v>
          </cell>
          <cell r="M45">
            <v>190869</v>
          </cell>
          <cell r="N45">
            <v>672126</v>
          </cell>
        </row>
        <row r="46">
          <cell r="A46" t="str">
            <v>NC0108</v>
          </cell>
          <cell r="B46" t="str">
            <v>Orange</v>
          </cell>
          <cell r="C46">
            <v>105820</v>
          </cell>
          <cell r="D46">
            <v>16418</v>
          </cell>
          <cell r="E46">
            <v>190240</v>
          </cell>
          <cell r="F46">
            <v>3823</v>
          </cell>
          <cell r="G46">
            <v>316301</v>
          </cell>
          <cell r="H46">
            <v>26911</v>
          </cell>
          <cell r="I46">
            <v>59438</v>
          </cell>
          <cell r="J46">
            <v>8292</v>
          </cell>
          <cell r="K46">
            <v>0</v>
          </cell>
          <cell r="L46">
            <v>13893</v>
          </cell>
          <cell r="M46">
            <v>25801</v>
          </cell>
          <cell r="N46">
            <v>427632</v>
          </cell>
        </row>
        <row r="47">
          <cell r="A47" t="str">
            <v>NC0049</v>
          </cell>
          <cell r="B47" t="str">
            <v>Pender</v>
          </cell>
          <cell r="C47">
            <v>83452</v>
          </cell>
          <cell r="D47">
            <v>8645</v>
          </cell>
          <cell r="E47">
            <v>82801</v>
          </cell>
          <cell r="F47">
            <v>514</v>
          </cell>
          <cell r="G47">
            <v>175519</v>
          </cell>
          <cell r="H47">
            <v>11468</v>
          </cell>
          <cell r="I47">
            <v>19544</v>
          </cell>
          <cell r="J47">
            <v>15676</v>
          </cell>
          <cell r="K47">
            <v>1423</v>
          </cell>
          <cell r="L47">
            <v>17548</v>
          </cell>
          <cell r="M47">
            <v>36555</v>
          </cell>
          <cell r="N47">
            <v>241383</v>
          </cell>
        </row>
        <row r="48">
          <cell r="A48" t="str">
            <v>NC0109</v>
          </cell>
          <cell r="B48" t="str">
            <v>Person</v>
          </cell>
          <cell r="C48">
            <v>48976</v>
          </cell>
          <cell r="D48">
            <v>3037</v>
          </cell>
          <cell r="E48">
            <v>78963</v>
          </cell>
          <cell r="F48">
            <v>3626</v>
          </cell>
          <cell r="G48">
            <v>139771</v>
          </cell>
          <cell r="H48">
            <v>5820</v>
          </cell>
          <cell r="I48">
            <v>10358</v>
          </cell>
          <cell r="J48">
            <v>6690</v>
          </cell>
          <cell r="K48">
            <v>183</v>
          </cell>
          <cell r="L48">
            <v>993</v>
          </cell>
          <cell r="M48">
            <v>9361</v>
          </cell>
          <cell r="N48">
            <v>192163</v>
          </cell>
        </row>
        <row r="49">
          <cell r="A49" t="str">
            <v>NC0050</v>
          </cell>
          <cell r="B49" t="str">
            <v>Pitt (Sheppard)</v>
          </cell>
          <cell r="C49">
            <v>171592</v>
          </cell>
          <cell r="D49">
            <v>19813</v>
          </cell>
          <cell r="E49">
            <v>226229</v>
          </cell>
          <cell r="F49">
            <v>1505</v>
          </cell>
          <cell r="G49">
            <v>419139</v>
          </cell>
          <cell r="H49">
            <v>33105</v>
          </cell>
          <cell r="I49">
            <v>17480</v>
          </cell>
          <cell r="J49">
            <v>8238</v>
          </cell>
          <cell r="K49">
            <v>2065</v>
          </cell>
          <cell r="L49">
            <v>555872</v>
          </cell>
          <cell r="M49">
            <v>575080</v>
          </cell>
          <cell r="N49">
            <v>1035899</v>
          </cell>
        </row>
        <row r="50">
          <cell r="A50" t="str">
            <v>NC0051</v>
          </cell>
          <cell r="B50" t="str">
            <v>Polk</v>
          </cell>
          <cell r="C50">
            <v>55430</v>
          </cell>
          <cell r="D50">
            <v>4072</v>
          </cell>
          <cell r="E50">
            <v>25730</v>
          </cell>
          <cell r="F50">
            <v>922</v>
          </cell>
          <cell r="G50">
            <v>86154</v>
          </cell>
          <cell r="H50">
            <v>10979</v>
          </cell>
          <cell r="I50">
            <v>55729</v>
          </cell>
          <cell r="J50">
            <v>5920</v>
          </cell>
          <cell r="K50">
            <v>186</v>
          </cell>
          <cell r="L50">
            <v>495</v>
          </cell>
          <cell r="M50">
            <v>11100</v>
          </cell>
          <cell r="N50">
            <v>159463</v>
          </cell>
        </row>
        <row r="51">
          <cell r="A51" t="str">
            <v>NC0052</v>
          </cell>
          <cell r="B51" t="str">
            <v>Randolph</v>
          </cell>
          <cell r="C51">
            <v>182106</v>
          </cell>
          <cell r="D51">
            <v>21554</v>
          </cell>
          <cell r="E51">
            <v>147518</v>
          </cell>
          <cell r="F51">
            <v>1377</v>
          </cell>
          <cell r="G51">
            <v>352555</v>
          </cell>
          <cell r="H51">
            <v>19490</v>
          </cell>
          <cell r="I51">
            <v>130124</v>
          </cell>
          <cell r="J51">
            <v>24365</v>
          </cell>
          <cell r="K51">
            <v>2270</v>
          </cell>
          <cell r="L51">
            <v>71778</v>
          </cell>
          <cell r="M51">
            <v>105653</v>
          </cell>
          <cell r="N51">
            <v>600582</v>
          </cell>
        </row>
        <row r="52">
          <cell r="A52" t="str">
            <v>NC0053</v>
          </cell>
          <cell r="B52" t="str">
            <v>Robeson</v>
          </cell>
          <cell r="C52">
            <v>42880</v>
          </cell>
          <cell r="D52">
            <v>6061</v>
          </cell>
          <cell r="E52">
            <v>42538</v>
          </cell>
          <cell r="F52">
            <v>0</v>
          </cell>
          <cell r="G52">
            <v>91479</v>
          </cell>
          <cell r="H52">
            <v>1227</v>
          </cell>
          <cell r="I52">
            <v>19174</v>
          </cell>
          <cell r="J52">
            <v>864</v>
          </cell>
          <cell r="K52">
            <v>0</v>
          </cell>
          <cell r="L52">
            <v>2173</v>
          </cell>
          <cell r="M52">
            <v>3169</v>
          </cell>
          <cell r="N52">
            <v>114917</v>
          </cell>
        </row>
        <row r="53">
          <cell r="A53" t="str">
            <v>NC0054</v>
          </cell>
          <cell r="B53" t="str">
            <v>Rockingham</v>
          </cell>
          <cell r="C53">
            <v>148391</v>
          </cell>
          <cell r="D53">
            <v>13481</v>
          </cell>
          <cell r="E53">
            <v>72891</v>
          </cell>
          <cell r="F53">
            <v>4242</v>
          </cell>
          <cell r="G53">
            <v>240906</v>
          </cell>
          <cell r="H53">
            <v>10934</v>
          </cell>
          <cell r="I53">
            <v>72955</v>
          </cell>
          <cell r="J53">
            <v>3261</v>
          </cell>
          <cell r="K53">
            <v>3183</v>
          </cell>
          <cell r="L53">
            <v>50749</v>
          </cell>
          <cell r="M53">
            <v>57324</v>
          </cell>
          <cell r="N53">
            <v>382183</v>
          </cell>
        </row>
        <row r="54">
          <cell r="A54" t="str">
            <v>NC0055</v>
          </cell>
          <cell r="B54" t="str">
            <v>Rowan</v>
          </cell>
          <cell r="C54">
            <v>207148</v>
          </cell>
          <cell r="D54">
            <v>22557</v>
          </cell>
          <cell r="E54">
            <v>174937</v>
          </cell>
          <cell r="F54">
            <v>0</v>
          </cell>
          <cell r="G54">
            <v>404642</v>
          </cell>
          <cell r="H54">
            <v>28529</v>
          </cell>
          <cell r="I54">
            <v>88432</v>
          </cell>
          <cell r="J54">
            <v>26336</v>
          </cell>
          <cell r="K54">
            <v>1373</v>
          </cell>
          <cell r="L54">
            <v>170104</v>
          </cell>
          <cell r="M54">
            <v>209718</v>
          </cell>
          <cell r="N54">
            <v>719516</v>
          </cell>
        </row>
        <row r="55">
          <cell r="A55" t="str">
            <v>NC0056</v>
          </cell>
          <cell r="B55" t="str">
            <v>Rutherford</v>
          </cell>
          <cell r="C55">
            <v>68020</v>
          </cell>
          <cell r="D55">
            <v>5586</v>
          </cell>
          <cell r="E55">
            <v>45582</v>
          </cell>
          <cell r="F55">
            <v>11439</v>
          </cell>
          <cell r="G55">
            <v>130627</v>
          </cell>
          <cell r="H55">
            <v>14739</v>
          </cell>
          <cell r="I55">
            <v>57613</v>
          </cell>
          <cell r="J55">
            <v>10330</v>
          </cell>
          <cell r="K55">
            <v>12</v>
          </cell>
          <cell r="L55">
            <v>15881</v>
          </cell>
          <cell r="M55">
            <v>32118</v>
          </cell>
          <cell r="N55">
            <v>229202</v>
          </cell>
        </row>
        <row r="56">
          <cell r="A56" t="str">
            <v>NC0057</v>
          </cell>
          <cell r="B56" t="str">
            <v>Sampson</v>
          </cell>
          <cell r="C56">
            <v>60969</v>
          </cell>
          <cell r="D56">
            <v>3400</v>
          </cell>
          <cell r="E56">
            <v>63675</v>
          </cell>
          <cell r="F56">
            <v>4304</v>
          </cell>
          <cell r="G56">
            <v>138446</v>
          </cell>
          <cell r="H56">
            <v>1300</v>
          </cell>
          <cell r="I56">
            <v>20725</v>
          </cell>
          <cell r="J56">
            <v>2246</v>
          </cell>
          <cell r="K56">
            <v>18</v>
          </cell>
          <cell r="L56">
            <v>4345</v>
          </cell>
          <cell r="M56">
            <v>6927</v>
          </cell>
          <cell r="N56">
            <v>167081</v>
          </cell>
        </row>
        <row r="57">
          <cell r="A57" t="str">
            <v>NC0058</v>
          </cell>
          <cell r="B57" t="str">
            <v>Scotland</v>
          </cell>
          <cell r="C57">
            <v>23273</v>
          </cell>
          <cell r="D57">
            <v>2879</v>
          </cell>
          <cell r="E57">
            <v>14608</v>
          </cell>
          <cell r="F57">
            <v>0</v>
          </cell>
          <cell r="G57">
            <v>40790</v>
          </cell>
          <cell r="H57">
            <v>2462</v>
          </cell>
          <cell r="I57">
            <v>14320</v>
          </cell>
          <cell r="J57">
            <v>1856</v>
          </cell>
          <cell r="K57">
            <v>19</v>
          </cell>
          <cell r="L57">
            <v>3925</v>
          </cell>
          <cell r="M57">
            <v>6027</v>
          </cell>
          <cell r="N57">
            <v>63372</v>
          </cell>
        </row>
        <row r="58">
          <cell r="A58" t="str">
            <v>NC0059</v>
          </cell>
          <cell r="B58" t="str">
            <v>Stanly</v>
          </cell>
          <cell r="C58">
            <v>70723</v>
          </cell>
          <cell r="D58">
            <v>3072</v>
          </cell>
          <cell r="E58">
            <v>47211</v>
          </cell>
          <cell r="F58">
            <v>916</v>
          </cell>
          <cell r="G58">
            <v>121939</v>
          </cell>
          <cell r="H58">
            <v>9096</v>
          </cell>
          <cell r="I58">
            <v>14511</v>
          </cell>
          <cell r="J58">
            <v>11792</v>
          </cell>
          <cell r="K58">
            <v>195</v>
          </cell>
          <cell r="L58">
            <v>5683</v>
          </cell>
          <cell r="M58">
            <v>20080</v>
          </cell>
          <cell r="N58">
            <v>163718</v>
          </cell>
        </row>
        <row r="59">
          <cell r="A59" t="str">
            <v>NC0060</v>
          </cell>
          <cell r="B59" t="str">
            <v>Transylvania</v>
          </cell>
          <cell r="C59">
            <v>119456</v>
          </cell>
          <cell r="D59">
            <v>9177</v>
          </cell>
          <cell r="E59">
            <v>78143</v>
          </cell>
          <cell r="F59">
            <v>0</v>
          </cell>
          <cell r="G59">
            <v>206776</v>
          </cell>
          <cell r="H59">
            <v>27577</v>
          </cell>
          <cell r="I59">
            <v>54712</v>
          </cell>
          <cell r="J59">
            <v>30852</v>
          </cell>
          <cell r="K59">
            <v>4115</v>
          </cell>
          <cell r="L59">
            <v>55520</v>
          </cell>
          <cell r="M59">
            <v>100620</v>
          </cell>
          <cell r="N59">
            <v>379552</v>
          </cell>
        </row>
        <row r="60">
          <cell r="A60" t="str">
            <v>NC0061</v>
          </cell>
          <cell r="B60" t="str">
            <v>Union</v>
          </cell>
          <cell r="C60">
            <v>248055</v>
          </cell>
          <cell r="D60">
            <v>36840</v>
          </cell>
          <cell r="E60">
            <v>362697</v>
          </cell>
          <cell r="F60">
            <v>4362</v>
          </cell>
          <cell r="G60">
            <v>652909</v>
          </cell>
          <cell r="H60">
            <v>56311</v>
          </cell>
          <cell r="I60">
            <v>158644</v>
          </cell>
          <cell r="J60">
            <v>54663</v>
          </cell>
          <cell r="K60">
            <v>1074</v>
          </cell>
          <cell r="L60">
            <v>550027</v>
          </cell>
          <cell r="M60">
            <v>622246</v>
          </cell>
          <cell r="N60">
            <v>1474214</v>
          </cell>
        </row>
        <row r="61">
          <cell r="A61" t="str">
            <v>NC0062</v>
          </cell>
          <cell r="B61" t="str">
            <v>Vance (Perry)</v>
          </cell>
          <cell r="C61">
            <v>30124</v>
          </cell>
          <cell r="D61">
            <v>4255</v>
          </cell>
          <cell r="E61">
            <v>34204</v>
          </cell>
          <cell r="F61">
            <v>672</v>
          </cell>
          <cell r="G61">
            <v>69255</v>
          </cell>
          <cell r="H61">
            <v>4141</v>
          </cell>
          <cell r="I61">
            <v>3198</v>
          </cell>
          <cell r="J61">
            <v>4123</v>
          </cell>
          <cell r="K61">
            <v>33</v>
          </cell>
          <cell r="L61">
            <v>8834</v>
          </cell>
          <cell r="M61">
            <v>13751</v>
          </cell>
          <cell r="N61">
            <v>89584</v>
          </cell>
        </row>
        <row r="62">
          <cell r="A62" t="str">
            <v>NC0063</v>
          </cell>
          <cell r="B62" t="str">
            <v>Wake</v>
          </cell>
          <cell r="C62">
            <v>3263900</v>
          </cell>
          <cell r="D62">
            <v>426512</v>
          </cell>
          <cell r="E62">
            <v>6008566</v>
          </cell>
          <cell r="F62">
            <v>51674</v>
          </cell>
          <cell r="G62">
            <v>9750652</v>
          </cell>
          <cell r="H62">
            <v>576452</v>
          </cell>
          <cell r="I62">
            <v>169</v>
          </cell>
          <cell r="J62">
            <v>550474</v>
          </cell>
          <cell r="K62">
            <v>0</v>
          </cell>
          <cell r="L62">
            <v>571883</v>
          </cell>
          <cell r="M62">
            <v>1425567</v>
          </cell>
          <cell r="N62">
            <v>11449630</v>
          </cell>
        </row>
        <row r="63">
          <cell r="A63" t="str">
            <v>NC0101</v>
          </cell>
          <cell r="B63" t="str">
            <v>Warren</v>
          </cell>
          <cell r="C63">
            <v>19117</v>
          </cell>
          <cell r="D63">
            <v>1471</v>
          </cell>
          <cell r="E63">
            <v>13589</v>
          </cell>
          <cell r="F63">
            <v>3767</v>
          </cell>
          <cell r="G63">
            <v>37944</v>
          </cell>
          <cell r="H63">
            <v>2407</v>
          </cell>
          <cell r="I63">
            <v>7747</v>
          </cell>
          <cell r="J63">
            <v>51</v>
          </cell>
          <cell r="K63">
            <v>0</v>
          </cell>
          <cell r="L63">
            <v>818</v>
          </cell>
          <cell r="M63">
            <v>991</v>
          </cell>
          <cell r="N63">
            <v>51894</v>
          </cell>
        </row>
        <row r="64">
          <cell r="A64" t="str">
            <v>NC0065</v>
          </cell>
          <cell r="B64" t="str">
            <v>Wayne</v>
          </cell>
          <cell r="C64">
            <v>97398</v>
          </cell>
          <cell r="D64">
            <v>10812</v>
          </cell>
          <cell r="E64">
            <v>90033</v>
          </cell>
          <cell r="F64">
            <v>2033</v>
          </cell>
          <cell r="G64">
            <v>200626</v>
          </cell>
          <cell r="H64">
            <v>12374</v>
          </cell>
          <cell r="I64">
            <v>28930</v>
          </cell>
          <cell r="J64">
            <v>21936</v>
          </cell>
          <cell r="K64">
            <v>406</v>
          </cell>
          <cell r="L64">
            <v>71427</v>
          </cell>
          <cell r="M64">
            <v>97276</v>
          </cell>
          <cell r="N64">
            <v>335701</v>
          </cell>
        </row>
        <row r="65">
          <cell r="A65" t="str">
            <v>NC0066</v>
          </cell>
          <cell r="B65" t="str">
            <v>Wilson</v>
          </cell>
          <cell r="C65">
            <v>93366</v>
          </cell>
          <cell r="D65">
            <v>8853</v>
          </cell>
          <cell r="E65">
            <v>92537</v>
          </cell>
          <cell r="F65">
            <v>4127</v>
          </cell>
          <cell r="G65">
            <v>198883</v>
          </cell>
          <cell r="H65">
            <v>8433</v>
          </cell>
          <cell r="I65">
            <v>32181</v>
          </cell>
          <cell r="J65">
            <v>6504</v>
          </cell>
          <cell r="K65">
            <v>0</v>
          </cell>
          <cell r="L65">
            <v>62554</v>
          </cell>
          <cell r="M65">
            <v>69141</v>
          </cell>
          <cell r="N65">
            <v>308555</v>
          </cell>
        </row>
        <row r="66">
          <cell r="A66" t="str">
            <v>Mean average</v>
          </cell>
          <cell r="C66">
            <v>223634.96551724139</v>
          </cell>
          <cell r="D66">
            <v>24921.310344827587</v>
          </cell>
          <cell r="E66">
            <v>285685.06896551722</v>
          </cell>
          <cell r="F66">
            <v>3025.6034482758619</v>
          </cell>
          <cell r="G66">
            <v>539157.12068965519</v>
          </cell>
          <cell r="H66">
            <v>52019.724137931036</v>
          </cell>
          <cell r="I66">
            <v>77273.655172413797</v>
          </cell>
          <cell r="J66">
            <v>51697.827586206899</v>
          </cell>
          <cell r="K66">
            <v>2384.8275862068967</v>
          </cell>
          <cell r="L66">
            <v>134987</v>
          </cell>
          <cell r="M66">
            <v>212225.8275862069</v>
          </cell>
          <cell r="N66">
            <v>861341.74137931038</v>
          </cell>
        </row>
        <row r="67">
          <cell r="A67" t="str">
            <v>Regional Libraries</v>
          </cell>
        </row>
        <row r="68">
          <cell r="A68" t="str">
            <v>NC0001</v>
          </cell>
          <cell r="B68" t="str">
            <v>Albemarle</v>
          </cell>
          <cell r="C68">
            <v>36411</v>
          </cell>
          <cell r="D68">
            <v>3089</v>
          </cell>
          <cell r="E68">
            <v>24614</v>
          </cell>
          <cell r="F68">
            <v>380</v>
          </cell>
          <cell r="G68">
            <v>64494</v>
          </cell>
          <cell r="H68">
            <v>3330</v>
          </cell>
          <cell r="I68">
            <v>12311</v>
          </cell>
          <cell r="J68">
            <v>70</v>
          </cell>
          <cell r="K68">
            <v>0</v>
          </cell>
          <cell r="L68">
            <v>1439</v>
          </cell>
          <cell r="M68">
            <v>1531</v>
          </cell>
          <cell r="N68">
            <v>81657</v>
          </cell>
        </row>
        <row r="69">
          <cell r="A69" t="str">
            <v>NC0003</v>
          </cell>
          <cell r="B69" t="str">
            <v>AMY</v>
          </cell>
          <cell r="C69">
            <v>97456</v>
          </cell>
          <cell r="D69">
            <v>8826</v>
          </cell>
          <cell r="E69">
            <v>141025</v>
          </cell>
          <cell r="F69">
            <v>4793</v>
          </cell>
          <cell r="G69">
            <v>253282</v>
          </cell>
          <cell r="H69">
            <v>6017</v>
          </cell>
          <cell r="I69">
            <v>9252</v>
          </cell>
          <cell r="J69">
            <v>2581</v>
          </cell>
          <cell r="K69">
            <v>0</v>
          </cell>
          <cell r="L69">
            <v>1911</v>
          </cell>
          <cell r="M69">
            <v>6130</v>
          </cell>
          <cell r="N69">
            <v>273650</v>
          </cell>
        </row>
        <row r="70">
          <cell r="A70" t="str">
            <v>NC0002</v>
          </cell>
          <cell r="B70" t="str">
            <v>Appalachian</v>
          </cell>
          <cell r="C70">
            <v>233372</v>
          </cell>
          <cell r="D70">
            <v>23846</v>
          </cell>
          <cell r="E70">
            <v>205384</v>
          </cell>
          <cell r="F70">
            <v>3634</v>
          </cell>
          <cell r="G70">
            <v>471634</v>
          </cell>
          <cell r="H70">
            <v>37355</v>
          </cell>
          <cell r="I70">
            <v>105025</v>
          </cell>
          <cell r="J70">
            <v>9390</v>
          </cell>
          <cell r="K70">
            <v>0</v>
          </cell>
          <cell r="L70">
            <v>117666</v>
          </cell>
          <cell r="M70">
            <v>129250</v>
          </cell>
          <cell r="N70">
            <v>742007</v>
          </cell>
        </row>
        <row r="71">
          <cell r="A71" t="str">
            <v>NC0004</v>
          </cell>
          <cell r="B71" t="str">
            <v>BHM</v>
          </cell>
          <cell r="C71">
            <v>45087</v>
          </cell>
          <cell r="D71">
            <v>1746</v>
          </cell>
          <cell r="E71">
            <v>31013</v>
          </cell>
          <cell r="F71">
            <v>471</v>
          </cell>
          <cell r="G71">
            <v>78472</v>
          </cell>
          <cell r="H71">
            <v>1874</v>
          </cell>
          <cell r="I71">
            <v>14256</v>
          </cell>
          <cell r="J71">
            <v>1171</v>
          </cell>
          <cell r="K71">
            <v>91</v>
          </cell>
          <cell r="L71">
            <v>5021</v>
          </cell>
          <cell r="M71">
            <v>7000</v>
          </cell>
          <cell r="N71">
            <v>100963</v>
          </cell>
        </row>
        <row r="72">
          <cell r="A72" t="str">
            <v>NC0006</v>
          </cell>
          <cell r="B72" t="str">
            <v>CPC</v>
          </cell>
          <cell r="C72">
            <v>238141</v>
          </cell>
          <cell r="D72">
            <v>18479</v>
          </cell>
          <cell r="E72">
            <v>143807</v>
          </cell>
          <cell r="F72">
            <v>5539</v>
          </cell>
          <cell r="G72">
            <v>405966</v>
          </cell>
          <cell r="H72">
            <v>37708</v>
          </cell>
          <cell r="I72">
            <v>19540</v>
          </cell>
          <cell r="J72">
            <v>3520</v>
          </cell>
          <cell r="K72">
            <v>0</v>
          </cell>
          <cell r="L72">
            <v>91453</v>
          </cell>
          <cell r="M72">
            <v>107242</v>
          </cell>
          <cell r="N72">
            <v>561067</v>
          </cell>
        </row>
        <row r="73">
          <cell r="A73" t="str">
            <v>NC0007</v>
          </cell>
          <cell r="B73" t="str">
            <v>E. Albemarle</v>
          </cell>
          <cell r="C73">
            <v>166828</v>
          </cell>
          <cell r="D73">
            <v>10253</v>
          </cell>
          <cell r="E73">
            <v>140544</v>
          </cell>
          <cell r="F73">
            <v>2641</v>
          </cell>
          <cell r="G73">
            <v>320266</v>
          </cell>
          <cell r="H73">
            <v>20632</v>
          </cell>
          <cell r="I73">
            <v>75006</v>
          </cell>
          <cell r="J73">
            <v>18183</v>
          </cell>
          <cell r="K73">
            <v>1985</v>
          </cell>
          <cell r="L73">
            <v>147472</v>
          </cell>
          <cell r="M73">
            <v>168543</v>
          </cell>
          <cell r="N73">
            <v>583761</v>
          </cell>
        </row>
        <row r="74">
          <cell r="A74" t="str">
            <v>NC0008</v>
          </cell>
          <cell r="B74" t="str">
            <v>Fontana</v>
          </cell>
          <cell r="C74">
            <v>166656</v>
          </cell>
          <cell r="D74">
            <v>8850</v>
          </cell>
          <cell r="E74">
            <v>104791</v>
          </cell>
          <cell r="F74">
            <v>4992</v>
          </cell>
          <cell r="G74">
            <v>287610</v>
          </cell>
          <cell r="H74">
            <v>29851</v>
          </cell>
          <cell r="I74">
            <v>30363</v>
          </cell>
          <cell r="J74">
            <v>42571</v>
          </cell>
          <cell r="K74">
            <v>859</v>
          </cell>
          <cell r="L74">
            <v>7682</v>
          </cell>
          <cell r="M74">
            <v>59520</v>
          </cell>
          <cell r="N74">
            <v>400443</v>
          </cell>
        </row>
        <row r="75">
          <cell r="A75" t="str">
            <v>NC0011</v>
          </cell>
          <cell r="B75" t="str">
            <v>Nantahala</v>
          </cell>
          <cell r="C75">
            <v>113607</v>
          </cell>
          <cell r="D75">
            <v>5472</v>
          </cell>
          <cell r="E75">
            <v>58243</v>
          </cell>
          <cell r="F75">
            <v>3619</v>
          </cell>
          <cell r="G75">
            <v>180941</v>
          </cell>
          <cell r="H75">
            <v>10806</v>
          </cell>
          <cell r="I75">
            <v>49739</v>
          </cell>
          <cell r="J75">
            <v>128</v>
          </cell>
          <cell r="K75">
            <v>0</v>
          </cell>
          <cell r="L75">
            <v>65281</v>
          </cell>
          <cell r="M75">
            <v>67081</v>
          </cell>
          <cell r="N75">
            <v>306921</v>
          </cell>
        </row>
        <row r="76">
          <cell r="A76" t="str">
            <v>NC0012</v>
          </cell>
          <cell r="B76" t="str">
            <v>Neuse</v>
          </cell>
          <cell r="C76">
            <v>88667</v>
          </cell>
          <cell r="D76">
            <v>8382</v>
          </cell>
          <cell r="E76">
            <v>42330</v>
          </cell>
          <cell r="F76">
            <v>2616</v>
          </cell>
          <cell r="G76">
            <v>146106</v>
          </cell>
          <cell r="H76">
            <v>6874</v>
          </cell>
          <cell r="I76">
            <v>35829</v>
          </cell>
          <cell r="J76">
            <v>3249</v>
          </cell>
          <cell r="K76">
            <v>718</v>
          </cell>
          <cell r="L76">
            <v>4835</v>
          </cell>
          <cell r="M76">
            <v>10084</v>
          </cell>
          <cell r="N76">
            <v>198579</v>
          </cell>
        </row>
        <row r="77">
          <cell r="A77" t="str">
            <v>NC0013</v>
          </cell>
          <cell r="B77" t="str">
            <v>Northwestern</v>
          </cell>
          <cell r="C77">
            <v>166991</v>
          </cell>
          <cell r="D77">
            <v>14891</v>
          </cell>
          <cell r="E77">
            <v>151280</v>
          </cell>
          <cell r="F77">
            <v>15</v>
          </cell>
          <cell r="G77">
            <v>333649</v>
          </cell>
          <cell r="H77">
            <v>11206</v>
          </cell>
          <cell r="I77">
            <v>38795</v>
          </cell>
          <cell r="J77">
            <v>7520</v>
          </cell>
          <cell r="K77">
            <v>0</v>
          </cell>
          <cell r="L77">
            <v>11768</v>
          </cell>
          <cell r="M77">
            <v>20778</v>
          </cell>
          <cell r="N77">
            <v>402958</v>
          </cell>
        </row>
        <row r="78">
          <cell r="A78" t="str">
            <v>NC0014</v>
          </cell>
          <cell r="B78" t="str">
            <v>Pettigrew</v>
          </cell>
          <cell r="C78">
            <v>47435</v>
          </cell>
          <cell r="D78">
            <v>3481</v>
          </cell>
          <cell r="E78">
            <v>36194</v>
          </cell>
          <cell r="F78">
            <v>1514</v>
          </cell>
          <cell r="G78">
            <v>89245</v>
          </cell>
          <cell r="H78">
            <v>8806</v>
          </cell>
          <cell r="I78">
            <v>25463</v>
          </cell>
          <cell r="J78">
            <v>11526</v>
          </cell>
          <cell r="K78">
            <v>0</v>
          </cell>
          <cell r="L78">
            <v>2833</v>
          </cell>
          <cell r="M78">
            <v>16175</v>
          </cell>
          <cell r="N78">
            <v>139201</v>
          </cell>
        </row>
        <row r="79">
          <cell r="A79" t="str">
            <v>NC0015</v>
          </cell>
          <cell r="B79" t="str">
            <v>Sandhill</v>
          </cell>
          <cell r="C79">
            <v>128035</v>
          </cell>
          <cell r="D79">
            <v>17867</v>
          </cell>
          <cell r="E79">
            <v>131234</v>
          </cell>
          <cell r="F79">
            <v>1676</v>
          </cell>
          <cell r="G79">
            <v>293015</v>
          </cell>
          <cell r="H79">
            <v>11748</v>
          </cell>
          <cell r="I79">
            <v>34429</v>
          </cell>
          <cell r="J79">
            <v>10602</v>
          </cell>
          <cell r="K79">
            <v>1581</v>
          </cell>
          <cell r="L79">
            <v>4949</v>
          </cell>
          <cell r="M79">
            <v>18770</v>
          </cell>
          <cell r="N79">
            <v>357715</v>
          </cell>
        </row>
        <row r="80">
          <cell r="A80" t="str">
            <v>Mean average</v>
          </cell>
          <cell r="C80">
            <v>127390.5</v>
          </cell>
          <cell r="D80">
            <v>10431.833333333334</v>
          </cell>
          <cell r="E80">
            <v>100871.58333333333</v>
          </cell>
          <cell r="F80">
            <v>2657.5</v>
          </cell>
          <cell r="G80">
            <v>243723.33333333334</v>
          </cell>
          <cell r="H80">
            <v>15517.25</v>
          </cell>
          <cell r="I80">
            <v>37500.666666666664</v>
          </cell>
          <cell r="J80">
            <v>9209.25</v>
          </cell>
          <cell r="K80">
            <v>436.16666666666669</v>
          </cell>
          <cell r="L80">
            <v>38525.833333333336</v>
          </cell>
          <cell r="M80">
            <v>51008.666666666664</v>
          </cell>
          <cell r="N80">
            <v>4148922</v>
          </cell>
        </row>
        <row r="81">
          <cell r="B81" t="str">
            <v>Municipal Libraries</v>
          </cell>
        </row>
        <row r="82">
          <cell r="A82" t="str">
            <v>NC0071</v>
          </cell>
          <cell r="B82" t="str">
            <v>Chapel Hill</v>
          </cell>
          <cell r="C82">
            <v>333746</v>
          </cell>
          <cell r="D82">
            <v>40248</v>
          </cell>
          <cell r="E82">
            <v>660788</v>
          </cell>
          <cell r="F82">
            <v>4957</v>
          </cell>
          <cell r="G82">
            <v>1039739</v>
          </cell>
          <cell r="H82">
            <v>129047</v>
          </cell>
          <cell r="I82">
            <v>200608</v>
          </cell>
          <cell r="J82">
            <v>59429</v>
          </cell>
          <cell r="K82">
            <v>2407</v>
          </cell>
          <cell r="L82">
            <v>111390</v>
          </cell>
          <cell r="M82">
            <v>213504</v>
          </cell>
          <cell r="N82">
            <v>1542620</v>
          </cell>
          <cell r="O82">
            <v>45331.178372024682</v>
          </cell>
        </row>
        <row r="83">
          <cell r="A83" t="str">
            <v>NC0110</v>
          </cell>
          <cell r="B83" t="str">
            <v>Clayton</v>
          </cell>
          <cell r="C83">
            <v>58254</v>
          </cell>
          <cell r="D83">
            <v>5585</v>
          </cell>
          <cell r="E83">
            <v>65639</v>
          </cell>
          <cell r="F83">
            <v>38</v>
          </cell>
          <cell r="G83">
            <v>134903</v>
          </cell>
          <cell r="H83">
            <v>8621</v>
          </cell>
          <cell r="I83">
            <v>5</v>
          </cell>
          <cell r="J83">
            <v>2286</v>
          </cell>
          <cell r="K83">
            <v>0</v>
          </cell>
          <cell r="L83">
            <v>0</v>
          </cell>
          <cell r="M83">
            <v>4248</v>
          </cell>
          <cell r="N83">
            <v>146382</v>
          </cell>
          <cell r="O83">
            <v>15739.999999999998</v>
          </cell>
        </row>
        <row r="84">
          <cell r="A84" t="str">
            <v>NC0075</v>
          </cell>
          <cell r="B84" t="str">
            <v>Farmville</v>
          </cell>
          <cell r="C84">
            <v>9631</v>
          </cell>
          <cell r="D84">
            <v>860</v>
          </cell>
          <cell r="E84">
            <v>5221</v>
          </cell>
          <cell r="F84">
            <v>865</v>
          </cell>
          <cell r="G84">
            <v>21783</v>
          </cell>
          <cell r="H84">
            <v>716</v>
          </cell>
          <cell r="I84">
            <v>1024</v>
          </cell>
          <cell r="J84">
            <v>1433</v>
          </cell>
          <cell r="K84">
            <v>110</v>
          </cell>
          <cell r="L84">
            <v>9308</v>
          </cell>
          <cell r="M84">
            <v>11164</v>
          </cell>
          <cell r="N84">
            <v>34638</v>
          </cell>
          <cell r="O84">
            <v>8659.5</v>
          </cell>
        </row>
      </sheetData>
      <sheetData sheetId="10">
        <row r="4">
          <cell r="C4" t="str">
            <v>Print circulation (Books only)</v>
          </cell>
          <cell r="I4" t="str">
            <v>Electronic Materials</v>
          </cell>
          <cell r="J4" t="str">
            <v>Total</v>
          </cell>
          <cell r="K4" t="str">
            <v>Cost Per</v>
          </cell>
        </row>
        <row r="5">
          <cell r="C5" t="str">
            <v>% Adult</v>
          </cell>
          <cell r="D5" t="str">
            <v>% Adult</v>
          </cell>
          <cell r="E5" t="str">
            <v>% Young</v>
          </cell>
          <cell r="F5" t="str">
            <v xml:space="preserve">% Young Adult </v>
          </cell>
          <cell r="G5" t="str">
            <v>% Juvenile</v>
          </cell>
          <cell r="H5" t="str">
            <v>% Juvenile</v>
          </cell>
          <cell r="I5" t="str">
            <v>Circulation</v>
          </cell>
          <cell r="J5" t="str">
            <v>Collection Use</v>
          </cell>
          <cell r="K5" t="str">
            <v>Collection Use</v>
          </cell>
        </row>
        <row r="6">
          <cell r="C6" t="str">
            <v>Fiction</v>
          </cell>
          <cell r="D6" t="str">
            <v>Non-Fiction</v>
          </cell>
          <cell r="E6" t="str">
            <v>Adult Fiction</v>
          </cell>
          <cell r="F6" t="str">
            <v>Non-Fiction</v>
          </cell>
          <cell r="G6" t="str">
            <v>Fiction</v>
          </cell>
          <cell r="H6" t="str">
            <v>Non-Fiction</v>
          </cell>
          <cell r="I6" t="str">
            <v>Per Capita</v>
          </cell>
          <cell r="J6" t="str">
            <v>Per Capita</v>
          </cell>
          <cell r="K6" t="str">
            <v>($)</v>
          </cell>
        </row>
        <row r="7">
          <cell r="B7" t="str">
            <v>County Libraries</v>
          </cell>
        </row>
        <row r="8">
          <cell r="A8" t="str">
            <v>NC0103</v>
          </cell>
          <cell r="B8" t="str">
            <v>Alamance</v>
          </cell>
          <cell r="C8">
            <v>0.17645314893625633</v>
          </cell>
          <cell r="D8">
            <v>5.0603965184730981E-2</v>
          </cell>
          <cell r="E8">
            <v>2.0414812476348323E-2</v>
          </cell>
          <cell r="F8">
            <v>0</v>
          </cell>
          <cell r="G8">
            <v>0.16768052680253606</v>
          </cell>
          <cell r="H8">
            <v>3.2450607203061414E-2</v>
          </cell>
          <cell r="I8">
            <v>1.11053478692771</v>
          </cell>
          <cell r="J8">
            <v>6.2136255611301818</v>
          </cell>
          <cell r="K8">
            <v>2.835560385388272</v>
          </cell>
        </row>
        <row r="9">
          <cell r="A9" t="str">
            <v>NC0016</v>
          </cell>
          <cell r="B9" t="str">
            <v>Alexander</v>
          </cell>
          <cell r="C9">
            <v>0.25033584094572808</v>
          </cell>
          <cell r="D9">
            <v>5.4193533942324915E-2</v>
          </cell>
          <cell r="E9">
            <v>5.1865036718610064E-2</v>
          </cell>
          <cell r="F9">
            <v>5.5973490954683863E-5</v>
          </cell>
          <cell r="G9">
            <v>0.25779150994089201</v>
          </cell>
          <cell r="H9">
            <v>4.3849632813899336E-2</v>
          </cell>
          <cell r="I9">
            <v>0.20815484275415316</v>
          </cell>
          <cell r="J9">
            <v>2.3332985059032496</v>
          </cell>
          <cell r="K9">
            <v>5.3650031345154936</v>
          </cell>
        </row>
        <row r="10">
          <cell r="A10" t="str">
            <v>NC0017</v>
          </cell>
          <cell r="B10" t="str">
            <v>Bladen</v>
          </cell>
          <cell r="C10">
            <v>0.31697341513292432</v>
          </cell>
          <cell r="D10">
            <v>5.6383289512123867E-2</v>
          </cell>
          <cell r="E10">
            <v>4.9664037394098746E-4</v>
          </cell>
          <cell r="F10">
            <v>2.9214139643587497E-5</v>
          </cell>
          <cell r="G10">
            <v>0.36085305287759273</v>
          </cell>
          <cell r="H10">
            <v>4.2331288343558281E-2</v>
          </cell>
          <cell r="I10">
            <v>5.9364813799867307E-2</v>
          </cell>
          <cell r="J10">
            <v>0.98739435197738479</v>
          </cell>
          <cell r="K10">
            <v>15.488635699678644</v>
          </cell>
        </row>
        <row r="11">
          <cell r="A11" t="str">
            <v>NC0018</v>
          </cell>
          <cell r="B11" t="str">
            <v>Brunswick</v>
          </cell>
          <cell r="C11">
            <v>0.46569340546084848</v>
          </cell>
          <cell r="D11">
            <v>9.0981266242251793E-2</v>
          </cell>
          <cell r="E11">
            <v>0</v>
          </cell>
          <cell r="F11">
            <v>0</v>
          </cell>
          <cell r="G11">
            <v>0.15244909733762679</v>
          </cell>
          <cell r="H11">
            <v>2.2609707627139538E-2</v>
          </cell>
          <cell r="I11">
            <v>0.37261056751467708</v>
          </cell>
          <cell r="J11">
            <v>3.1747788649706457</v>
          </cell>
          <cell r="K11">
            <v>3.0725557106154673</v>
          </cell>
        </row>
        <row r="12">
          <cell r="A12" t="str">
            <v>NC0019</v>
          </cell>
          <cell r="B12" t="str">
            <v>Buncombe</v>
          </cell>
          <cell r="C12">
            <v>0.21941734019824785</v>
          </cell>
          <cell r="D12">
            <v>9.0049109367860022E-2</v>
          </cell>
          <cell r="E12">
            <v>1.4067003805076271E-2</v>
          </cell>
          <cell r="F12">
            <v>7.8026420687225782E-3</v>
          </cell>
          <cell r="G12">
            <v>0.22031871467162814</v>
          </cell>
          <cell r="H12">
            <v>5.6505764325201512E-2</v>
          </cell>
          <cell r="I12">
            <v>1.5608964188138046</v>
          </cell>
          <cell r="J12">
            <v>7.0968398566596749</v>
          </cell>
          <cell r="K12">
            <v>2.8201798822814754</v>
          </cell>
        </row>
        <row r="13">
          <cell r="A13" t="str">
            <v>NC0020</v>
          </cell>
          <cell r="B13" t="str">
            <v>Burke</v>
          </cell>
          <cell r="C13">
            <v>0.26394131662784781</v>
          </cell>
          <cell r="D13">
            <v>0.10329826252242122</v>
          </cell>
          <cell r="E13">
            <v>3.9568441624501377E-2</v>
          </cell>
          <cell r="F13">
            <v>1.1480559348200501E-2</v>
          </cell>
          <cell r="G13">
            <v>0.21577472581408008</v>
          </cell>
          <cell r="H13">
            <v>5.0553726162111033E-2</v>
          </cell>
          <cell r="I13">
            <v>0.63492930125798075</v>
          </cell>
          <cell r="J13">
            <v>2.4972199627842713</v>
          </cell>
          <cell r="K13">
            <v>5.9177933053123803</v>
          </cell>
        </row>
        <row r="14">
          <cell r="A14" t="str">
            <v>NC0021</v>
          </cell>
          <cell r="B14" t="str">
            <v>Cabarrus</v>
          </cell>
          <cell r="C14">
            <v>0.16723679171219458</v>
          </cell>
          <cell r="D14">
            <v>6.4347901259636256E-2</v>
          </cell>
          <cell r="E14">
            <v>3.2178976710148965E-2</v>
          </cell>
          <cell r="F14">
            <v>0</v>
          </cell>
          <cell r="G14">
            <v>0.31163809004926563</v>
          </cell>
          <cell r="H14">
            <v>6.9462440604295697E-2</v>
          </cell>
          <cell r="I14">
            <v>1.3097133004091437</v>
          </cell>
          <cell r="J14">
            <v>4.9576204880820081</v>
          </cell>
          <cell r="K14">
            <v>3.3446544117425319</v>
          </cell>
        </row>
        <row r="15">
          <cell r="A15" t="str">
            <v>NC0022</v>
          </cell>
          <cell r="B15" t="str">
            <v>Caldwell</v>
          </cell>
          <cell r="C15">
            <v>0.24979570678253482</v>
          </cell>
          <cell r="D15">
            <v>8.8924247714975868E-2</v>
          </cell>
          <cell r="E15">
            <v>4.482931166685266E-2</v>
          </cell>
          <cell r="F15">
            <v>1.699143588432864E-3</v>
          </cell>
          <cell r="G15">
            <v>0.19589829617656693</v>
          </cell>
          <cell r="H15">
            <v>3.8911108151209378E-2</v>
          </cell>
          <cell r="I15">
            <v>0.48912675784081572</v>
          </cell>
          <cell r="J15">
            <v>3.3560503551925773</v>
          </cell>
          <cell r="K15">
            <v>3.974422849161408</v>
          </cell>
        </row>
        <row r="16">
          <cell r="A16" t="str">
            <v>NC0107</v>
          </cell>
          <cell r="B16" t="str">
            <v>Caswell</v>
          </cell>
          <cell r="C16">
            <v>0.24740677443091458</v>
          </cell>
          <cell r="D16">
            <v>9.3356120487075409E-2</v>
          </cell>
          <cell r="E16">
            <v>5.2457926843741842E-2</v>
          </cell>
          <cell r="F16">
            <v>1.5238909065014598E-2</v>
          </cell>
          <cell r="G16">
            <v>0.29243513968999979</v>
          </cell>
          <cell r="H16">
            <v>7.7642479052434196E-2</v>
          </cell>
          <cell r="I16">
            <v>8.5271645067330828E-2</v>
          </cell>
          <cell r="J16">
            <v>1.7784203638819704</v>
          </cell>
          <cell r="K16">
            <v>7.4484321963493079</v>
          </cell>
        </row>
        <row r="17">
          <cell r="A17" t="str">
            <v>NC0023</v>
          </cell>
          <cell r="B17" t="str">
            <v>Catawba</v>
          </cell>
          <cell r="C17">
            <v>0.19170144960005714</v>
          </cell>
          <cell r="D17">
            <v>4.952245508252931E-2</v>
          </cell>
          <cell r="E17">
            <v>2.6486980549156363E-2</v>
          </cell>
          <cell r="F17">
            <v>2.6852262230036544E-3</v>
          </cell>
          <cell r="G17">
            <v>0.19119492566923663</v>
          </cell>
          <cell r="H17">
            <v>2.930046122900239E-2</v>
          </cell>
          <cell r="I17">
            <v>1.2091414889585559</v>
          </cell>
          <cell r="J17">
            <v>5.3050866434698731</v>
          </cell>
          <cell r="K17">
            <v>4.403780746570817</v>
          </cell>
        </row>
        <row r="18">
          <cell r="A18" t="str">
            <v>NC0104</v>
          </cell>
          <cell r="B18" t="str">
            <v>Chatham</v>
          </cell>
          <cell r="C18">
            <v>0.21138278185442672</v>
          </cell>
          <cell r="D18">
            <v>8.8412869667112037E-2</v>
          </cell>
          <cell r="E18">
            <v>2.8515901312545996E-2</v>
          </cell>
          <cell r="F18">
            <v>1.6790871481955173E-4</v>
          </cell>
          <cell r="G18">
            <v>0.25875804711447087</v>
          </cell>
          <cell r="H18">
            <v>5.6242274412855377E-2</v>
          </cell>
          <cell r="I18">
            <v>0.7083617607728625</v>
          </cell>
          <cell r="J18">
            <v>3.8194743880140818</v>
          </cell>
          <cell r="K18">
            <v>6.9823874475731831</v>
          </cell>
        </row>
        <row r="19">
          <cell r="A19" t="str">
            <v>NC0024</v>
          </cell>
          <cell r="B19" t="str">
            <v>Cleveland</v>
          </cell>
          <cell r="C19">
            <v>0.31062483083137271</v>
          </cell>
          <cell r="D19">
            <v>8.2955089633346524E-2</v>
          </cell>
          <cell r="E19">
            <v>2.5057777592704406E-2</v>
          </cell>
          <cell r="F19">
            <v>3.7477357429886108E-4</v>
          </cell>
          <cell r="G19">
            <v>0.20418913573049616</v>
          </cell>
          <cell r="H19">
            <v>3.9762435195402776E-2</v>
          </cell>
          <cell r="I19">
            <v>0.34588774393065541</v>
          </cell>
          <cell r="J19">
            <v>2.1683276712452457</v>
          </cell>
          <cell r="K19">
            <v>5.5258749921922172</v>
          </cell>
        </row>
        <row r="20">
          <cell r="A20" t="str">
            <v>NC0025</v>
          </cell>
          <cell r="B20" t="str">
            <v>Columbus</v>
          </cell>
          <cell r="C20">
            <v>0.45479596347186563</v>
          </cell>
          <cell r="D20">
            <v>0.10316094386291605</v>
          </cell>
          <cell r="E20">
            <v>1.9928711828381723E-2</v>
          </cell>
          <cell r="F20">
            <v>8.9439381542194517E-3</v>
          </cell>
          <cell r="G20">
            <v>0.15567719060651375</v>
          </cell>
          <cell r="H20">
            <v>3.6180157812073843E-2</v>
          </cell>
          <cell r="I20">
            <v>0.12792487146304782</v>
          </cell>
          <cell r="J20">
            <v>1.8594837536287643</v>
          </cell>
          <cell r="K20">
            <v>12.836159467313715</v>
          </cell>
        </row>
        <row r="21">
          <cell r="A21" t="str">
            <v>NC0026</v>
          </cell>
          <cell r="B21" t="str">
            <v>Cumberland</v>
          </cell>
          <cell r="C21">
            <v>0.16234743927369064</v>
          </cell>
          <cell r="D21">
            <v>8.8834927438778924E-2</v>
          </cell>
          <cell r="E21">
            <v>4.4954110902961593E-2</v>
          </cell>
          <cell r="F21">
            <v>2.7268086331323554E-4</v>
          </cell>
          <cell r="G21">
            <v>0.2537590603136336</v>
          </cell>
          <cell r="H21">
            <v>5.7051583348138687E-2</v>
          </cell>
          <cell r="I21">
            <v>1.2019046521781314</v>
          </cell>
          <cell r="J21">
            <v>5.3926821577568642</v>
          </cell>
          <cell r="K21">
            <v>6.2324207988593505</v>
          </cell>
        </row>
        <row r="22">
          <cell r="A22" t="str">
            <v>NC0027</v>
          </cell>
          <cell r="B22" t="str">
            <v>Davidson</v>
          </cell>
          <cell r="C22">
            <v>0.23477063248225447</v>
          </cell>
          <cell r="D22">
            <v>6.2302041054904264E-2</v>
          </cell>
          <cell r="E22">
            <v>3.6075563235439173E-2</v>
          </cell>
          <cell r="F22">
            <v>2.9919884850455373E-3</v>
          </cell>
          <cell r="G22">
            <v>0.20697874920999082</v>
          </cell>
          <cell r="H22">
            <v>3.6201599380413618E-2</v>
          </cell>
          <cell r="I22">
            <v>0.72651878497202238</v>
          </cell>
          <cell r="J22">
            <v>3.4189023780975218</v>
          </cell>
          <cell r="K22">
            <v>6.7578242873477974</v>
          </cell>
        </row>
        <row r="23">
          <cell r="A23" t="str">
            <v>NC0028</v>
          </cell>
          <cell r="B23" t="str">
            <v>Davie</v>
          </cell>
          <cell r="C23">
            <v>0.20945764270163844</v>
          </cell>
          <cell r="D23">
            <v>7.1539469005056686E-2</v>
          </cell>
          <cell r="E23">
            <v>2.225633819919683E-2</v>
          </cell>
          <cell r="F23">
            <v>2.3158387759881346E-3</v>
          </cell>
          <cell r="G23">
            <v>0.25434328189916128</v>
          </cell>
          <cell r="H23">
            <v>5.9075572671367732E-2</v>
          </cell>
          <cell r="I23">
            <v>0.69344483665395273</v>
          </cell>
          <cell r="J23">
            <v>2.7313496481959678</v>
          </cell>
          <cell r="K23">
            <v>5.7016557813570641</v>
          </cell>
        </row>
        <row r="24">
          <cell r="A24" t="str">
            <v>NC0029</v>
          </cell>
          <cell r="B24" t="str">
            <v>Duplin</v>
          </cell>
          <cell r="C24">
            <v>0.3298912210816608</v>
          </cell>
          <cell r="D24">
            <v>9.4116745825034473E-2</v>
          </cell>
          <cell r="E24">
            <v>1.5887850467289719E-2</v>
          </cell>
          <cell r="F24">
            <v>0</v>
          </cell>
          <cell r="G24">
            <v>0.18152290485674888</v>
          </cell>
          <cell r="H24">
            <v>4.9670599050099587E-2</v>
          </cell>
          <cell r="I24">
            <v>0.11243854556437405</v>
          </cell>
          <cell r="J24">
            <v>1.0951893551688843</v>
          </cell>
          <cell r="K24">
            <v>8.9292324191818597</v>
          </cell>
        </row>
        <row r="25">
          <cell r="A25" t="str">
            <v>NC0030</v>
          </cell>
          <cell r="B25" t="str">
            <v>Durham</v>
          </cell>
          <cell r="C25">
            <v>0.15765605063530538</v>
          </cell>
          <cell r="D25">
            <v>0.11005336175061194</v>
          </cell>
          <cell r="E25">
            <v>2.3169494232176353E-2</v>
          </cell>
          <cell r="F25">
            <v>1.6703857989433454E-3</v>
          </cell>
          <cell r="G25">
            <v>0.28831480490178218</v>
          </cell>
          <cell r="H25">
            <v>5.2132767236103349E-2</v>
          </cell>
          <cell r="I25">
            <v>1.5768970371363453</v>
          </cell>
          <cell r="J25">
            <v>10.13691848773294</v>
          </cell>
          <cell r="K25">
            <v>3.6033875238844999</v>
          </cell>
        </row>
        <row r="26">
          <cell r="A26" t="str">
            <v>NC0031</v>
          </cell>
          <cell r="B26" t="str">
            <v>Edgecombe</v>
          </cell>
          <cell r="C26">
            <v>0.37951883910386963</v>
          </cell>
          <cell r="D26">
            <v>9.1824719959266804E-2</v>
          </cell>
          <cell r="E26">
            <v>2.0096104887983707E-2</v>
          </cell>
          <cell r="F26">
            <v>3.4257255600814662E-2</v>
          </cell>
          <cell r="G26">
            <v>0.18668851832993891</v>
          </cell>
          <cell r="H26">
            <v>3.8457866598778007E-2</v>
          </cell>
          <cell r="I26">
            <v>0.21804792344211432</v>
          </cell>
          <cell r="J26">
            <v>1.1746850585024859</v>
          </cell>
          <cell r="K26">
            <v>11.200404149694501</v>
          </cell>
        </row>
        <row r="27">
          <cell r="A27" t="str">
            <v>NC0032</v>
          </cell>
          <cell r="B27" t="str">
            <v>Forsyth</v>
          </cell>
          <cell r="C27">
            <v>0.23168547860371166</v>
          </cell>
          <cell r="D27">
            <v>4.9595582611709869E-2</v>
          </cell>
          <cell r="E27">
            <v>1.8794488966125719E-2</v>
          </cell>
          <cell r="F27">
            <v>1.1242378824546191E-3</v>
          </cell>
          <cell r="G27">
            <v>0.1906423626559931</v>
          </cell>
          <cell r="H27">
            <v>4.2293561600733283E-2</v>
          </cell>
          <cell r="I27">
            <v>1.1402686982035313</v>
          </cell>
          <cell r="J27">
            <v>4.6581588835939129</v>
          </cell>
          <cell r="K27">
            <v>4.4485930159993066</v>
          </cell>
        </row>
        <row r="28">
          <cell r="A28" t="str">
            <v>NC0033</v>
          </cell>
          <cell r="B28" t="str">
            <v>Franklin</v>
          </cell>
          <cell r="C28">
            <v>0.20712882218031031</v>
          </cell>
          <cell r="D28">
            <v>4.9910955438289821E-2</v>
          </cell>
          <cell r="E28">
            <v>2.9295989380368138E-2</v>
          </cell>
          <cell r="F28">
            <v>5.1718132889972462E-3</v>
          </cell>
          <cell r="G28">
            <v>0.28456801887350414</v>
          </cell>
          <cell r="H28">
            <v>6.5689257480071761E-2</v>
          </cell>
          <cell r="I28">
            <v>0.18112919245167697</v>
          </cell>
          <cell r="J28">
            <v>2.3251738100695238</v>
          </cell>
          <cell r="K28">
            <v>5.9828482430949395</v>
          </cell>
        </row>
        <row r="29">
          <cell r="A29" t="str">
            <v>NC0105</v>
          </cell>
          <cell r="B29" t="str">
            <v>Gaston</v>
          </cell>
          <cell r="C29">
            <v>0.21079259334909772</v>
          </cell>
          <cell r="D29">
            <v>7.6617095212282618E-2</v>
          </cell>
          <cell r="E29">
            <v>3.4227784280812384E-2</v>
          </cell>
          <cell r="F29">
            <v>0</v>
          </cell>
          <cell r="G29">
            <v>0.24900686877574482</v>
          </cell>
          <cell r="H29">
            <v>5.5537661299262672E-2</v>
          </cell>
          <cell r="I29">
            <v>0.96242298741214383</v>
          </cell>
          <cell r="J29">
            <v>5.3430482293517647</v>
          </cell>
          <cell r="K29">
            <v>3.3293450964063971</v>
          </cell>
        </row>
        <row r="30">
          <cell r="A30" t="str">
            <v>NC0034</v>
          </cell>
          <cell r="B30" t="str">
            <v>Granville</v>
          </cell>
          <cell r="C30">
            <v>0.23512838691778923</v>
          </cell>
          <cell r="D30">
            <v>7.0922597947042323E-2</v>
          </cell>
          <cell r="E30">
            <v>3.4974260966061467E-2</v>
          </cell>
          <cell r="F30">
            <v>1.8248512684565826E-3</v>
          </cell>
          <cell r="G30">
            <v>0.20591843654634567</v>
          </cell>
          <cell r="H30">
            <v>3.4302271816528465E-2</v>
          </cell>
          <cell r="I30">
            <v>0.57417596284892236</v>
          </cell>
          <cell r="J30">
            <v>2.7292076792354414</v>
          </cell>
          <cell r="K30">
            <v>6.237372460774945</v>
          </cell>
        </row>
        <row r="31">
          <cell r="A31" t="str">
            <v>NC0035</v>
          </cell>
          <cell r="B31" t="str">
            <v>Guilford (Greensboro)</v>
          </cell>
          <cell r="C31">
            <v>0.11924458912588654</v>
          </cell>
          <cell r="D31">
            <v>4.8690506929345533E-2</v>
          </cell>
          <cell r="E31">
            <v>3.08288911357949E-2</v>
          </cell>
          <cell r="F31">
            <v>8.9334623561464004E-4</v>
          </cell>
          <cell r="G31">
            <v>0.24759638703948147</v>
          </cell>
          <cell r="H31">
            <v>5.6062664546316698E-2</v>
          </cell>
          <cell r="I31">
            <v>1.6783090886365604</v>
          </cell>
          <cell r="J31">
            <v>4.9803021853878029</v>
          </cell>
          <cell r="K31">
            <v>3.9978484400224903</v>
          </cell>
        </row>
        <row r="32">
          <cell r="A32" t="str">
            <v>NC0036</v>
          </cell>
          <cell r="B32" t="str">
            <v>Halifax</v>
          </cell>
          <cell r="C32">
            <v>0.73795397894650105</v>
          </cell>
          <cell r="D32">
            <v>5.5754691716622375E-2</v>
          </cell>
          <cell r="E32">
            <v>1.1474362935953691E-2</v>
          </cell>
          <cell r="F32">
            <v>1.3802195991183075E-3</v>
          </cell>
          <cell r="G32">
            <v>0.11473332921327482</v>
          </cell>
          <cell r="H32">
            <v>1.9807181261973918E-2</v>
          </cell>
          <cell r="I32">
            <v>0.12785018484038965</v>
          </cell>
          <cell r="J32">
            <v>2.6197684772929652</v>
          </cell>
          <cell r="K32">
            <v>5.7082483571266716</v>
          </cell>
        </row>
        <row r="33">
          <cell r="A33" t="str">
            <v>NC0037</v>
          </cell>
          <cell r="B33" t="str">
            <v>Harnett</v>
          </cell>
          <cell r="C33">
            <v>0.16506541383137305</v>
          </cell>
          <cell r="D33">
            <v>5.8823354389138653E-2</v>
          </cell>
          <cell r="E33">
            <v>1.579036629960338E-2</v>
          </cell>
          <cell r="F33">
            <v>1.681092323210083E-3</v>
          </cell>
          <cell r="G33">
            <v>0.28961203959641885</v>
          </cell>
          <cell r="H33">
            <v>6.289963134984275E-2</v>
          </cell>
          <cell r="I33">
            <v>0.74871683374358422</v>
          </cell>
          <cell r="J33">
            <v>2.6097466280487329</v>
          </cell>
          <cell r="K33">
            <v>4.0979883424429691</v>
          </cell>
        </row>
        <row r="34">
          <cell r="A34" t="str">
            <v>NC0038</v>
          </cell>
          <cell r="B34" t="str">
            <v>Haywood</v>
          </cell>
          <cell r="C34">
            <v>0.28330242598323396</v>
          </cell>
          <cell r="D34">
            <v>0.11257685400225809</v>
          </cell>
          <cell r="E34">
            <v>2.1100847660888846E-2</v>
          </cell>
          <cell r="F34">
            <v>5.147975032321093E-4</v>
          </cell>
          <cell r="G34">
            <v>0.16844408304619723</v>
          </cell>
          <cell r="H34">
            <v>3.238251794478797E-2</v>
          </cell>
          <cell r="I34">
            <v>0.766184779265351</v>
          </cell>
          <cell r="J34">
            <v>5.5346683718897216</v>
          </cell>
          <cell r="K34">
            <v>3.8708472513908307</v>
          </cell>
        </row>
        <row r="35">
          <cell r="A35" t="str">
            <v>NC0039</v>
          </cell>
          <cell r="B35" t="str">
            <v>Henderson</v>
          </cell>
          <cell r="C35">
            <v>0.22870642451965678</v>
          </cell>
          <cell r="D35">
            <v>9.1345680508326962E-2</v>
          </cell>
          <cell r="E35">
            <v>1.7976423989518407E-2</v>
          </cell>
          <cell r="F35">
            <v>2.7339992880999085E-3</v>
          </cell>
          <cell r="G35">
            <v>0.14852773002325034</v>
          </cell>
          <cell r="H35">
            <v>3.6655281314137277E-2</v>
          </cell>
          <cell r="I35">
            <v>2.112951873060279</v>
          </cell>
          <cell r="J35">
            <v>9.2348472264720023</v>
          </cell>
          <cell r="K35">
            <v>2.7835984656281005</v>
          </cell>
        </row>
        <row r="36">
          <cell r="A36" t="str">
            <v>NC0040</v>
          </cell>
          <cell r="B36" t="str">
            <v>Iredell</v>
          </cell>
          <cell r="C36">
            <v>0.31415680495845172</v>
          </cell>
          <cell r="D36">
            <v>0.11957606048176786</v>
          </cell>
          <cell r="E36">
            <v>3.1638486740496553E-2</v>
          </cell>
          <cell r="F36">
            <v>4.5675280153533761E-3</v>
          </cell>
          <cell r="G36">
            <v>0.23166532476542048</v>
          </cell>
          <cell r="H36">
            <v>9.0479590441612107E-2</v>
          </cell>
          <cell r="I36">
            <v>0.46162608041809666</v>
          </cell>
          <cell r="J36">
            <v>2.940389955554894</v>
          </cell>
          <cell r="K36">
            <v>5.3774793524440323</v>
          </cell>
        </row>
        <row r="37">
          <cell r="A37" t="str">
            <v>NC0041</v>
          </cell>
          <cell r="B37" t="str">
            <v>Johnston</v>
          </cell>
          <cell r="C37">
            <v>0.26045488126983724</v>
          </cell>
          <cell r="D37">
            <v>6.4550905418559887E-2</v>
          </cell>
          <cell r="E37">
            <v>4.2884909902054354E-2</v>
          </cell>
          <cell r="F37">
            <v>5.3935106649459852E-3</v>
          </cell>
          <cell r="G37">
            <v>0.24015232466334158</v>
          </cell>
          <cell r="H37">
            <v>7.0229787018159101E-2</v>
          </cell>
          <cell r="I37">
            <v>0.35636023595419714</v>
          </cell>
          <cell r="J37">
            <v>1.8548105367781549</v>
          </cell>
          <cell r="K37">
            <v>4.6346586170924509</v>
          </cell>
        </row>
        <row r="38">
          <cell r="A38" t="str">
            <v>NC0042</v>
          </cell>
          <cell r="B38" t="str">
            <v>Lee</v>
          </cell>
          <cell r="C38">
            <v>0.26032047078008402</v>
          </cell>
          <cell r="D38">
            <v>7.3178297321729271E-2</v>
          </cell>
          <cell r="E38">
            <v>1.6342591771983623E-2</v>
          </cell>
          <cell r="F38">
            <v>2.915787794459117E-3</v>
          </cell>
          <cell r="G38">
            <v>0.16840668592800043</v>
          </cell>
          <cell r="H38">
            <v>6.7453072655405288E-2</v>
          </cell>
          <cell r="I38">
            <v>0.35794342043076094</v>
          </cell>
          <cell r="J38">
            <v>1.9045641752751334</v>
          </cell>
          <cell r="K38">
            <v>5.360520765017637</v>
          </cell>
        </row>
        <row r="39">
          <cell r="A39" t="str">
            <v>NC0106</v>
          </cell>
          <cell r="B39" t="str">
            <v>Lincoln</v>
          </cell>
          <cell r="C39">
            <v>0.23185856171047564</v>
          </cell>
          <cell r="D39">
            <v>6.7307883230810162E-2</v>
          </cell>
          <cell r="E39">
            <v>2.4768379710340609E-2</v>
          </cell>
          <cell r="F39">
            <v>0</v>
          </cell>
          <cell r="G39">
            <v>0.25249689253533375</v>
          </cell>
          <cell r="H39">
            <v>5.9210604694753644E-2</v>
          </cell>
          <cell r="I39">
            <v>0.61838528397108483</v>
          </cell>
          <cell r="J39">
            <v>3.0696548949812881</v>
          </cell>
          <cell r="K39">
            <v>5.2719041510962503</v>
          </cell>
        </row>
        <row r="40">
          <cell r="A40" t="str">
            <v>NC0043</v>
          </cell>
          <cell r="B40" t="str">
            <v>Madison</v>
          </cell>
          <cell r="C40">
            <v>0.24711979609175871</v>
          </cell>
          <cell r="D40">
            <v>7.7697536108751061E-2</v>
          </cell>
          <cell r="E40">
            <v>2.5615972812234496E-2</v>
          </cell>
          <cell r="F40">
            <v>2.0475785896346644E-3</v>
          </cell>
          <cell r="G40">
            <v>0.19982158028887001</v>
          </cell>
          <cell r="H40">
            <v>3.5548003398470689E-2</v>
          </cell>
          <cell r="I40">
            <v>0.70194276354702212</v>
          </cell>
          <cell r="J40">
            <v>5.3551116975294599</v>
          </cell>
          <cell r="K40">
            <v>4.3480968564146139</v>
          </cell>
        </row>
        <row r="41">
          <cell r="A41" t="str">
            <v>NC0044</v>
          </cell>
          <cell r="B41" t="str">
            <v>McDowell</v>
          </cell>
          <cell r="C41">
            <v>0.27248086830091367</v>
          </cell>
          <cell r="D41">
            <v>9.0719256152359526E-2</v>
          </cell>
          <cell r="E41">
            <v>2.6865153681842387E-2</v>
          </cell>
          <cell r="F41">
            <v>3.4523816646821956E-3</v>
          </cell>
          <cell r="G41">
            <v>0.15541102488467132</v>
          </cell>
          <cell r="H41">
            <v>2.9976485511365336E-2</v>
          </cell>
          <cell r="I41">
            <v>0.35789936277741158</v>
          </cell>
          <cell r="J41">
            <v>3.6724016699626456</v>
          </cell>
          <cell r="K41">
            <v>4.5450574698888895</v>
          </cell>
        </row>
        <row r="42">
          <cell r="A42" t="str">
            <v>NC0045</v>
          </cell>
          <cell r="B42" t="str">
            <v>Mecklenburg</v>
          </cell>
          <cell r="C42">
            <v>9.8115437777253095E-2</v>
          </cell>
          <cell r="D42">
            <v>6.8631504374720279E-2</v>
          </cell>
          <cell r="E42">
            <v>2.1495452148402754E-2</v>
          </cell>
          <cell r="F42">
            <v>2.8131849443734651E-3</v>
          </cell>
          <cell r="G42">
            <v>0.22018836186968635</v>
          </cell>
          <cell r="H42">
            <v>4.6795700841363627E-2</v>
          </cell>
          <cell r="I42">
            <v>3.7945868472632873</v>
          </cell>
          <cell r="J42">
            <v>8.3497059926248998</v>
          </cell>
          <cell r="K42">
            <v>4.4852009101955472</v>
          </cell>
        </row>
        <row r="43">
          <cell r="A43" t="str">
            <v>NC0046</v>
          </cell>
          <cell r="B43" t="str">
            <v>Nash (Braswell)</v>
          </cell>
          <cell r="C43">
            <v>0.22745768629891089</v>
          </cell>
          <cell r="D43">
            <v>7.6977138738803269E-2</v>
          </cell>
          <cell r="E43">
            <v>3.7920059447336729E-2</v>
          </cell>
          <cell r="F43">
            <v>3.2140954649023459E-3</v>
          </cell>
          <cell r="G43">
            <v>0.30546440993594193</v>
          </cell>
          <cell r="H43">
            <v>5.6698792699795428E-2</v>
          </cell>
          <cell r="I43">
            <v>0.33479089584034083</v>
          </cell>
          <cell r="J43">
            <v>2.504664200022424</v>
          </cell>
          <cell r="K43">
            <v>9.20271183709281</v>
          </cell>
        </row>
        <row r="44">
          <cell r="A44" t="str">
            <v>NC0047</v>
          </cell>
          <cell r="B44" t="str">
            <v>New Hanover</v>
          </cell>
          <cell r="C44">
            <v>0.20005929660366509</v>
          </cell>
          <cell r="D44">
            <v>8.5645088007967815E-2</v>
          </cell>
          <cell r="E44">
            <v>1.867971363077468E-2</v>
          </cell>
          <cell r="F44">
            <v>6.7254156537899766E-4</v>
          </cell>
          <cell r="G44">
            <v>0.20882094735950427</v>
          </cell>
          <cell r="H44">
            <v>3.7005187811082564E-2</v>
          </cell>
          <cell r="I44">
            <v>1.847702228900576</v>
          </cell>
          <cell r="J44">
            <v>6.9687488819720222</v>
          </cell>
          <cell r="K44">
            <v>2.6723695795588434</v>
          </cell>
        </row>
        <row r="45">
          <cell r="A45" t="str">
            <v>NC0048</v>
          </cell>
          <cell r="B45" t="str">
            <v>Onslow</v>
          </cell>
          <cell r="C45">
            <v>0.15068454426699757</v>
          </cell>
          <cell r="D45">
            <v>4.9449061634276904E-2</v>
          </cell>
          <cell r="E45">
            <v>2.5890978774813056E-2</v>
          </cell>
          <cell r="F45">
            <v>4.396497085367922E-3</v>
          </cell>
          <cell r="G45">
            <v>0.24101730925451478</v>
          </cell>
          <cell r="H45">
            <v>5.629450430425248E-2</v>
          </cell>
          <cell r="I45">
            <v>0.98429716265973577</v>
          </cell>
          <cell r="J45">
            <v>3.4661035304310159</v>
          </cell>
          <cell r="K45">
            <v>3.3119816820060524</v>
          </cell>
        </row>
        <row r="46">
          <cell r="A46" t="str">
            <v>NC0108</v>
          </cell>
          <cell r="B46" t="str">
            <v>Orange</v>
          </cell>
          <cell r="C46">
            <v>0.1495187450892356</v>
          </cell>
          <cell r="D46">
            <v>9.7937011262019674E-2</v>
          </cell>
          <cell r="E46">
            <v>2.413991469300707E-2</v>
          </cell>
          <cell r="F46">
            <v>1.4252909043289557E-2</v>
          </cell>
          <cell r="G46">
            <v>0.31487821304299024</v>
          </cell>
          <cell r="H46">
            <v>0.12999027200957833</v>
          </cell>
          <cell r="I46">
            <v>0.30656717481969081</v>
          </cell>
          <cell r="J46">
            <v>5.0811183327194307</v>
          </cell>
          <cell r="K46">
            <v>5.3963103790174731</v>
          </cell>
        </row>
        <row r="47">
          <cell r="A47" t="str">
            <v>NC0049</v>
          </cell>
          <cell r="B47" t="str">
            <v>Pender</v>
          </cell>
          <cell r="C47">
            <v>0.24728750574812641</v>
          </cell>
          <cell r="D47">
            <v>9.8436923892734784E-2</v>
          </cell>
          <cell r="E47">
            <v>3.5814452550511015E-2</v>
          </cell>
          <cell r="F47">
            <v>0</v>
          </cell>
          <cell r="G47">
            <v>0.26741734090636043</v>
          </cell>
          <cell r="H47">
            <v>7.5610129959442052E-2</v>
          </cell>
          <cell r="I47">
            <v>0.6147933870398089</v>
          </cell>
          <cell r="J47">
            <v>4.0596545518760827</v>
          </cell>
          <cell r="K47">
            <v>3.2808275644929425</v>
          </cell>
        </row>
        <row r="48">
          <cell r="A48" t="str">
            <v>NC0109</v>
          </cell>
          <cell r="B48" t="str">
            <v>Person</v>
          </cell>
          <cell r="C48">
            <v>0.21632676425742728</v>
          </cell>
          <cell r="D48">
            <v>3.8540197644707876E-2</v>
          </cell>
          <cell r="E48">
            <v>1.3389674391011797E-2</v>
          </cell>
          <cell r="F48">
            <v>2.4146167576484549E-3</v>
          </cell>
          <cell r="G48">
            <v>0.34142889109766189</v>
          </cell>
          <cell r="H48">
            <v>6.9487882682930643E-2</v>
          </cell>
          <cell r="I48">
            <v>0.23562726540475232</v>
          </cell>
          <cell r="J48">
            <v>4.8369663713250102</v>
          </cell>
          <cell r="K48">
            <v>2.8494403188959372</v>
          </cell>
        </row>
        <row r="49">
          <cell r="A49" t="str">
            <v>NC0050</v>
          </cell>
          <cell r="B49" t="str">
            <v>Pitt (Sheppard)</v>
          </cell>
          <cell r="C49">
            <v>0.11608467620878098</v>
          </cell>
          <cell r="D49">
            <v>4.9560816257183372E-2</v>
          </cell>
          <cell r="E49">
            <v>1.7381038112788988E-2</v>
          </cell>
          <cell r="F49">
            <v>1.7453438993569837E-3</v>
          </cell>
          <cell r="G49">
            <v>0.17954549623081015</v>
          </cell>
          <cell r="H49">
            <v>3.8843555211463668E-2</v>
          </cell>
          <cell r="I49">
            <v>3.358817860584645</v>
          </cell>
          <cell r="J49">
            <v>6.0502818094209037</v>
          </cell>
          <cell r="K49">
            <v>2.1798785402824019</v>
          </cell>
        </row>
        <row r="50">
          <cell r="A50" t="str">
            <v>NC0051</v>
          </cell>
          <cell r="B50" t="str">
            <v>Polk</v>
          </cell>
          <cell r="C50">
            <v>0.22795883684616494</v>
          </cell>
          <cell r="D50">
            <v>0.11964530957024513</v>
          </cell>
          <cell r="E50">
            <v>2.3152706270420098E-2</v>
          </cell>
          <cell r="F50">
            <v>2.3829979368254705E-3</v>
          </cell>
          <cell r="G50">
            <v>0.13455785981701085</v>
          </cell>
          <cell r="H50">
            <v>2.6796184694882198E-2</v>
          </cell>
          <cell r="I50">
            <v>0.52781740370898711</v>
          </cell>
          <cell r="J50">
            <v>7.58264384213029</v>
          </cell>
          <cell r="K50">
            <v>3.5035588192872327</v>
          </cell>
        </row>
        <row r="51">
          <cell r="A51" t="str">
            <v>NC0052</v>
          </cell>
          <cell r="B51" t="str">
            <v>Randolph</v>
          </cell>
          <cell r="C51">
            <v>0.22619392522586423</v>
          </cell>
          <cell r="D51">
            <v>7.7021955369957804E-2</v>
          </cell>
          <cell r="E51">
            <v>3.2756559470646804E-2</v>
          </cell>
          <cell r="F51">
            <v>3.131961996863043E-3</v>
          </cell>
          <cell r="G51">
            <v>0.20555727610884109</v>
          </cell>
          <cell r="H51">
            <v>4.0067800899793865E-2</v>
          </cell>
          <cell r="I51">
            <v>0.73522800815582356</v>
          </cell>
          <cell r="J51">
            <v>4.1793863647434604</v>
          </cell>
          <cell r="K51">
            <v>4.9140650235937811</v>
          </cell>
        </row>
        <row r="52">
          <cell r="A52" t="str">
            <v>NC0053</v>
          </cell>
          <cell r="B52" t="str">
            <v>Robeson</v>
          </cell>
          <cell r="C52">
            <v>0.29319421843591464</v>
          </cell>
          <cell r="D52">
            <v>7.9944655708032761E-2</v>
          </cell>
          <cell r="E52">
            <v>5.1706884098958378E-2</v>
          </cell>
          <cell r="F52">
            <v>1.035529991211048E-3</v>
          </cell>
          <cell r="G52">
            <v>0.32685329411662328</v>
          </cell>
          <cell r="H52">
            <v>4.3309519044179713E-2</v>
          </cell>
          <cell r="I52">
            <v>2.3888675305487082E-2</v>
          </cell>
          <cell r="J52">
            <v>0.86627166301062142</v>
          </cell>
          <cell r="K52">
            <v>10.25227773088403</v>
          </cell>
        </row>
        <row r="53">
          <cell r="A53" t="str">
            <v>NC0054</v>
          </cell>
          <cell r="B53" t="str">
            <v>Rockingham</v>
          </cell>
          <cell r="C53">
            <v>0.31407728758212689</v>
          </cell>
          <cell r="D53">
            <v>7.4194822898977719E-2</v>
          </cell>
          <cell r="E53">
            <v>3.2688528793797737E-2</v>
          </cell>
          <cell r="F53">
            <v>2.5851489993013819E-3</v>
          </cell>
          <cell r="G53">
            <v>0.15646954469455732</v>
          </cell>
          <cell r="H53">
            <v>3.4253224240743306E-2</v>
          </cell>
          <cell r="I53">
            <v>0.62382605478229647</v>
          </cell>
          <cell r="J53">
            <v>4.1590906617623054</v>
          </cell>
          <cell r="K53">
            <v>4.959655453015964</v>
          </cell>
        </row>
        <row r="54">
          <cell r="A54" t="str">
            <v>NC0055</v>
          </cell>
          <cell r="B54" t="str">
            <v>Rowan</v>
          </cell>
          <cell r="C54">
            <v>0.2061427403977118</v>
          </cell>
          <cell r="D54">
            <v>8.1756347322366696E-2</v>
          </cell>
          <cell r="E54">
            <v>2.8255104820462645E-2</v>
          </cell>
          <cell r="F54">
            <v>3.0951361748731091E-3</v>
          </cell>
          <cell r="G54">
            <v>0.19573991405333585</v>
          </cell>
          <cell r="H54">
            <v>4.7391579895374111E-2</v>
          </cell>
          <cell r="I54">
            <v>1.4876782294105129</v>
          </cell>
          <cell r="J54">
            <v>5.1040363197843517</v>
          </cell>
          <cell r="K54">
            <v>4.4595672646612448</v>
          </cell>
        </row>
        <row r="55">
          <cell r="A55" t="str">
            <v>NC0056</v>
          </cell>
          <cell r="B55" t="str">
            <v>Rutherford</v>
          </cell>
          <cell r="C55">
            <v>0.235639305067146</v>
          </cell>
          <cell r="D55">
            <v>6.1129484035915914E-2</v>
          </cell>
          <cell r="E55">
            <v>2.3699618676974895E-2</v>
          </cell>
          <cell r="F55">
            <v>6.7189640579052537E-4</v>
          </cell>
          <cell r="G55">
            <v>0.16838422003298401</v>
          </cell>
          <cell r="H55">
            <v>3.0488390153663579E-2</v>
          </cell>
          <cell r="I55">
            <v>0.47439552161647197</v>
          </cell>
          <cell r="J55">
            <v>3.3854038964299957</v>
          </cell>
          <cell r="K55">
            <v>2.6274988874442631</v>
          </cell>
        </row>
        <row r="56">
          <cell r="A56" t="str">
            <v>NC0057</v>
          </cell>
          <cell r="B56" t="str">
            <v>Sampson</v>
          </cell>
          <cell r="C56">
            <v>0.27179032924150559</v>
          </cell>
          <cell r="D56">
            <v>9.3116512350297165E-2</v>
          </cell>
          <cell r="E56">
            <v>1.9379821763096942E-2</v>
          </cell>
          <cell r="F56">
            <v>9.6958960025376908E-4</v>
          </cell>
          <cell r="G56">
            <v>0.32561452229756827</v>
          </cell>
          <cell r="H56">
            <v>5.5488056691066011E-2</v>
          </cell>
          <cell r="I56">
            <v>0.1090883320997181</v>
          </cell>
          <cell r="J56">
            <v>2.6312382872171214</v>
          </cell>
          <cell r="K56">
            <v>4.6288806028213862</v>
          </cell>
        </row>
        <row r="57">
          <cell r="A57" t="str">
            <v>NC0058</v>
          </cell>
          <cell r="B57" t="str">
            <v>Scotland</v>
          </cell>
          <cell r="C57">
            <v>0.30941109638326075</v>
          </cell>
          <cell r="D57">
            <v>5.7833112415577856E-2</v>
          </cell>
          <cell r="E57">
            <v>4.2731805844852616E-2</v>
          </cell>
          <cell r="F57">
            <v>2.6983525847377389E-3</v>
          </cell>
          <cell r="G57">
            <v>0.19884175976772075</v>
          </cell>
          <cell r="H57">
            <v>3.167013823139557E-2</v>
          </cell>
          <cell r="I57">
            <v>0.16840369946072817</v>
          </cell>
          <cell r="J57">
            <v>1.7707116711838833</v>
          </cell>
          <cell r="K57">
            <v>7.6225620147699296</v>
          </cell>
        </row>
        <row r="58">
          <cell r="A58" t="str">
            <v>NC0059</v>
          </cell>
          <cell r="B58" t="str">
            <v>Stanly</v>
          </cell>
          <cell r="C58">
            <v>0.36540881271454573</v>
          </cell>
          <cell r="D58">
            <v>6.6571788074616112E-2</v>
          </cell>
          <cell r="E58">
            <v>1.8446352875065661E-2</v>
          </cell>
          <cell r="F58">
            <v>3.1761932102762066E-4</v>
          </cell>
          <cell r="G58">
            <v>0.25300211339009759</v>
          </cell>
          <cell r="H58">
            <v>3.5365689783652378E-2</v>
          </cell>
          <cell r="I58">
            <v>0.32517692021181843</v>
          </cell>
          <cell r="J58">
            <v>2.6512607083286102</v>
          </cell>
          <cell r="K58">
            <v>6.8984595462930161</v>
          </cell>
        </row>
        <row r="59">
          <cell r="A59" t="str">
            <v>NC0060</v>
          </cell>
          <cell r="B59" t="str">
            <v>Transylvania</v>
          </cell>
          <cell r="C59">
            <v>0.22078661158418345</v>
          </cell>
          <cell r="D59">
            <v>9.3942332012477869E-2</v>
          </cell>
          <cell r="E59">
            <v>2.339073433943175E-2</v>
          </cell>
          <cell r="F59">
            <v>7.8777084562853044E-4</v>
          </cell>
          <cell r="G59">
            <v>0.14981346429474748</v>
          </cell>
          <cell r="H59">
            <v>5.6068733664952367E-2</v>
          </cell>
          <cell r="I59">
            <v>2.9473622543132487</v>
          </cell>
          <cell r="J59">
            <v>11.117841764550807</v>
          </cell>
          <cell r="K59">
            <v>3.8590364429643369</v>
          </cell>
        </row>
        <row r="60">
          <cell r="A60" t="str">
            <v>NC0061</v>
          </cell>
          <cell r="B60" t="str">
            <v>Union</v>
          </cell>
          <cell r="C60">
            <v>0.12105840807372607</v>
          </cell>
          <cell r="D60">
            <v>4.7204137255513784E-2</v>
          </cell>
          <cell r="E60">
            <v>2.4666703748573816E-2</v>
          </cell>
          <cell r="F60">
            <v>3.2288392322959894E-4</v>
          </cell>
          <cell r="G60">
            <v>0.2139838585171488</v>
          </cell>
          <cell r="H60">
            <v>3.204351607025846E-2</v>
          </cell>
          <cell r="I60">
            <v>2.7789384364602641</v>
          </cell>
          <cell r="J60">
            <v>6.5838108210704958</v>
          </cell>
          <cell r="K60">
            <v>3.1556022395663046</v>
          </cell>
        </row>
        <row r="61">
          <cell r="A61" t="str">
            <v>NC0062</v>
          </cell>
          <cell r="B61" t="str">
            <v>Vance (Perry)</v>
          </cell>
          <cell r="C61">
            <v>0.24389399892838007</v>
          </cell>
          <cell r="D61">
            <v>9.2371405608144316E-2</v>
          </cell>
          <cell r="E61">
            <v>4.6972673691730665E-2</v>
          </cell>
          <cell r="F61">
            <v>5.24647258439007E-4</v>
          </cell>
          <cell r="G61">
            <v>0.31654090016074299</v>
          </cell>
          <cell r="H61">
            <v>6.5268351491337737E-2</v>
          </cell>
          <cell r="I61">
            <v>0.30595171876738236</v>
          </cell>
          <cell r="J61">
            <v>1.9931916787184336</v>
          </cell>
          <cell r="K61">
            <v>10.332570548312198</v>
          </cell>
        </row>
        <row r="62">
          <cell r="A62" t="str">
            <v>NC0063</v>
          </cell>
          <cell r="B62" t="str">
            <v>Wake</v>
          </cell>
          <cell r="C62">
            <v>0.16961072104513422</v>
          </cell>
          <cell r="D62">
            <v>0.11545525925291909</v>
          </cell>
          <cell r="E62">
            <v>3.6609567296061095E-2</v>
          </cell>
          <cell r="F62">
            <v>6.4159278509436546E-4</v>
          </cell>
          <cell r="G62">
            <v>0.44187506495843099</v>
          </cell>
          <cell r="H62">
            <v>8.2907482599874405E-2</v>
          </cell>
          <cell r="I62">
            <v>1.3884292932637805</v>
          </cell>
          <cell r="J62">
            <v>11.151353594065924</v>
          </cell>
          <cell r="K62">
            <v>2.161303291023378</v>
          </cell>
        </row>
        <row r="63">
          <cell r="A63" t="str">
            <v>NC0101</v>
          </cell>
          <cell r="B63" t="str">
            <v>Warren</v>
          </cell>
          <cell r="C63">
            <v>0.2535553243149497</v>
          </cell>
          <cell r="D63">
            <v>0.11483023085520484</v>
          </cell>
          <cell r="E63">
            <v>2.8346244267159981E-2</v>
          </cell>
          <cell r="F63">
            <v>0</v>
          </cell>
          <cell r="G63">
            <v>0.21925463444714224</v>
          </cell>
          <cell r="H63">
            <v>4.2606081627933869E-2</v>
          </cell>
          <cell r="I63">
            <v>4.9252025247254111E-2</v>
          </cell>
          <cell r="J63">
            <v>2.5790964663784108</v>
          </cell>
          <cell r="K63">
            <v>9.0290592361351987</v>
          </cell>
        </row>
        <row r="64">
          <cell r="A64" t="str">
            <v>NC0065</v>
          </cell>
          <cell r="B64" t="str">
            <v>Wayne</v>
          </cell>
          <cell r="C64">
            <v>0.2244944161620013</v>
          </cell>
          <cell r="D64">
            <v>6.5638767832088676E-2</v>
          </cell>
          <cell r="E64">
            <v>2.2308542423168237E-2</v>
          </cell>
          <cell r="F64">
            <v>9.8986896077163898E-3</v>
          </cell>
          <cell r="G64">
            <v>0.22030914414910888</v>
          </cell>
          <cell r="H64">
            <v>4.7884873741811912E-2</v>
          </cell>
          <cell r="I64">
            <v>0.77940516633549128</v>
          </cell>
          <cell r="J64">
            <v>2.6897394397795011</v>
          </cell>
          <cell r="K64">
            <v>5.95648806527237</v>
          </cell>
        </row>
        <row r="65">
          <cell r="A65" t="str">
            <v>NC0066</v>
          </cell>
          <cell r="B65" t="str">
            <v>Wilson</v>
          </cell>
          <cell r="C65">
            <v>0.22041775372299915</v>
          </cell>
          <cell r="D65">
            <v>8.2173356451848131E-2</v>
          </cell>
          <cell r="E65">
            <v>2.7567208439338204E-2</v>
          </cell>
          <cell r="F65">
            <v>1.1245969114096353E-3</v>
          </cell>
          <cell r="G65">
            <v>0.24472460339323621</v>
          </cell>
          <cell r="H65">
            <v>5.5179789664727523E-2</v>
          </cell>
          <cell r="I65">
            <v>0.84567871034027253</v>
          </cell>
          <cell r="J65">
            <v>3.7740037672154405</v>
          </cell>
          <cell r="K65">
            <v>5.7484111422598891</v>
          </cell>
        </row>
        <row r="66">
          <cell r="A66" t="str">
            <v>Total or mean average*</v>
          </cell>
          <cell r="C66">
            <v>0.24679256085877116</v>
          </cell>
          <cell r="D66">
            <v>7.81057723415267E-2</v>
          </cell>
          <cell r="E66">
            <v>2.7211659210853806E-2</v>
          </cell>
          <cell r="F66">
            <v>3.1618135364205697E-3</v>
          </cell>
          <cell r="G66">
            <v>0.2302336552538754</v>
          </cell>
          <cell r="H66">
            <v>4.9731639337346964E-2</v>
          </cell>
          <cell r="I66">
            <v>0.8438800017070851</v>
          </cell>
          <cell r="J66">
            <v>4.1700952912168878</v>
          </cell>
          <cell r="K66">
            <v>5.4469394688570185</v>
          </cell>
        </row>
        <row r="67">
          <cell r="A67" t="str">
            <v>Regional Libraries</v>
          </cell>
        </row>
        <row r="68">
          <cell r="A68" t="str">
            <v>NC0001</v>
          </cell>
          <cell r="B68" t="str">
            <v>Albemarle</v>
          </cell>
          <cell r="C68">
            <v>0.34777177706748963</v>
          </cell>
          <cell r="D68">
            <v>9.8129982732649987E-2</v>
          </cell>
          <cell r="E68">
            <v>3.4571439068297877E-2</v>
          </cell>
          <cell r="F68">
            <v>3.2575284421421311E-3</v>
          </cell>
          <cell r="G68">
            <v>0.24409419890517653</v>
          </cell>
          <cell r="H68">
            <v>5.733739912071225E-2</v>
          </cell>
          <cell r="I68">
            <v>1.9996342928791599E-2</v>
          </cell>
          <cell r="J68">
            <v>1.0665195130870906</v>
          </cell>
          <cell r="K68">
            <v>12.72765347735038</v>
          </cell>
        </row>
        <row r="69">
          <cell r="A69" t="str">
            <v>NC0003</v>
          </cell>
          <cell r="B69" t="str">
            <v>AMY</v>
          </cell>
          <cell r="C69">
            <v>0.30599305682441075</v>
          </cell>
          <cell r="D69">
            <v>5.0140690663255987E-2</v>
          </cell>
          <cell r="E69">
            <v>3.2198063219440895E-2</v>
          </cell>
          <cell r="F69">
            <v>5.481454412570802E-5</v>
          </cell>
          <cell r="G69">
            <v>0.41413484377854926</v>
          </cell>
          <cell r="H69">
            <v>0.10121322857664901</v>
          </cell>
          <cell r="I69">
            <v>0.11901526035801654</v>
          </cell>
          <cell r="J69">
            <v>5.3129732458354368</v>
          </cell>
          <cell r="K69">
            <v>3.0715987575369996</v>
          </cell>
        </row>
        <row r="70">
          <cell r="A70" t="str">
            <v>NC0002</v>
          </cell>
          <cell r="B70" t="str">
            <v>Appalachian</v>
          </cell>
          <cell r="C70">
            <v>0.24045056178715296</v>
          </cell>
          <cell r="D70">
            <v>7.4063991310055033E-2</v>
          </cell>
          <cell r="E70">
            <v>3.1470053517015338E-2</v>
          </cell>
          <cell r="F70">
            <v>6.6710960947807775E-4</v>
          </cell>
          <cell r="G70">
            <v>0.22930915746077868</v>
          </cell>
          <cell r="H70">
            <v>4.7486074929212259E-2</v>
          </cell>
          <cell r="I70">
            <v>0.84830306570492842</v>
          </cell>
          <cell r="J70">
            <v>4.8699946837486792</v>
          </cell>
          <cell r="K70">
            <v>3.0542474666681043</v>
          </cell>
        </row>
        <row r="71">
          <cell r="A71" t="str">
            <v>NC0004</v>
          </cell>
          <cell r="B71" t="str">
            <v>BHM</v>
          </cell>
          <cell r="C71">
            <v>0.4043956697007815</v>
          </cell>
          <cell r="D71">
            <v>4.2173865673563585E-2</v>
          </cell>
          <cell r="E71">
            <v>1.6184146667591097E-2</v>
          </cell>
          <cell r="F71">
            <v>1.1093172746451671E-3</v>
          </cell>
          <cell r="G71">
            <v>0.26534473024771449</v>
          </cell>
          <cell r="H71">
            <v>4.1827204025236965E-2</v>
          </cell>
          <cell r="I71">
            <v>0.10404899221118973</v>
          </cell>
          <cell r="J71">
            <v>1.5007283429454783</v>
          </cell>
          <cell r="K71">
            <v>8.8115844418252234</v>
          </cell>
        </row>
        <row r="72">
          <cell r="A72" t="str">
            <v>NC0006</v>
          </cell>
          <cell r="B72" t="str">
            <v>CPC</v>
          </cell>
          <cell r="C72">
            <v>0.33176608141273678</v>
          </cell>
          <cell r="D72">
            <v>9.267698866623772E-2</v>
          </cell>
          <cell r="E72">
            <v>2.3458873895631002E-2</v>
          </cell>
          <cell r="F72">
            <v>9.4765865752218549E-3</v>
          </cell>
          <cell r="G72">
            <v>0.20102412011399709</v>
          </cell>
          <cell r="H72">
            <v>5.5285732363514521E-2</v>
          </cell>
          <cell r="I72">
            <v>0.57362773730436367</v>
          </cell>
          <cell r="J72">
            <v>3.0010965264182632</v>
          </cell>
          <cell r="K72">
            <v>6.1348555520107224</v>
          </cell>
        </row>
        <row r="73">
          <cell r="A73" t="str">
            <v>NC0007</v>
          </cell>
          <cell r="B73" t="str">
            <v>E. Albemarle</v>
          </cell>
          <cell r="C73">
            <v>0.21621519765794564</v>
          </cell>
          <cell r="D73">
            <v>6.956614093781531E-2</v>
          </cell>
          <cell r="E73">
            <v>1.6063080610044179E-2</v>
          </cell>
          <cell r="F73">
            <v>1.5006141211900076E-3</v>
          </cell>
          <cell r="G73">
            <v>0.20638411952836863</v>
          </cell>
          <cell r="H73">
            <v>3.437194331241724E-2</v>
          </cell>
          <cell r="I73">
            <v>1.490752615890818</v>
          </cell>
          <cell r="J73">
            <v>5.1633306503683913</v>
          </cell>
          <cell r="K73">
            <v>4.6888641070575119</v>
          </cell>
        </row>
        <row r="74">
          <cell r="A74" t="str">
            <v>NC0008</v>
          </cell>
          <cell r="B74" t="str">
            <v>Fontana</v>
          </cell>
          <cell r="C74">
            <v>0.30986182802546181</v>
          </cell>
          <cell r="D74">
            <v>0.10631725364159193</v>
          </cell>
          <cell r="E74">
            <v>1.8277257936834955E-2</v>
          </cell>
          <cell r="F74">
            <v>3.8232657332004805E-3</v>
          </cell>
          <cell r="G74">
            <v>0.2083517504363917</v>
          </cell>
          <cell r="H74">
            <v>5.333593045701885E-2</v>
          </cell>
          <cell r="I74">
            <v>0.65176684442789723</v>
          </cell>
          <cell r="J74">
            <v>4.3850045444092816</v>
          </cell>
          <cell r="K74">
            <v>8.0359426934669855</v>
          </cell>
        </row>
        <row r="75">
          <cell r="A75" t="str">
            <v>NC0011</v>
          </cell>
          <cell r="B75" t="str">
            <v>Nantahala</v>
          </cell>
          <cell r="C75">
            <v>0.3250054574304137</v>
          </cell>
          <cell r="D75">
            <v>4.5145167649004142E-2</v>
          </cell>
          <cell r="E75">
            <v>1.7310643455482031E-2</v>
          </cell>
          <cell r="F75">
            <v>5.1804861837410931E-4</v>
          </cell>
          <cell r="G75">
            <v>0.15682863016867532</v>
          </cell>
          <cell r="H75">
            <v>3.2936814359395411E-2</v>
          </cell>
          <cell r="I75">
            <v>1.376133426332417</v>
          </cell>
          <cell r="J75">
            <v>6.2963320067287576</v>
          </cell>
          <cell r="K75">
            <v>3.5917711723863794</v>
          </cell>
        </row>
        <row r="76">
          <cell r="A76" t="str">
            <v>NC0012</v>
          </cell>
          <cell r="B76" t="str">
            <v>Neuse</v>
          </cell>
          <cell r="C76">
            <v>0.34656232532140863</v>
          </cell>
          <cell r="D76">
            <v>9.9945110006596866E-2</v>
          </cell>
          <cell r="E76">
            <v>4.1313532649474516E-2</v>
          </cell>
          <cell r="F76">
            <v>8.9636869961073429E-4</v>
          </cell>
          <cell r="G76">
            <v>0.18251174595501035</v>
          </cell>
          <cell r="H76">
            <v>3.0652788059160333E-2</v>
          </cell>
          <cell r="I76">
            <v>0.11284438575680938</v>
          </cell>
          <cell r="J76">
            <v>2.2221861641413576</v>
          </cell>
          <cell r="K76">
            <v>9.1251542207383451</v>
          </cell>
        </row>
        <row r="77">
          <cell r="A77" t="str">
            <v>NC0013</v>
          </cell>
          <cell r="B77" t="str">
            <v>Northwestern</v>
          </cell>
          <cell r="C77">
            <v>0.34371820388229046</v>
          </cell>
          <cell r="D77">
            <v>7.0694712600320633E-2</v>
          </cell>
          <cell r="E77">
            <v>3.6559641451466403E-2</v>
          </cell>
          <cell r="F77">
            <v>3.9458206562470531E-4</v>
          </cell>
          <cell r="G77">
            <v>0.30793283667280463</v>
          </cell>
          <cell r="H77">
            <v>6.7490904759304943E-2</v>
          </cell>
          <cell r="I77">
            <v>0.12329620640751005</v>
          </cell>
          <cell r="J77">
            <v>2.3911441304051126</v>
          </cell>
          <cell r="K77">
            <v>5.3474009698281213</v>
          </cell>
        </row>
        <row r="78">
          <cell r="A78" t="str">
            <v>NC0014</v>
          </cell>
          <cell r="B78" t="str">
            <v>Pettigrew</v>
          </cell>
          <cell r="C78">
            <v>0.27634140559335063</v>
          </cell>
          <cell r="D78">
            <v>6.4424824534306507E-2</v>
          </cell>
          <cell r="E78">
            <v>2.4611892155947154E-2</v>
          </cell>
          <cell r="F78">
            <v>3.9511210407971206E-4</v>
          </cell>
          <cell r="G78">
            <v>0.22058031192304653</v>
          </cell>
          <cell r="H78">
            <v>3.9432187987155268E-2</v>
          </cell>
          <cell r="I78">
            <v>0.36322195275307645</v>
          </cell>
          <cell r="J78">
            <v>3.12586454684272</v>
          </cell>
          <cell r="K78">
            <v>8.0292239279890225</v>
          </cell>
        </row>
        <row r="79">
          <cell r="A79" t="str">
            <v>NC0015</v>
          </cell>
          <cell r="B79" t="str">
            <v>Sandhill</v>
          </cell>
          <cell r="C79">
            <v>0.29547544833177253</v>
          </cell>
          <cell r="D79">
            <v>6.2449156451364916E-2</v>
          </cell>
          <cell r="E79">
            <v>4.872314552087556E-2</v>
          </cell>
          <cell r="F79">
            <v>1.2244384496037349E-3</v>
          </cell>
          <cell r="G79">
            <v>0.3114127168276421</v>
          </cell>
          <cell r="H79">
            <v>5.5454761472121659E-2</v>
          </cell>
          <cell r="I79">
            <v>8.0603603758352377E-2</v>
          </cell>
          <cell r="J79">
            <v>1.5361277633680883</v>
          </cell>
          <cell r="K79">
            <v>7.6542722558461342</v>
          </cell>
        </row>
        <row r="80">
          <cell r="A80" t="str">
            <v>Total or mean average*</v>
          </cell>
          <cell r="C80">
            <v>0.31196308441960124</v>
          </cell>
          <cell r="D80">
            <v>7.2977323738896899E-2</v>
          </cell>
          <cell r="E80">
            <v>2.8395147512341751E-2</v>
          </cell>
          <cell r="F80">
            <v>1.9431488531080354E-3</v>
          </cell>
          <cell r="G80">
            <v>0.24565909683484624</v>
          </cell>
          <cell r="H80">
            <v>5.1402080785158226E-2</v>
          </cell>
          <cell r="I80">
            <v>0.48863420281951431</v>
          </cell>
          <cell r="J80">
            <v>3.4059418431915542</v>
          </cell>
          <cell r="K80">
            <v>6.6893807535586616</v>
          </cell>
        </row>
        <row r="81">
          <cell r="B81" t="str">
            <v>Municipal Libraries</v>
          </cell>
        </row>
        <row r="82">
          <cell r="A82" t="str">
            <v>NC0071</v>
          </cell>
          <cell r="B82" t="str">
            <v>Chapel Hill</v>
          </cell>
          <cell r="C82">
            <v>0.11914729486198805</v>
          </cell>
          <cell r="D82">
            <v>9.7202810802401104E-2</v>
          </cell>
          <cell r="E82">
            <v>2.4180938922093581E-2</v>
          </cell>
          <cell r="F82">
            <v>1.9097379782448043E-3</v>
          </cell>
          <cell r="G82">
            <v>0.35702117177269838</v>
          </cell>
          <cell r="H82">
            <v>7.1333186397168458E-2</v>
          </cell>
          <cell r="I82">
            <v>3.5671990910913585</v>
          </cell>
          <cell r="J82">
            <v>25.773908975472832</v>
          </cell>
          <cell r="K82">
            <v>1.8901628398439019</v>
          </cell>
          <cell r="L82">
            <v>9.0618527847746986</v>
          </cell>
        </row>
        <row r="83">
          <cell r="A83" t="str">
            <v>NC0110</v>
          </cell>
          <cell r="B83" t="str">
            <v>Clayton</v>
          </cell>
          <cell r="C83">
            <v>0.32670000409886463</v>
          </cell>
          <cell r="D83">
            <v>7.1258761323113498E-2</v>
          </cell>
          <cell r="E83">
            <v>3.2210244428959846E-2</v>
          </cell>
          <cell r="F83">
            <v>5.9433536910275852E-3</v>
          </cell>
          <cell r="G83">
            <v>0.33125657526198576</v>
          </cell>
          <cell r="H83">
            <v>0.11715238212348512</v>
          </cell>
          <cell r="I83">
            <v>0.21866474494260565</v>
          </cell>
          <cell r="J83">
            <v>7.5349770937355229</v>
          </cell>
          <cell r="K83">
            <v>3.5983454249839459</v>
          </cell>
        </row>
        <row r="84">
          <cell r="A84" t="str">
            <v>NC0075</v>
          </cell>
          <cell r="B84" t="str">
            <v>Farmville</v>
          </cell>
          <cell r="C84">
            <v>0.21664068364224262</v>
          </cell>
          <cell r="D84">
            <v>6.1406547722154856E-2</v>
          </cell>
          <cell r="E84">
            <v>2.1739130434782608E-2</v>
          </cell>
          <cell r="F84">
            <v>3.0890929037473295E-3</v>
          </cell>
          <cell r="G84">
            <v>0.13225359431837866</v>
          </cell>
          <cell r="H84">
            <v>1.8476817368208324E-2</v>
          </cell>
          <cell r="I84">
            <v>2.390578158458244</v>
          </cell>
          <cell r="J84">
            <v>7.4171306209850103</v>
          </cell>
          <cell r="K84">
            <v>9.9820428431202721</v>
          </cell>
        </row>
      </sheetData>
      <sheetData sheetId="11">
        <row r="4">
          <cell r="C4" t="str">
            <v>Registered Users</v>
          </cell>
          <cell r="G4" t="str">
            <v>Number of</v>
          </cell>
          <cell r="H4" t="str">
            <v>Library</v>
          </cell>
          <cell r="J4" t="str">
            <v>Reference</v>
          </cell>
          <cell r="K4" t="str">
            <v>Reference:</v>
          </cell>
          <cell r="L4" t="str">
            <v>Reference:</v>
          </cell>
          <cell r="M4" t="str">
            <v>Interlibrary Loan</v>
          </cell>
        </row>
        <row r="5">
          <cell r="F5" t="str">
            <v>% of</v>
          </cell>
          <cell r="G5" t="str">
            <v>Annual Library</v>
          </cell>
          <cell r="H5" t="str">
            <v>Visits</v>
          </cell>
          <cell r="I5" t="str">
            <v>Reference</v>
          </cell>
          <cell r="J5" t="str">
            <v>Transactions</v>
          </cell>
          <cell r="K5" t="str">
            <v>Technology/</v>
          </cell>
          <cell r="L5" t="str">
            <v>Workforce</v>
          </cell>
          <cell r="M5" t="str">
            <v>Items</v>
          </cell>
          <cell r="N5" t="str">
            <v>Items</v>
          </cell>
        </row>
        <row r="6">
          <cell r="C6" t="str">
            <v>Adults</v>
          </cell>
          <cell r="D6" t="str">
            <v>Juveniles</v>
          </cell>
          <cell r="E6" t="str">
            <v>Total</v>
          </cell>
          <cell r="F6" t="str">
            <v>Population</v>
          </cell>
          <cell r="G6" t="str">
            <v>Visits</v>
          </cell>
          <cell r="H6" t="str">
            <v>Per Capita</v>
          </cell>
          <cell r="I6" t="str">
            <v>Transactions</v>
          </cell>
          <cell r="J6" t="str">
            <v>Per Capita</v>
          </cell>
          <cell r="K6" t="str">
            <v>Computers</v>
          </cell>
          <cell r="L6" t="str">
            <v>Development</v>
          </cell>
          <cell r="M6" t="str">
            <v>Loaned</v>
          </cell>
          <cell r="N6" t="str">
            <v>Borrowed</v>
          </cell>
        </row>
        <row r="7">
          <cell r="B7" t="str">
            <v>County Libraries</v>
          </cell>
        </row>
        <row r="8">
          <cell r="A8" t="str">
            <v>NC0103</v>
          </cell>
          <cell r="B8" t="str">
            <v>Alamance</v>
          </cell>
          <cell r="C8">
            <v>55332</v>
          </cell>
          <cell r="D8">
            <v>41418</v>
          </cell>
          <cell r="E8">
            <v>96750</v>
          </cell>
          <cell r="F8">
            <v>0.60828397902599118</v>
          </cell>
          <cell r="G8">
            <v>547012</v>
          </cell>
          <cell r="H8">
            <v>3.4391590277515811</v>
          </cell>
          <cell r="I8">
            <v>70164</v>
          </cell>
          <cell r="J8">
            <v>0.44113320004526763</v>
          </cell>
          <cell r="K8">
            <v>27006</v>
          </cell>
          <cell r="L8">
            <v>3909</v>
          </cell>
          <cell r="M8">
            <v>265</v>
          </cell>
          <cell r="N8">
            <v>237</v>
          </cell>
        </row>
        <row r="9">
          <cell r="A9" t="str">
            <v>NC0016</v>
          </cell>
          <cell r="B9" t="str">
            <v>Alexander</v>
          </cell>
          <cell r="C9">
            <v>11037</v>
          </cell>
          <cell r="D9">
            <v>3399</v>
          </cell>
          <cell r="E9">
            <v>14436</v>
          </cell>
          <cell r="F9">
            <v>0.37707658551875456</v>
          </cell>
          <cell r="G9">
            <v>61429</v>
          </cell>
          <cell r="H9">
            <v>1.6045606519694913</v>
          </cell>
          <cell r="I9">
            <v>2721</v>
          </cell>
          <cell r="J9">
            <v>7.1074077943788533E-2</v>
          </cell>
          <cell r="K9">
            <v>1132</v>
          </cell>
          <cell r="L9">
            <v>566</v>
          </cell>
          <cell r="M9">
            <v>3704</v>
          </cell>
          <cell r="N9">
            <v>3379</v>
          </cell>
        </row>
        <row r="10">
          <cell r="A10" t="str">
            <v>NC0017</v>
          </cell>
          <cell r="B10" t="str">
            <v>Bladen</v>
          </cell>
          <cell r="C10">
            <v>9124</v>
          </cell>
          <cell r="D10">
            <v>2846</v>
          </cell>
          <cell r="E10">
            <v>11970</v>
          </cell>
          <cell r="F10">
            <v>0.34528514148902412</v>
          </cell>
          <cell r="G10">
            <v>32485</v>
          </cell>
          <cell r="H10">
            <v>0.93705829751637004</v>
          </cell>
          <cell r="I10">
            <v>3342</v>
          </cell>
          <cell r="J10">
            <v>9.6402919202699972E-2</v>
          </cell>
          <cell r="K10">
            <v>637</v>
          </cell>
          <cell r="L10">
            <v>359</v>
          </cell>
          <cell r="M10">
            <v>649</v>
          </cell>
          <cell r="N10">
            <v>161</v>
          </cell>
        </row>
        <row r="11">
          <cell r="A11" t="str">
            <v>NC0018</v>
          </cell>
          <cell r="B11" t="str">
            <v>Brunswick</v>
          </cell>
          <cell r="C11">
            <v>45707</v>
          </cell>
          <cell r="D11">
            <v>10328</v>
          </cell>
          <cell r="E11">
            <v>56035</v>
          </cell>
          <cell r="F11">
            <v>0.43863013698630138</v>
          </cell>
          <cell r="G11">
            <v>261917</v>
          </cell>
          <cell r="H11">
            <v>2.0502309197651662</v>
          </cell>
          <cell r="I11">
            <v>55048</v>
          </cell>
          <cell r="J11">
            <v>0.43090410958904107</v>
          </cell>
          <cell r="K11">
            <v>10175</v>
          </cell>
          <cell r="L11">
            <v>2442</v>
          </cell>
          <cell r="M11">
            <v>28</v>
          </cell>
          <cell r="N11">
            <v>289</v>
          </cell>
        </row>
        <row r="12">
          <cell r="A12" t="str">
            <v>NC0019</v>
          </cell>
          <cell r="B12" t="str">
            <v>Buncombe</v>
          </cell>
          <cell r="C12">
            <v>109022</v>
          </cell>
          <cell r="D12">
            <v>20302</v>
          </cell>
          <cell r="E12">
            <v>129324</v>
          </cell>
          <cell r="F12">
            <v>0.50046825538106698</v>
          </cell>
          <cell r="G12">
            <v>2004537</v>
          </cell>
          <cell r="H12">
            <v>7.7573160065942739</v>
          </cell>
          <cell r="I12">
            <v>111744</v>
          </cell>
          <cell r="J12">
            <v>0.43243577935496852</v>
          </cell>
          <cell r="K12">
            <v>14892</v>
          </cell>
          <cell r="L12">
            <v>2981</v>
          </cell>
          <cell r="M12">
            <v>35699</v>
          </cell>
          <cell r="N12">
            <v>44554</v>
          </cell>
        </row>
        <row r="13">
          <cell r="A13" t="str">
            <v>NC0020</v>
          </cell>
          <cell r="B13" t="str">
            <v>Burke</v>
          </cell>
          <cell r="C13">
            <v>46583</v>
          </cell>
          <cell r="D13">
            <v>17427</v>
          </cell>
          <cell r="E13">
            <v>64010</v>
          </cell>
          <cell r="F13">
            <v>0.7132271830813286</v>
          </cell>
          <cell r="G13">
            <v>133680</v>
          </cell>
          <cell r="H13">
            <v>1.4895205410765819</v>
          </cell>
          <cell r="I13">
            <v>23556</v>
          </cell>
          <cell r="J13">
            <v>0.26247116895272266</v>
          </cell>
          <cell r="K13">
            <v>10504</v>
          </cell>
          <cell r="L13">
            <v>1404</v>
          </cell>
          <cell r="M13">
            <v>161</v>
          </cell>
          <cell r="N13">
            <v>322</v>
          </cell>
        </row>
        <row r="14">
          <cell r="A14" t="str">
            <v>NC0021</v>
          </cell>
          <cell r="B14" t="str">
            <v>Cabarrus</v>
          </cell>
          <cell r="C14">
            <v>65837</v>
          </cell>
          <cell r="D14">
            <v>16498</v>
          </cell>
          <cell r="E14">
            <v>82335</v>
          </cell>
          <cell r="F14">
            <v>0.41031480641672857</v>
          </cell>
          <cell r="G14">
            <v>428290</v>
          </cell>
          <cell r="H14">
            <v>2.1343745483721461</v>
          </cell>
          <cell r="I14">
            <v>82401</v>
          </cell>
          <cell r="J14">
            <v>0.41064371608119088</v>
          </cell>
          <cell r="K14">
            <v>30043</v>
          </cell>
          <cell r="L14">
            <v>4493</v>
          </cell>
          <cell r="M14">
            <v>303</v>
          </cell>
          <cell r="N14">
            <v>265</v>
          </cell>
        </row>
        <row r="15">
          <cell r="A15" t="str">
            <v>NC0022</v>
          </cell>
          <cell r="B15" t="str">
            <v>Caldwell</v>
          </cell>
          <cell r="C15">
            <v>24638</v>
          </cell>
          <cell r="D15">
            <v>6269</v>
          </cell>
          <cell r="E15">
            <v>30907</v>
          </cell>
          <cell r="F15">
            <v>0.37339921712656454</v>
          </cell>
          <cell r="G15">
            <v>307405</v>
          </cell>
          <cell r="H15">
            <v>3.7138766732711543</v>
          </cell>
          <cell r="I15">
            <v>59956</v>
          </cell>
          <cell r="J15">
            <v>0.72435122988450196</v>
          </cell>
          <cell r="K15">
            <v>15444</v>
          </cell>
          <cell r="L15">
            <v>312</v>
          </cell>
          <cell r="M15">
            <v>11637</v>
          </cell>
          <cell r="N15">
            <v>6734</v>
          </cell>
        </row>
        <row r="16">
          <cell r="A16" t="str">
            <v>NC0107</v>
          </cell>
          <cell r="B16" t="str">
            <v>Caswell</v>
          </cell>
          <cell r="C16">
            <v>5658</v>
          </cell>
          <cell r="D16">
            <v>1967</v>
          </cell>
          <cell r="E16">
            <v>7625</v>
          </cell>
          <cell r="F16">
            <v>0.32187935328633543</v>
          </cell>
          <cell r="G16">
            <v>78611</v>
          </cell>
          <cell r="H16">
            <v>3.3184600447465069</v>
          </cell>
          <cell r="I16">
            <v>12633</v>
          </cell>
          <cell r="J16">
            <v>0.5332854911562328</v>
          </cell>
          <cell r="K16">
            <v>5540</v>
          </cell>
          <cell r="L16">
            <v>978</v>
          </cell>
          <cell r="M16">
            <v>3010</v>
          </cell>
          <cell r="N16">
            <v>1220</v>
          </cell>
        </row>
        <row r="17">
          <cell r="A17" t="str">
            <v>NC0023</v>
          </cell>
          <cell r="B17" t="str">
            <v>Catawba</v>
          </cell>
          <cell r="C17">
            <v>72450</v>
          </cell>
          <cell r="D17">
            <v>14367</v>
          </cell>
          <cell r="E17">
            <v>86817</v>
          </cell>
          <cell r="F17">
            <v>0.74772625486615907</v>
          </cell>
          <cell r="G17">
            <v>412433</v>
          </cell>
          <cell r="H17">
            <v>3.5521497226719951</v>
          </cell>
          <cell r="I17">
            <v>49574</v>
          </cell>
          <cell r="J17">
            <v>0.42696455024632241</v>
          </cell>
          <cell r="K17">
            <v>20752</v>
          </cell>
          <cell r="L17">
            <v>3764</v>
          </cell>
          <cell r="M17">
            <v>0</v>
          </cell>
          <cell r="N17">
            <v>156</v>
          </cell>
        </row>
        <row r="18">
          <cell r="A18" t="str">
            <v>NC0104</v>
          </cell>
          <cell r="B18" t="str">
            <v>Chatham</v>
          </cell>
          <cell r="C18">
            <v>31206</v>
          </cell>
          <cell r="D18">
            <v>3812</v>
          </cell>
          <cell r="E18">
            <v>35018</v>
          </cell>
          <cell r="F18">
            <v>0.4778265971672625</v>
          </cell>
          <cell r="G18">
            <v>181494</v>
          </cell>
          <cell r="H18">
            <v>2.4765166607537594</v>
          </cell>
          <cell r="I18">
            <v>26634</v>
          </cell>
          <cell r="J18">
            <v>0.363425483721311</v>
          </cell>
          <cell r="K18">
            <v>21258</v>
          </cell>
          <cell r="L18">
            <v>1003</v>
          </cell>
          <cell r="M18">
            <v>0</v>
          </cell>
          <cell r="N18">
            <v>330</v>
          </cell>
        </row>
        <row r="19">
          <cell r="A19" t="str">
            <v>NC0024</v>
          </cell>
          <cell r="B19" t="str">
            <v>Cleveland</v>
          </cell>
          <cell r="C19">
            <v>26475</v>
          </cell>
          <cell r="D19">
            <v>152</v>
          </cell>
          <cell r="E19">
            <v>26627</v>
          </cell>
          <cell r="F19">
            <v>0.30052708208710965</v>
          </cell>
          <cell r="G19">
            <v>169303</v>
          </cell>
          <cell r="H19">
            <v>1.9108475073644766</v>
          </cell>
          <cell r="I19">
            <v>48931</v>
          </cell>
          <cell r="J19">
            <v>0.55226238981501341</v>
          </cell>
          <cell r="K19">
            <v>35002</v>
          </cell>
          <cell r="L19">
            <v>12680</v>
          </cell>
          <cell r="M19">
            <v>14558</v>
          </cell>
          <cell r="N19">
            <v>14614</v>
          </cell>
        </row>
        <row r="20">
          <cell r="A20" t="str">
            <v>NC0025</v>
          </cell>
          <cell r="B20" t="str">
            <v>Columbus</v>
          </cell>
          <cell r="C20">
            <v>30829</v>
          </cell>
          <cell r="D20">
            <v>11417</v>
          </cell>
          <cell r="E20">
            <v>42246</v>
          </cell>
          <cell r="F20">
            <v>0.73879892273792447</v>
          </cell>
          <cell r="G20">
            <v>88096</v>
          </cell>
          <cell r="H20">
            <v>1.5406246720996117</v>
          </cell>
          <cell r="I20">
            <v>38791</v>
          </cell>
          <cell r="J20">
            <v>0.6783778111993285</v>
          </cell>
          <cell r="K20">
            <v>11654</v>
          </cell>
          <cell r="L20">
            <v>2677</v>
          </cell>
          <cell r="M20">
            <v>0</v>
          </cell>
          <cell r="N20">
            <v>13</v>
          </cell>
        </row>
        <row r="21">
          <cell r="A21" t="str">
            <v>NC0026</v>
          </cell>
          <cell r="B21" t="str">
            <v>Cumberland</v>
          </cell>
          <cell r="C21">
            <v>201569</v>
          </cell>
          <cell r="D21">
            <v>32089</v>
          </cell>
          <cell r="E21">
            <v>233658</v>
          </cell>
          <cell r="F21">
            <v>0.70843237605510823</v>
          </cell>
          <cell r="G21">
            <v>1214921</v>
          </cell>
          <cell r="H21">
            <v>3.6835433443290966</v>
          </cell>
          <cell r="I21">
            <v>219230</v>
          </cell>
          <cell r="J21">
            <v>0.66468783351120597</v>
          </cell>
          <cell r="K21">
            <v>99573</v>
          </cell>
          <cell r="L21">
            <v>4414</v>
          </cell>
          <cell r="M21">
            <v>35924</v>
          </cell>
          <cell r="N21">
            <v>35562</v>
          </cell>
        </row>
        <row r="22">
          <cell r="A22" t="str">
            <v>NC0027</v>
          </cell>
          <cell r="B22" t="str">
            <v>Davidson</v>
          </cell>
          <cell r="C22">
            <v>73504</v>
          </cell>
          <cell r="D22">
            <v>33365</v>
          </cell>
          <cell r="E22">
            <v>106869</v>
          </cell>
          <cell r="F22">
            <v>0.66739733213429253</v>
          </cell>
          <cell r="G22">
            <v>514377</v>
          </cell>
          <cell r="H22">
            <v>3.2122864208633093</v>
          </cell>
          <cell r="I22">
            <v>276247</v>
          </cell>
          <cell r="J22">
            <v>1.7251636191047162</v>
          </cell>
          <cell r="K22">
            <v>73614</v>
          </cell>
          <cell r="L22">
            <v>5271</v>
          </cell>
          <cell r="M22">
            <v>25232</v>
          </cell>
          <cell r="N22">
            <v>10813</v>
          </cell>
        </row>
        <row r="23">
          <cell r="A23" t="str">
            <v>NC0028</v>
          </cell>
          <cell r="B23" t="str">
            <v>Davie</v>
          </cell>
          <cell r="C23">
            <v>12264</v>
          </cell>
          <cell r="D23">
            <v>9862</v>
          </cell>
          <cell r="E23">
            <v>22126</v>
          </cell>
          <cell r="F23">
            <v>0.52417616261164146</v>
          </cell>
          <cell r="G23">
            <v>59070</v>
          </cell>
          <cell r="H23">
            <v>1.3993982611167706</v>
          </cell>
          <cell r="I23">
            <v>4412</v>
          </cell>
          <cell r="J23">
            <v>0.10452251782710668</v>
          </cell>
          <cell r="K23">
            <v>2749</v>
          </cell>
          <cell r="L23">
            <v>1532</v>
          </cell>
          <cell r="M23">
            <v>5192</v>
          </cell>
          <cell r="N23">
            <v>2167</v>
          </cell>
        </row>
        <row r="24">
          <cell r="A24" t="str">
            <v>NC0029</v>
          </cell>
          <cell r="B24" t="str">
            <v>Duplin</v>
          </cell>
          <cell r="C24">
            <v>3319</v>
          </cell>
          <cell r="D24">
            <v>1051</v>
          </cell>
          <cell r="E24">
            <v>4370</v>
          </cell>
          <cell r="F24">
            <v>7.3325838548920247E-2</v>
          </cell>
          <cell r="G24">
            <v>31718</v>
          </cell>
          <cell r="H24">
            <v>0.53220799704683119</v>
          </cell>
          <cell r="I24">
            <v>4364</v>
          </cell>
          <cell r="J24">
            <v>7.3225162340386257E-2</v>
          </cell>
          <cell r="K24">
            <v>3016</v>
          </cell>
          <cell r="L24">
            <v>156</v>
          </cell>
          <cell r="M24">
            <v>13</v>
          </cell>
          <cell r="N24">
            <v>33</v>
          </cell>
        </row>
        <row r="25">
          <cell r="A25" t="str">
            <v>NC0030</v>
          </cell>
          <cell r="B25" t="str">
            <v>Durham</v>
          </cell>
          <cell r="C25">
            <v>217223</v>
          </cell>
          <cell r="D25">
            <v>48486</v>
          </cell>
          <cell r="E25">
            <v>265709</v>
          </cell>
          <cell r="F25">
            <v>0.89056508915404209</v>
          </cell>
          <cell r="G25">
            <v>858360</v>
          </cell>
          <cell r="H25">
            <v>2.8769272020378067</v>
          </cell>
          <cell r="I25">
            <v>170264</v>
          </cell>
          <cell r="J25">
            <v>0.57066630915672345</v>
          </cell>
          <cell r="K25">
            <v>77220</v>
          </cell>
          <cell r="L25">
            <v>17592</v>
          </cell>
          <cell r="M25">
            <v>1188</v>
          </cell>
          <cell r="N25">
            <v>2262</v>
          </cell>
        </row>
        <row r="26">
          <cell r="A26" t="str">
            <v>NC0031</v>
          </cell>
          <cell r="B26" t="str">
            <v>Edgecombe</v>
          </cell>
          <cell r="C26">
            <v>13742</v>
          </cell>
          <cell r="D26">
            <v>4082</v>
          </cell>
          <cell r="E26">
            <v>17824</v>
          </cell>
          <cell r="F26">
            <v>0.33314642443273151</v>
          </cell>
          <cell r="G26">
            <v>135761</v>
          </cell>
          <cell r="H26">
            <v>2.5374939254607303</v>
          </cell>
          <cell r="I26">
            <v>7304</v>
          </cell>
          <cell r="J26">
            <v>0.1365182609995888</v>
          </cell>
          <cell r="K26">
            <v>4458</v>
          </cell>
          <cell r="L26">
            <v>749</v>
          </cell>
          <cell r="M26">
            <v>28</v>
          </cell>
          <cell r="N26">
            <v>17</v>
          </cell>
        </row>
        <row r="27">
          <cell r="A27" t="str">
            <v>NC0032</v>
          </cell>
          <cell r="B27" t="str">
            <v>Forsyth</v>
          </cell>
          <cell r="C27">
            <v>129686</v>
          </cell>
          <cell r="D27">
            <v>35252</v>
          </cell>
          <cell r="E27">
            <v>164938</v>
          </cell>
          <cell r="F27">
            <v>0.44684960974010668</v>
          </cell>
          <cell r="G27">
            <v>1041176</v>
          </cell>
          <cell r="H27">
            <v>2.8207513688220138</v>
          </cell>
          <cell r="I27">
            <v>318330</v>
          </cell>
          <cell r="J27">
            <v>0.86241882567127137</v>
          </cell>
          <cell r="K27">
            <v>89924</v>
          </cell>
          <cell r="L27">
            <v>19184</v>
          </cell>
          <cell r="M27">
            <v>72046</v>
          </cell>
          <cell r="N27">
            <v>17951</v>
          </cell>
        </row>
        <row r="28">
          <cell r="A28" t="str">
            <v>NC0033</v>
          </cell>
          <cell r="B28" t="str">
            <v>Franklin</v>
          </cell>
          <cell r="C28">
            <v>20115</v>
          </cell>
          <cell r="D28">
            <v>7128</v>
          </cell>
          <cell r="E28">
            <v>27243</v>
          </cell>
          <cell r="F28">
            <v>0.41627320650928262</v>
          </cell>
          <cell r="G28">
            <v>227985</v>
          </cell>
          <cell r="H28">
            <v>3.4836121934448774</v>
          </cell>
          <cell r="I28">
            <v>12064</v>
          </cell>
          <cell r="J28">
            <v>0.18433799373519749</v>
          </cell>
          <cell r="K28">
            <v>5824</v>
          </cell>
          <cell r="L28">
            <v>2340</v>
          </cell>
          <cell r="M28">
            <v>6035</v>
          </cell>
          <cell r="N28">
            <v>5790</v>
          </cell>
        </row>
        <row r="29">
          <cell r="A29" t="str">
            <v>NC0105</v>
          </cell>
          <cell r="B29" t="str">
            <v>Gaston</v>
          </cell>
          <cell r="C29">
            <v>67446</v>
          </cell>
          <cell r="D29">
            <v>52814</v>
          </cell>
          <cell r="E29">
            <v>120260</v>
          </cell>
          <cell r="F29">
            <v>0.56088017051204919</v>
          </cell>
          <cell r="G29">
            <v>575420</v>
          </cell>
          <cell r="H29">
            <v>2.6836992159990301</v>
          </cell>
          <cell r="I29">
            <v>160368</v>
          </cell>
          <cell r="J29">
            <v>0.74793972380406037</v>
          </cell>
          <cell r="K29">
            <v>49868</v>
          </cell>
          <cell r="L29">
            <v>5304</v>
          </cell>
          <cell r="M29">
            <v>259</v>
          </cell>
          <cell r="N29">
            <v>1318</v>
          </cell>
        </row>
        <row r="30">
          <cell r="A30" t="str">
            <v>NC0034</v>
          </cell>
          <cell r="B30" t="str">
            <v>Granville</v>
          </cell>
          <cell r="C30">
            <v>35548</v>
          </cell>
          <cell r="D30">
            <v>5327</v>
          </cell>
          <cell r="E30">
            <v>40875</v>
          </cell>
          <cell r="F30">
            <v>0.68774923022563228</v>
          </cell>
          <cell r="G30">
            <v>191721</v>
          </cell>
          <cell r="H30">
            <v>3.2258341325526221</v>
          </cell>
          <cell r="I30">
            <v>34119</v>
          </cell>
          <cell r="J30">
            <v>0.5740750088334764</v>
          </cell>
          <cell r="K30">
            <v>9868</v>
          </cell>
          <cell r="L30">
            <v>1331</v>
          </cell>
          <cell r="M30">
            <v>506</v>
          </cell>
          <cell r="N30">
            <v>71</v>
          </cell>
        </row>
        <row r="31">
          <cell r="A31" t="str">
            <v>NC0035</v>
          </cell>
          <cell r="B31" t="str">
            <v>Guilford (Greensboro)</v>
          </cell>
          <cell r="C31">
            <v>215117</v>
          </cell>
          <cell r="D31">
            <v>63515</v>
          </cell>
          <cell r="E31">
            <v>278632</v>
          </cell>
          <cell r="F31">
            <v>0.66973050409099211</v>
          </cell>
          <cell r="G31">
            <v>2692069</v>
          </cell>
          <cell r="H31">
            <v>6.4707597419454084</v>
          </cell>
          <cell r="I31">
            <v>320853</v>
          </cell>
          <cell r="J31">
            <v>0.771214510282764</v>
          </cell>
          <cell r="K31">
            <v>120965</v>
          </cell>
          <cell r="L31">
            <v>346</v>
          </cell>
          <cell r="M31">
            <v>716</v>
          </cell>
          <cell r="N31">
            <v>453</v>
          </cell>
        </row>
        <row r="32">
          <cell r="A32" t="str">
            <v>NC0036</v>
          </cell>
          <cell r="B32" t="str">
            <v>Halifax</v>
          </cell>
          <cell r="C32">
            <v>16717</v>
          </cell>
          <cell r="D32">
            <v>5319</v>
          </cell>
          <cell r="E32">
            <v>22036</v>
          </cell>
          <cell r="F32">
            <v>0.59461939070131409</v>
          </cell>
          <cell r="G32">
            <v>69000</v>
          </cell>
          <cell r="H32">
            <v>1.8618958957338299</v>
          </cell>
          <cell r="I32">
            <v>17929</v>
          </cell>
          <cell r="J32">
            <v>0.48379610890741792</v>
          </cell>
          <cell r="K32">
            <v>13395</v>
          </cell>
          <cell r="L32">
            <v>9455</v>
          </cell>
          <cell r="M32">
            <v>2</v>
          </cell>
          <cell r="N32">
            <v>18</v>
          </cell>
        </row>
        <row r="33">
          <cell r="A33" t="str">
            <v>NC0037</v>
          </cell>
          <cell r="B33" t="str">
            <v>Harnett</v>
          </cell>
          <cell r="C33">
            <v>49782</v>
          </cell>
          <cell r="D33">
            <v>12283</v>
          </cell>
          <cell r="E33">
            <v>62065</v>
          </cell>
          <cell r="F33">
            <v>0.48193472740967364</v>
          </cell>
          <cell r="G33">
            <v>255162</v>
          </cell>
          <cell r="H33">
            <v>1.9813329399066646</v>
          </cell>
          <cell r="I33">
            <v>5572</v>
          </cell>
          <cell r="J33">
            <v>4.3266580216332902E-2</v>
          </cell>
          <cell r="K33">
            <v>3264</v>
          </cell>
          <cell r="L33">
            <v>2088</v>
          </cell>
          <cell r="M33">
            <v>9417</v>
          </cell>
          <cell r="N33">
            <v>8754</v>
          </cell>
        </row>
        <row r="34">
          <cell r="A34" t="str">
            <v>NC0038</v>
          </cell>
          <cell r="B34" t="str">
            <v>Haywood</v>
          </cell>
          <cell r="C34">
            <v>33004</v>
          </cell>
          <cell r="D34">
            <v>6102</v>
          </cell>
          <cell r="E34">
            <v>39106</v>
          </cell>
          <cell r="F34">
            <v>0.63308024801282159</v>
          </cell>
          <cell r="G34">
            <v>266104</v>
          </cell>
          <cell r="H34">
            <v>4.3079114794968509</v>
          </cell>
          <cell r="I34">
            <v>894</v>
          </cell>
          <cell r="J34">
            <v>1.4472810865940327E-2</v>
          </cell>
          <cell r="K34">
            <v>5000</v>
          </cell>
          <cell r="L34">
            <v>104</v>
          </cell>
          <cell r="M34">
            <v>26476</v>
          </cell>
          <cell r="N34">
            <v>28146</v>
          </cell>
        </row>
        <row r="35">
          <cell r="A35" t="str">
            <v>NC0039</v>
          </cell>
          <cell r="B35" t="str">
            <v>Henderson</v>
          </cell>
          <cell r="C35">
            <v>61693</v>
          </cell>
          <cell r="D35">
            <v>12331</v>
          </cell>
          <cell r="E35">
            <v>74024</v>
          </cell>
          <cell r="F35">
            <v>0.64714779035712722</v>
          </cell>
          <cell r="G35">
            <v>571475</v>
          </cell>
          <cell r="H35">
            <v>4.9960659177339686</v>
          </cell>
          <cell r="I35">
            <v>115372</v>
          </cell>
          <cell r="J35">
            <v>1.0086287537701621</v>
          </cell>
          <cell r="K35">
            <v>29791</v>
          </cell>
          <cell r="L35">
            <v>4171</v>
          </cell>
          <cell r="M35">
            <v>28191</v>
          </cell>
          <cell r="N35">
            <v>28800</v>
          </cell>
        </row>
        <row r="36">
          <cell r="A36" t="str">
            <v>NC0040</v>
          </cell>
          <cell r="B36" t="str">
            <v>Iredell</v>
          </cell>
          <cell r="C36">
            <v>30591</v>
          </cell>
          <cell r="D36">
            <v>30974</v>
          </cell>
          <cell r="E36">
            <v>61565</v>
          </cell>
          <cell r="F36">
            <v>0.45833550471624368</v>
          </cell>
          <cell r="G36">
            <v>251707</v>
          </cell>
          <cell r="H36">
            <v>1.8738935253083984</v>
          </cell>
          <cell r="I36">
            <v>53874</v>
          </cell>
          <cell r="J36">
            <v>0.40107799855572018</v>
          </cell>
          <cell r="K36">
            <v>32103</v>
          </cell>
          <cell r="L36">
            <v>3293</v>
          </cell>
          <cell r="M36">
            <v>21272</v>
          </cell>
          <cell r="N36">
            <v>11450</v>
          </cell>
        </row>
        <row r="37">
          <cell r="A37" t="str">
            <v>NC0041</v>
          </cell>
          <cell r="B37" t="str">
            <v>Johnston</v>
          </cell>
          <cell r="C37">
            <v>39606</v>
          </cell>
          <cell r="D37">
            <v>11453</v>
          </cell>
          <cell r="E37">
            <v>51059</v>
          </cell>
          <cell r="F37">
            <v>0.30028876747454908</v>
          </cell>
          <cell r="G37">
            <v>211900</v>
          </cell>
          <cell r="H37">
            <v>1.2462286732575441</v>
          </cell>
          <cell r="I37">
            <v>110162</v>
          </cell>
          <cell r="J37">
            <v>0.64788599860027174</v>
          </cell>
          <cell r="K37">
            <v>19114</v>
          </cell>
          <cell r="L37">
            <v>9650</v>
          </cell>
          <cell r="M37">
            <v>13613</v>
          </cell>
          <cell r="N37">
            <v>7671</v>
          </cell>
        </row>
        <row r="38">
          <cell r="A38" t="str">
            <v>NC0042</v>
          </cell>
          <cell r="B38" t="str">
            <v>Lee</v>
          </cell>
          <cell r="C38">
            <v>27680</v>
          </cell>
          <cell r="D38">
            <v>7197</v>
          </cell>
          <cell r="E38">
            <v>34877</v>
          </cell>
          <cell r="F38">
            <v>0.58870096549861595</v>
          </cell>
          <cell r="G38">
            <v>195884</v>
          </cell>
          <cell r="H38">
            <v>3.3063938964283301</v>
          </cell>
          <cell r="I38">
            <v>16786</v>
          </cell>
          <cell r="J38">
            <v>0.28333670920261966</v>
          </cell>
          <cell r="K38">
            <v>7084</v>
          </cell>
          <cell r="L38">
            <v>1712</v>
          </cell>
          <cell r="M38">
            <v>8050</v>
          </cell>
          <cell r="N38">
            <v>8568</v>
          </cell>
        </row>
        <row r="39">
          <cell r="A39" t="str">
            <v>NC0106</v>
          </cell>
          <cell r="B39" t="str">
            <v>Lincoln</v>
          </cell>
          <cell r="C39">
            <v>42844</v>
          </cell>
          <cell r="D39">
            <v>27279</v>
          </cell>
          <cell r="E39">
            <v>70123</v>
          </cell>
          <cell r="F39">
            <v>0.85481452586154349</v>
          </cell>
          <cell r="G39">
            <v>193242</v>
          </cell>
          <cell r="H39">
            <v>2.3556617458827547</v>
          </cell>
          <cell r="I39">
            <v>17002</v>
          </cell>
          <cell r="J39">
            <v>0.20725805468530958</v>
          </cell>
          <cell r="K39">
            <v>10412</v>
          </cell>
          <cell r="L39">
            <v>1717</v>
          </cell>
          <cell r="M39">
            <v>0</v>
          </cell>
          <cell r="N39">
            <v>6</v>
          </cell>
        </row>
        <row r="40">
          <cell r="A40" t="str">
            <v>NC0043</v>
          </cell>
          <cell r="B40" t="str">
            <v>Madison</v>
          </cell>
          <cell r="C40">
            <v>6736</v>
          </cell>
          <cell r="D40">
            <v>2328</v>
          </cell>
          <cell r="E40">
            <v>9064</v>
          </cell>
          <cell r="F40">
            <v>0.41239364848264254</v>
          </cell>
          <cell r="G40">
            <v>119728</v>
          </cell>
          <cell r="H40">
            <v>5.4473815915191777</v>
          </cell>
          <cell r="I40">
            <v>3882</v>
          </cell>
          <cell r="J40">
            <v>0.17662314027025797</v>
          </cell>
          <cell r="K40">
            <v>1330</v>
          </cell>
          <cell r="L40">
            <v>193</v>
          </cell>
          <cell r="M40">
            <v>1</v>
          </cell>
          <cell r="N40">
            <v>5</v>
          </cell>
        </row>
        <row r="41">
          <cell r="A41" t="str">
            <v>NC0044</v>
          </cell>
          <cell r="B41" t="str">
            <v>McDowell</v>
          </cell>
          <cell r="C41">
            <v>15925</v>
          </cell>
          <cell r="D41">
            <v>3765</v>
          </cell>
          <cell r="E41">
            <v>19690</v>
          </cell>
          <cell r="F41">
            <v>0.43265216435948145</v>
          </cell>
          <cell r="G41">
            <v>107512</v>
          </cell>
          <cell r="H41">
            <v>2.3623818940892112</v>
          </cell>
          <cell r="I41">
            <v>10825</v>
          </cell>
          <cell r="J41">
            <v>0.23785981103054274</v>
          </cell>
          <cell r="K41">
            <v>9348</v>
          </cell>
          <cell r="L41">
            <v>898</v>
          </cell>
          <cell r="M41">
            <v>6240</v>
          </cell>
          <cell r="N41">
            <v>6130</v>
          </cell>
        </row>
        <row r="42">
          <cell r="A42" t="str">
            <v>NC0045</v>
          </cell>
          <cell r="B42" t="str">
            <v>Mecklenburg</v>
          </cell>
          <cell r="C42">
            <v>621158</v>
          </cell>
          <cell r="D42">
            <v>348488</v>
          </cell>
          <cell r="E42">
            <v>969646</v>
          </cell>
          <cell r="F42">
            <v>0.9203650532250639</v>
          </cell>
          <cell r="G42">
            <v>3374184</v>
          </cell>
          <cell r="H42">
            <v>3.2026956608403059</v>
          </cell>
          <cell r="I42">
            <v>1510083</v>
          </cell>
          <cell r="J42">
            <v>1.433335073489979</v>
          </cell>
          <cell r="K42">
            <v>201932</v>
          </cell>
          <cell r="L42">
            <v>86038</v>
          </cell>
          <cell r="M42">
            <v>3170</v>
          </cell>
          <cell r="N42">
            <v>2245</v>
          </cell>
        </row>
        <row r="43">
          <cell r="A43" t="str">
            <v>NC0046</v>
          </cell>
          <cell r="B43" t="str">
            <v>Nash (Braswell)</v>
          </cell>
          <cell r="C43">
            <v>34381</v>
          </cell>
          <cell r="D43">
            <v>10507</v>
          </cell>
          <cell r="E43">
            <v>44888</v>
          </cell>
          <cell r="F43">
            <v>0.50328512165040928</v>
          </cell>
          <cell r="G43">
            <v>184379</v>
          </cell>
          <cell r="H43">
            <v>2.0672609036887541</v>
          </cell>
          <cell r="I43">
            <v>33983</v>
          </cell>
          <cell r="J43">
            <v>0.38101805135104833</v>
          </cell>
          <cell r="K43">
            <v>12642</v>
          </cell>
          <cell r="L43">
            <v>4126</v>
          </cell>
          <cell r="M43">
            <v>4340</v>
          </cell>
          <cell r="N43">
            <v>5758</v>
          </cell>
        </row>
        <row r="44">
          <cell r="A44" t="str">
            <v>NC0047</v>
          </cell>
          <cell r="B44" t="str">
            <v>New Hanover</v>
          </cell>
          <cell r="C44">
            <v>84212</v>
          </cell>
          <cell r="D44">
            <v>16274</v>
          </cell>
          <cell r="E44">
            <v>100486</v>
          </cell>
          <cell r="F44">
            <v>0.44938463740116635</v>
          </cell>
          <cell r="G44">
            <v>749930</v>
          </cell>
          <cell r="H44">
            <v>3.3537708847626204</v>
          </cell>
          <cell r="I44">
            <v>297690</v>
          </cell>
          <cell r="J44">
            <v>1.331302994526135</v>
          </cell>
          <cell r="K44">
            <v>77978</v>
          </cell>
          <cell r="L44">
            <v>10207</v>
          </cell>
          <cell r="M44">
            <v>1377</v>
          </cell>
          <cell r="N44">
            <v>604</v>
          </cell>
        </row>
        <row r="45">
          <cell r="A45" t="str">
            <v>NC0048</v>
          </cell>
          <cell r="B45" t="str">
            <v>Onslow</v>
          </cell>
          <cell r="C45">
            <v>44661</v>
          </cell>
          <cell r="D45">
            <v>13438</v>
          </cell>
          <cell r="E45">
            <v>58099</v>
          </cell>
          <cell r="F45">
            <v>0.29961219922233567</v>
          </cell>
          <cell r="G45">
            <v>400029</v>
          </cell>
          <cell r="H45">
            <v>2.0629196447909899</v>
          </cell>
          <cell r="I45">
            <v>80434</v>
          </cell>
          <cell r="J45">
            <v>0.41479212434378127</v>
          </cell>
          <cell r="K45">
            <v>30129</v>
          </cell>
          <cell r="L45">
            <v>1766</v>
          </cell>
          <cell r="M45">
            <v>660</v>
          </cell>
          <cell r="N45">
            <v>240</v>
          </cell>
        </row>
        <row r="46">
          <cell r="A46" t="str">
            <v>NC0108</v>
          </cell>
          <cell r="B46" t="str">
            <v>Orange</v>
          </cell>
          <cell r="C46">
            <v>14701</v>
          </cell>
          <cell r="D46">
            <v>2624</v>
          </cell>
          <cell r="E46">
            <v>17325</v>
          </cell>
          <cell r="F46">
            <v>0.20585544373284537</v>
          </cell>
          <cell r="G46">
            <v>240610</v>
          </cell>
          <cell r="H46">
            <v>2.8589251553569945</v>
          </cell>
          <cell r="I46">
            <v>18470</v>
          </cell>
          <cell r="J46">
            <v>0.21946032010075925</v>
          </cell>
          <cell r="K46">
            <v>6936</v>
          </cell>
          <cell r="L46">
            <v>360</v>
          </cell>
          <cell r="M46">
            <v>13</v>
          </cell>
          <cell r="N46">
            <v>183</v>
          </cell>
        </row>
        <row r="47">
          <cell r="A47" t="str">
            <v>NC0049</v>
          </cell>
          <cell r="B47" t="str">
            <v>Pender</v>
          </cell>
          <cell r="C47">
            <v>10379</v>
          </cell>
          <cell r="D47">
            <v>3484</v>
          </cell>
          <cell r="E47">
            <v>13863</v>
          </cell>
          <cell r="F47">
            <v>0.23315225617652499</v>
          </cell>
          <cell r="G47">
            <v>127821</v>
          </cell>
          <cell r="H47">
            <v>2.1497334297583208</v>
          </cell>
          <cell r="I47">
            <v>24959</v>
          </cell>
          <cell r="J47">
            <v>0.41976824366370102</v>
          </cell>
          <cell r="K47">
            <v>5409</v>
          </cell>
          <cell r="L47">
            <v>1534</v>
          </cell>
          <cell r="M47">
            <v>14</v>
          </cell>
          <cell r="N47">
            <v>67</v>
          </cell>
        </row>
        <row r="48">
          <cell r="A48" t="str">
            <v>NC0109</v>
          </cell>
          <cell r="B48" t="str">
            <v>Person</v>
          </cell>
          <cell r="C48">
            <v>25639</v>
          </cell>
          <cell r="D48">
            <v>7194</v>
          </cell>
          <cell r="E48">
            <v>32833</v>
          </cell>
          <cell r="F48">
            <v>0.82644482480869919</v>
          </cell>
          <cell r="G48">
            <v>107341</v>
          </cell>
          <cell r="H48">
            <v>2.7018979057591621</v>
          </cell>
          <cell r="I48">
            <v>8341</v>
          </cell>
          <cell r="J48">
            <v>0.20995267821184052</v>
          </cell>
          <cell r="K48">
            <v>2346</v>
          </cell>
          <cell r="L48">
            <v>323</v>
          </cell>
          <cell r="M48">
            <v>8</v>
          </cell>
          <cell r="N48">
            <v>74</v>
          </cell>
        </row>
        <row r="49">
          <cell r="A49" t="str">
            <v>NC0050</v>
          </cell>
          <cell r="B49" t="str">
            <v>Pitt (Sheppard)</v>
          </cell>
          <cell r="C49">
            <v>50948</v>
          </cell>
          <cell r="D49">
            <v>12322</v>
          </cell>
          <cell r="E49">
            <v>63270</v>
          </cell>
          <cell r="F49">
            <v>0.36953537949361914</v>
          </cell>
          <cell r="G49">
            <v>457726</v>
          </cell>
          <cell r="H49">
            <v>2.6733989428496336</v>
          </cell>
          <cell r="I49">
            <v>104998</v>
          </cell>
          <cell r="J49">
            <v>0.61325234354466607</v>
          </cell>
          <cell r="K49">
            <v>17991</v>
          </cell>
          <cell r="L49">
            <v>2708</v>
          </cell>
          <cell r="M49">
            <v>0</v>
          </cell>
          <cell r="N49">
            <v>0</v>
          </cell>
        </row>
        <row r="50">
          <cell r="A50" t="str">
            <v>NC0051</v>
          </cell>
          <cell r="B50" t="str">
            <v>Polk</v>
          </cell>
          <cell r="C50">
            <v>6161</v>
          </cell>
          <cell r="D50">
            <v>773</v>
          </cell>
          <cell r="E50">
            <v>6934</v>
          </cell>
          <cell r="F50">
            <v>0.32971944840703754</v>
          </cell>
          <cell r="G50">
            <v>106128</v>
          </cell>
          <cell r="H50">
            <v>5.046504992867332</v>
          </cell>
          <cell r="I50">
            <v>11600</v>
          </cell>
          <cell r="J50">
            <v>0.5515929624346172</v>
          </cell>
          <cell r="K50">
            <v>7500</v>
          </cell>
          <cell r="L50">
            <v>825</v>
          </cell>
          <cell r="M50">
            <v>3120</v>
          </cell>
          <cell r="N50">
            <v>4804</v>
          </cell>
        </row>
        <row r="51">
          <cell r="A51" t="str">
            <v>NC0052</v>
          </cell>
          <cell r="B51" t="str">
            <v>Randolph</v>
          </cell>
          <cell r="C51">
            <v>92255</v>
          </cell>
          <cell r="D51">
            <v>50804</v>
          </cell>
          <cell r="E51">
            <v>143059</v>
          </cell>
          <cell r="F51">
            <v>0.99553239017125839</v>
          </cell>
          <cell r="G51">
            <v>512094</v>
          </cell>
          <cell r="H51">
            <v>3.5636077689090544</v>
          </cell>
          <cell r="I51">
            <v>99735</v>
          </cell>
          <cell r="J51">
            <v>0.69404527456315546</v>
          </cell>
          <cell r="K51">
            <v>36112</v>
          </cell>
          <cell r="L51">
            <v>6567</v>
          </cell>
          <cell r="M51">
            <v>290</v>
          </cell>
          <cell r="N51">
            <v>133</v>
          </cell>
        </row>
        <row r="52">
          <cell r="A52" t="str">
            <v>NC0053</v>
          </cell>
          <cell r="B52" t="str">
            <v>Robeson</v>
          </cell>
          <cell r="C52">
            <v>18547</v>
          </cell>
          <cell r="D52">
            <v>5776</v>
          </cell>
          <cell r="E52">
            <v>24323</v>
          </cell>
          <cell r="F52">
            <v>0.18335255583949583</v>
          </cell>
          <cell r="G52">
            <v>127102</v>
          </cell>
          <cell r="H52">
            <v>0.95812508951657283</v>
          </cell>
          <cell r="I52">
            <v>35426</v>
          </cell>
          <cell r="J52">
            <v>0.26704960914237469</v>
          </cell>
          <cell r="K52">
            <v>15123</v>
          </cell>
          <cell r="L52">
            <v>6278</v>
          </cell>
          <cell r="M52">
            <v>19</v>
          </cell>
          <cell r="N52">
            <v>254</v>
          </cell>
        </row>
        <row r="53">
          <cell r="A53" t="str">
            <v>NC0054</v>
          </cell>
          <cell r="B53" t="str">
            <v>Rockingham</v>
          </cell>
          <cell r="C53">
            <v>33188</v>
          </cell>
          <cell r="D53">
            <v>8667</v>
          </cell>
          <cell r="E53">
            <v>41855</v>
          </cell>
          <cell r="F53">
            <v>0.45548530323970793</v>
          </cell>
          <cell r="G53">
            <v>433513</v>
          </cell>
          <cell r="H53">
            <v>4.717687259905758</v>
          </cell>
          <cell r="I53">
            <v>134017</v>
          </cell>
          <cell r="J53">
            <v>1.4584344495108335</v>
          </cell>
          <cell r="K53">
            <v>85527</v>
          </cell>
          <cell r="L53">
            <v>56576</v>
          </cell>
          <cell r="M53">
            <v>18768</v>
          </cell>
          <cell r="N53">
            <v>13169</v>
          </cell>
        </row>
        <row r="54">
          <cell r="A54" t="str">
            <v>NC0055</v>
          </cell>
          <cell r="B54" t="str">
            <v>Rowan</v>
          </cell>
          <cell r="C54">
            <v>65035</v>
          </cell>
          <cell r="D54">
            <v>35556</v>
          </cell>
          <cell r="E54">
            <v>100591</v>
          </cell>
          <cell r="F54">
            <v>0.71356316946868126</v>
          </cell>
          <cell r="G54">
            <v>393489</v>
          </cell>
          <cell r="H54">
            <v>2.7912960204298787</v>
          </cell>
          <cell r="I54">
            <v>59642</v>
          </cell>
          <cell r="J54">
            <v>0.42308292544513015</v>
          </cell>
          <cell r="K54">
            <v>29406</v>
          </cell>
          <cell r="L54">
            <v>693</v>
          </cell>
          <cell r="M54">
            <v>668</v>
          </cell>
          <cell r="N54">
            <v>16</v>
          </cell>
        </row>
        <row r="55">
          <cell r="A55" t="str">
            <v>NC0056</v>
          </cell>
          <cell r="B55" t="str">
            <v>Rutherford</v>
          </cell>
          <cell r="C55">
            <v>11876</v>
          </cell>
          <cell r="D55">
            <v>1789</v>
          </cell>
          <cell r="E55">
            <v>13665</v>
          </cell>
          <cell r="F55">
            <v>0.20183743704119464</v>
          </cell>
          <cell r="G55">
            <v>78245</v>
          </cell>
          <cell r="H55">
            <v>1.1557094958864451</v>
          </cell>
          <cell r="I55">
            <v>30635</v>
          </cell>
          <cell r="J55">
            <v>0.45249102698551025</v>
          </cell>
          <cell r="K55">
            <v>2646</v>
          </cell>
          <cell r="L55">
            <v>240</v>
          </cell>
          <cell r="M55">
            <v>7918</v>
          </cell>
          <cell r="N55">
            <v>5670</v>
          </cell>
        </row>
        <row r="56">
          <cell r="A56" t="str">
            <v>NC0057</v>
          </cell>
          <cell r="B56" t="str">
            <v>Sampson</v>
          </cell>
          <cell r="C56">
            <v>7569</v>
          </cell>
          <cell r="D56">
            <v>1644</v>
          </cell>
          <cell r="E56">
            <v>9213</v>
          </cell>
          <cell r="F56">
            <v>0.14508889903778013</v>
          </cell>
          <cell r="G56">
            <v>91032</v>
          </cell>
          <cell r="H56">
            <v>1.4335973794862911</v>
          </cell>
          <cell r="I56">
            <v>52000</v>
          </cell>
          <cell r="J56">
            <v>0.81891053402415781</v>
          </cell>
          <cell r="K56">
            <v>2600</v>
          </cell>
          <cell r="L56">
            <v>-1</v>
          </cell>
          <cell r="M56">
            <v>6</v>
          </cell>
          <cell r="N56">
            <v>140</v>
          </cell>
        </row>
        <row r="57">
          <cell r="A57" t="str">
            <v>NC0058</v>
          </cell>
          <cell r="B57" t="str">
            <v>Scotland</v>
          </cell>
          <cell r="C57">
            <v>7782</v>
          </cell>
          <cell r="D57">
            <v>1801</v>
          </cell>
          <cell r="E57">
            <v>9583</v>
          </cell>
          <cell r="F57">
            <v>0.26776383805079773</v>
          </cell>
          <cell r="G57">
            <v>72579</v>
          </cell>
          <cell r="H57">
            <v>2.0279694878314567</v>
          </cell>
          <cell r="I57">
            <v>5753</v>
          </cell>
          <cell r="J57">
            <v>0.16074771577859118</v>
          </cell>
          <cell r="K57">
            <v>4748</v>
          </cell>
          <cell r="L57">
            <v>229</v>
          </cell>
          <cell r="M57">
            <v>3218</v>
          </cell>
          <cell r="N57">
            <v>678</v>
          </cell>
        </row>
        <row r="58">
          <cell r="A58" t="str">
            <v>NC0059</v>
          </cell>
          <cell r="B58" t="str">
            <v>Stanly</v>
          </cell>
          <cell r="C58">
            <v>20516</v>
          </cell>
          <cell r="D58">
            <v>5339</v>
          </cell>
          <cell r="E58">
            <v>25855</v>
          </cell>
          <cell r="F58">
            <v>0.41869767291217957</v>
          </cell>
          <cell r="G58">
            <v>130726</v>
          </cell>
          <cell r="H58">
            <v>2.1169859597415428</v>
          </cell>
          <cell r="I58">
            <v>14040</v>
          </cell>
          <cell r="J58">
            <v>0.22736473903256627</v>
          </cell>
          <cell r="K58">
            <v>9211</v>
          </cell>
          <cell r="L58">
            <v>850</v>
          </cell>
          <cell r="M58">
            <v>22</v>
          </cell>
          <cell r="N58">
            <v>34</v>
          </cell>
        </row>
        <row r="59">
          <cell r="A59" t="str">
            <v>NC0060</v>
          </cell>
          <cell r="B59" t="str">
            <v>Transylvania</v>
          </cell>
          <cell r="C59">
            <v>14548</v>
          </cell>
          <cell r="D59">
            <v>2994</v>
          </cell>
          <cell r="E59">
            <v>17542</v>
          </cell>
          <cell r="F59">
            <v>0.51384047570227598</v>
          </cell>
          <cell r="G59">
            <v>209481</v>
          </cell>
          <cell r="H59">
            <v>6.1361199800814319</v>
          </cell>
          <cell r="I59">
            <v>15171</v>
          </cell>
          <cell r="J59">
            <v>0.44438911508831541</v>
          </cell>
          <cell r="K59">
            <v>7144</v>
          </cell>
          <cell r="L59">
            <v>297</v>
          </cell>
          <cell r="M59">
            <v>249</v>
          </cell>
          <cell r="N59">
            <v>237</v>
          </cell>
        </row>
        <row r="60">
          <cell r="A60" t="str">
            <v>NC0061</v>
          </cell>
          <cell r="B60" t="str">
            <v>Union</v>
          </cell>
          <cell r="C60">
            <v>70658</v>
          </cell>
          <cell r="D60">
            <v>28199</v>
          </cell>
          <cell r="E60">
            <v>98857</v>
          </cell>
          <cell r="F60">
            <v>0.4414934238438693</v>
          </cell>
          <cell r="G60">
            <v>641542</v>
          </cell>
          <cell r="H60">
            <v>2.8651139941495658</v>
          </cell>
          <cell r="I60">
            <v>158631</v>
          </cell>
          <cell r="J60">
            <v>0.70844293593551122</v>
          </cell>
          <cell r="K60">
            <v>49662</v>
          </cell>
          <cell r="L60">
            <v>5998</v>
          </cell>
          <cell r="M60">
            <v>0</v>
          </cell>
          <cell r="N60">
            <v>0</v>
          </cell>
        </row>
        <row r="61">
          <cell r="A61" t="str">
            <v>NC0062</v>
          </cell>
          <cell r="B61" t="str">
            <v>Vance (Perry)</v>
          </cell>
          <cell r="C61">
            <v>28727</v>
          </cell>
          <cell r="D61">
            <v>3936</v>
          </cell>
          <cell r="E61">
            <v>32663</v>
          </cell>
          <cell r="F61">
            <v>0.72673267326732671</v>
          </cell>
          <cell r="G61">
            <v>178000</v>
          </cell>
          <cell r="H61">
            <v>3.9603960396039604</v>
          </cell>
          <cell r="I61">
            <v>15650</v>
          </cell>
          <cell r="J61">
            <v>0.34820335966180888</v>
          </cell>
          <cell r="K61">
            <v>11600</v>
          </cell>
          <cell r="L61">
            <v>890</v>
          </cell>
          <cell r="M61">
            <v>83</v>
          </cell>
          <cell r="N61">
            <v>156</v>
          </cell>
        </row>
        <row r="62">
          <cell r="A62" t="str">
            <v>NC0063</v>
          </cell>
          <cell r="B62" t="str">
            <v>Wake</v>
          </cell>
          <cell r="C62">
            <v>342807</v>
          </cell>
          <cell r="D62">
            <v>76290</v>
          </cell>
          <cell r="E62">
            <v>419097</v>
          </cell>
          <cell r="F62">
            <v>0.40817902737575334</v>
          </cell>
          <cell r="G62">
            <v>3376255</v>
          </cell>
          <cell r="H62">
            <v>3.2882995632813503</v>
          </cell>
          <cell r="I62">
            <v>391253</v>
          </cell>
          <cell r="J62">
            <v>0.38106039651404239</v>
          </cell>
          <cell r="K62">
            <v>89215</v>
          </cell>
          <cell r="L62">
            <v>18713</v>
          </cell>
          <cell r="M62">
            <v>1044</v>
          </cell>
          <cell r="N62">
            <v>21907</v>
          </cell>
        </row>
        <row r="63">
          <cell r="A63" t="str">
            <v>NC0101</v>
          </cell>
          <cell r="B63" t="str">
            <v>Warren</v>
          </cell>
          <cell r="C63">
            <v>7916</v>
          </cell>
          <cell r="D63">
            <v>3086</v>
          </cell>
          <cell r="E63">
            <v>11002</v>
          </cell>
          <cell r="F63">
            <v>0.54679190895084739</v>
          </cell>
          <cell r="G63">
            <v>59916</v>
          </cell>
          <cell r="H63">
            <v>2.9777844043536605</v>
          </cell>
          <cell r="I63">
            <v>30416</v>
          </cell>
          <cell r="J63">
            <v>1.5116544903334825</v>
          </cell>
          <cell r="K63">
            <v>16249</v>
          </cell>
          <cell r="L63">
            <v>597</v>
          </cell>
          <cell r="M63">
            <v>36</v>
          </cell>
          <cell r="N63">
            <v>74</v>
          </cell>
        </row>
        <row r="64">
          <cell r="A64" t="str">
            <v>NC0065</v>
          </cell>
          <cell r="B64" t="str">
            <v>Wayne</v>
          </cell>
          <cell r="C64">
            <v>34854</v>
          </cell>
          <cell r="D64">
            <v>11464</v>
          </cell>
          <cell r="E64">
            <v>46318</v>
          </cell>
          <cell r="F64">
            <v>0.37111403115184927</v>
          </cell>
          <cell r="G64">
            <v>260598</v>
          </cell>
          <cell r="H64">
            <v>2.0879911544131788</v>
          </cell>
          <cell r="I64">
            <v>93470</v>
          </cell>
          <cell r="J64">
            <v>0.74891032626113707</v>
          </cell>
          <cell r="K64">
            <v>42647</v>
          </cell>
          <cell r="L64">
            <v>4947</v>
          </cell>
          <cell r="M64">
            <v>14429</v>
          </cell>
          <cell r="N64">
            <v>8592</v>
          </cell>
        </row>
        <row r="65">
          <cell r="A65" t="str">
            <v>NC0066</v>
          </cell>
          <cell r="B65" t="str">
            <v>Wilson</v>
          </cell>
          <cell r="C65">
            <v>34383</v>
          </cell>
          <cell r="D65">
            <v>3815</v>
          </cell>
          <cell r="E65">
            <v>38198</v>
          </cell>
          <cell r="F65">
            <v>0.46720810195944129</v>
          </cell>
          <cell r="G65">
            <v>192216</v>
          </cell>
          <cell r="H65">
            <v>2.3510359842461899</v>
          </cell>
          <cell r="I65">
            <v>34321</v>
          </cell>
          <cell r="J65">
            <v>0.41978766603879741</v>
          </cell>
          <cell r="K65">
            <v>8490</v>
          </cell>
          <cell r="L65">
            <v>929</v>
          </cell>
          <cell r="M65">
            <v>191</v>
          </cell>
          <cell r="N65">
            <v>143</v>
          </cell>
        </row>
        <row r="66">
          <cell r="A66" t="str">
            <v>Total or mean average*</v>
          </cell>
          <cell r="C66">
            <v>3530910</v>
          </cell>
          <cell r="D66">
            <v>1218468</v>
          </cell>
          <cell r="E66">
            <v>4749378</v>
          </cell>
          <cell r="F66">
            <v>0.49534435283085398</v>
          </cell>
          <cell r="G66">
            <v>26995920</v>
          </cell>
          <cell r="H66">
            <v>2.8817100644730824</v>
          </cell>
          <cell r="I66">
            <v>5726066</v>
          </cell>
          <cell r="J66">
            <v>0.51692684507836906</v>
          </cell>
          <cell r="K66">
            <v>1645202</v>
          </cell>
          <cell r="L66">
            <v>340758</v>
          </cell>
          <cell r="M66">
            <v>390058</v>
          </cell>
          <cell r="N66">
            <v>313437</v>
          </cell>
        </row>
        <row r="67">
          <cell r="A67" t="str">
            <v>Regional Libraries</v>
          </cell>
        </row>
        <row r="68">
          <cell r="A68" t="str">
            <v>NC0001</v>
          </cell>
          <cell r="B68" t="str">
            <v>Albemarle</v>
          </cell>
          <cell r="C68">
            <v>27031</v>
          </cell>
          <cell r="D68">
            <v>6728</v>
          </cell>
          <cell r="E68">
            <v>33759</v>
          </cell>
          <cell r="F68">
            <v>0.44092523901572539</v>
          </cell>
          <cell r="G68">
            <v>93214</v>
          </cell>
          <cell r="H68">
            <v>1.2174651272138342</v>
          </cell>
          <cell r="I68">
            <v>15567</v>
          </cell>
          <cell r="J68">
            <v>0.20332009821848387</v>
          </cell>
          <cell r="K68">
            <v>3376</v>
          </cell>
          <cell r="L68">
            <v>1262</v>
          </cell>
          <cell r="M68">
            <v>0</v>
          </cell>
          <cell r="N68">
            <v>0</v>
          </cell>
        </row>
        <row r="69">
          <cell r="A69" t="str">
            <v>NC0003</v>
          </cell>
          <cell r="B69" t="str">
            <v>AMY</v>
          </cell>
          <cell r="C69">
            <v>31903</v>
          </cell>
          <cell r="D69">
            <v>7396</v>
          </cell>
          <cell r="E69">
            <v>39299</v>
          </cell>
          <cell r="F69">
            <v>0.76299848561332662</v>
          </cell>
          <cell r="G69">
            <v>81820</v>
          </cell>
          <cell r="H69">
            <v>1.5885527899662175</v>
          </cell>
          <cell r="I69">
            <v>31318</v>
          </cell>
          <cell r="J69">
            <v>0.6080456645827671</v>
          </cell>
          <cell r="K69">
            <v>12610</v>
          </cell>
          <cell r="L69">
            <v>850</v>
          </cell>
          <cell r="M69">
            <v>0</v>
          </cell>
          <cell r="N69">
            <v>0</v>
          </cell>
        </row>
        <row r="70">
          <cell r="A70" t="str">
            <v>NC0002</v>
          </cell>
          <cell r="B70" t="str">
            <v>Appalachian</v>
          </cell>
          <cell r="C70">
            <v>41401</v>
          </cell>
          <cell r="D70">
            <v>10027</v>
          </cell>
          <cell r="E70">
            <v>51428</v>
          </cell>
          <cell r="F70">
            <v>0.33753601596188049</v>
          </cell>
          <cell r="G70">
            <v>423383</v>
          </cell>
          <cell r="H70">
            <v>2.7787783123199201</v>
          </cell>
          <cell r="I70">
            <v>-1</v>
          </cell>
          <cell r="J70">
            <v>-6.5632732356280723E-6</v>
          </cell>
          <cell r="K70">
            <v>-1</v>
          </cell>
          <cell r="L70">
            <v>-1</v>
          </cell>
          <cell r="M70">
            <v>15727</v>
          </cell>
          <cell r="N70">
            <v>29346</v>
          </cell>
        </row>
        <row r="71">
          <cell r="A71" t="str">
            <v>NC0004</v>
          </cell>
          <cell r="B71" t="str">
            <v>BHM</v>
          </cell>
          <cell r="C71">
            <v>7738</v>
          </cell>
          <cell r="D71">
            <v>2338</v>
          </cell>
          <cell r="E71">
            <v>10076</v>
          </cell>
          <cell r="F71">
            <v>0.14977109221713539</v>
          </cell>
          <cell r="G71">
            <v>98309</v>
          </cell>
          <cell r="H71">
            <v>1.4612789107556929</v>
          </cell>
          <cell r="I71">
            <v>20630</v>
          </cell>
          <cell r="J71">
            <v>0.30664724418812056</v>
          </cell>
          <cell r="K71">
            <v>4568</v>
          </cell>
          <cell r="L71">
            <v>936</v>
          </cell>
          <cell r="M71">
            <v>4034</v>
          </cell>
          <cell r="N71">
            <v>4095</v>
          </cell>
        </row>
        <row r="72">
          <cell r="A72" t="str">
            <v>NC0006</v>
          </cell>
          <cell r="B72" t="str">
            <v>CPC</v>
          </cell>
          <cell r="C72">
            <v>55516</v>
          </cell>
          <cell r="D72">
            <v>11593</v>
          </cell>
          <cell r="E72">
            <v>67109</v>
          </cell>
          <cell r="F72">
            <v>0.35895995806455061</v>
          </cell>
          <cell r="G72">
            <v>580822</v>
          </cell>
          <cell r="H72">
            <v>3.1067642307733454</v>
          </cell>
          <cell r="I72">
            <v>141391</v>
          </cell>
          <cell r="J72">
            <v>0.7562876429496026</v>
          </cell>
          <cell r="K72">
            <v>30991</v>
          </cell>
          <cell r="L72">
            <v>9010</v>
          </cell>
          <cell r="M72">
            <v>224</v>
          </cell>
          <cell r="N72">
            <v>231</v>
          </cell>
        </row>
        <row r="73">
          <cell r="A73" t="str">
            <v>NC0007</v>
          </cell>
          <cell r="B73" t="str">
            <v>E. Albemarle</v>
          </cell>
          <cell r="C73">
            <v>40091</v>
          </cell>
          <cell r="D73">
            <v>21130</v>
          </cell>
          <cell r="E73">
            <v>61221</v>
          </cell>
          <cell r="F73">
            <v>0.54149603304469351</v>
          </cell>
          <cell r="G73">
            <v>390171</v>
          </cell>
          <cell r="H73">
            <v>3.4510388381287647</v>
          </cell>
          <cell r="I73">
            <v>64364</v>
          </cell>
          <cell r="J73">
            <v>0.56929567747813092</v>
          </cell>
          <cell r="K73">
            <v>15956</v>
          </cell>
          <cell r="L73">
            <v>1495</v>
          </cell>
          <cell r="M73">
            <v>411</v>
          </cell>
          <cell r="N73">
            <v>940</v>
          </cell>
        </row>
        <row r="74">
          <cell r="A74" t="str">
            <v>NC0008</v>
          </cell>
          <cell r="B74" t="str">
            <v>Fontana</v>
          </cell>
          <cell r="C74">
            <v>40371</v>
          </cell>
          <cell r="D74">
            <v>7112</v>
          </cell>
          <cell r="E74">
            <v>47483</v>
          </cell>
          <cell r="F74">
            <v>0.51995707449546102</v>
          </cell>
          <cell r="G74">
            <v>409425</v>
          </cell>
          <cell r="H74">
            <v>4.4833608917992578</v>
          </cell>
          <cell r="I74">
            <v>105757</v>
          </cell>
          <cell r="J74">
            <v>1.1580797406949113</v>
          </cell>
          <cell r="K74">
            <v>40737</v>
          </cell>
          <cell r="L74">
            <v>1453</v>
          </cell>
          <cell r="M74">
            <v>23507</v>
          </cell>
          <cell r="N74">
            <v>11502</v>
          </cell>
        </row>
        <row r="75">
          <cell r="A75" t="str">
            <v>NC0011</v>
          </cell>
          <cell r="B75" t="str">
            <v>Nantahala</v>
          </cell>
          <cell r="C75">
            <v>16809</v>
          </cell>
          <cell r="D75">
            <v>2305</v>
          </cell>
          <cell r="E75">
            <v>19114</v>
          </cell>
          <cell r="F75">
            <v>0.39211422475690311</v>
          </cell>
          <cell r="G75">
            <v>252387</v>
          </cell>
          <cell r="H75">
            <v>5.1775940589997127</v>
          </cell>
          <cell r="I75">
            <v>73446</v>
          </cell>
          <cell r="J75">
            <v>1.5067082427276084</v>
          </cell>
          <cell r="K75">
            <v>2505</v>
          </cell>
          <cell r="L75">
            <v>164</v>
          </cell>
          <cell r="M75">
            <v>21</v>
          </cell>
          <cell r="N75">
            <v>119</v>
          </cell>
        </row>
        <row r="76">
          <cell r="A76" t="str">
            <v>NC0012</v>
          </cell>
          <cell r="B76" t="str">
            <v>Neuse</v>
          </cell>
          <cell r="C76">
            <v>38978</v>
          </cell>
          <cell r="D76">
            <v>10876</v>
          </cell>
          <cell r="E76">
            <v>49854</v>
          </cell>
          <cell r="F76">
            <v>0.55788814037286538</v>
          </cell>
          <cell r="G76">
            <v>423663</v>
          </cell>
          <cell r="H76">
            <v>4.7409749110360107</v>
          </cell>
          <cell r="I76">
            <v>123347</v>
          </cell>
          <cell r="J76">
            <v>1.3803070656431145</v>
          </cell>
          <cell r="K76">
            <v>64917</v>
          </cell>
          <cell r="L76">
            <v>20961</v>
          </cell>
          <cell r="M76">
            <v>17546</v>
          </cell>
          <cell r="N76">
            <v>3650</v>
          </cell>
        </row>
        <row r="77">
          <cell r="A77" t="str">
            <v>NC0013</v>
          </cell>
          <cell r="B77" t="str">
            <v>Northwestern</v>
          </cell>
          <cell r="C77">
            <v>43383</v>
          </cell>
          <cell r="D77">
            <v>18347</v>
          </cell>
          <cell r="E77">
            <v>61730</v>
          </cell>
          <cell r="F77">
            <v>0.36630449617555083</v>
          </cell>
          <cell r="G77">
            <v>337669</v>
          </cell>
          <cell r="H77">
            <v>2.003720604553735</v>
          </cell>
          <cell r="I77">
            <v>280000</v>
          </cell>
          <cell r="J77">
            <v>1.661513995288421</v>
          </cell>
          <cell r="K77">
            <v>74209</v>
          </cell>
          <cell r="L77">
            <v>28452</v>
          </cell>
          <cell r="M77">
            <v>15656</v>
          </cell>
          <cell r="N77">
            <v>20477</v>
          </cell>
        </row>
        <row r="78">
          <cell r="A78" t="str">
            <v>NC0014</v>
          </cell>
          <cell r="B78" t="str">
            <v>Pettigrew</v>
          </cell>
          <cell r="C78">
            <v>17645</v>
          </cell>
          <cell r="D78">
            <v>5108</v>
          </cell>
          <cell r="E78">
            <v>22753</v>
          </cell>
          <cell r="F78">
            <v>0.51093595616635223</v>
          </cell>
          <cell r="G78">
            <v>244464</v>
          </cell>
          <cell r="H78">
            <v>5.4896254378873621</v>
          </cell>
          <cell r="I78">
            <v>18391</v>
          </cell>
          <cell r="J78">
            <v>0.41298392167430165</v>
          </cell>
          <cell r="K78">
            <v>6053</v>
          </cell>
          <cell r="L78">
            <v>1392</v>
          </cell>
          <cell r="M78">
            <v>40</v>
          </cell>
          <cell r="N78">
            <v>124</v>
          </cell>
        </row>
        <row r="79">
          <cell r="A79" t="str">
            <v>NC0015</v>
          </cell>
          <cell r="B79" t="str">
            <v>Sandhill</v>
          </cell>
          <cell r="C79">
            <v>97684</v>
          </cell>
          <cell r="D79">
            <v>30972</v>
          </cell>
          <cell r="E79">
            <v>128656</v>
          </cell>
          <cell r="F79">
            <v>0.55248466942645624</v>
          </cell>
          <cell r="G79">
            <v>415423</v>
          </cell>
          <cell r="H79">
            <v>1.783941975711562</v>
          </cell>
          <cell r="I79">
            <v>82280</v>
          </cell>
          <cell r="J79">
            <v>0.35333321881924523</v>
          </cell>
          <cell r="K79">
            <v>19006</v>
          </cell>
          <cell r="L79">
            <v>9864</v>
          </cell>
          <cell r="M79">
            <v>151</v>
          </cell>
          <cell r="N79">
            <v>39</v>
          </cell>
        </row>
        <row r="80">
          <cell r="A80" t="str">
            <v>Total or mean average*</v>
          </cell>
          <cell r="C80">
            <v>458550</v>
          </cell>
          <cell r="D80">
            <v>133932</v>
          </cell>
          <cell r="E80">
            <v>592482</v>
          </cell>
          <cell r="F80">
            <v>0.45761428210924177</v>
          </cell>
          <cell r="G80">
            <v>3750750</v>
          </cell>
          <cell r="H80">
            <v>3.1069246740954513</v>
          </cell>
          <cell r="I80">
            <v>956490</v>
          </cell>
          <cell r="J80">
            <v>0.74304299574928923</v>
          </cell>
          <cell r="K80">
            <v>274927</v>
          </cell>
          <cell r="L80">
            <v>75838</v>
          </cell>
          <cell r="M80">
            <v>77317</v>
          </cell>
          <cell r="N80">
            <v>70523</v>
          </cell>
        </row>
        <row r="81">
          <cell r="B81" t="str">
            <v>Municipal Libraries</v>
          </cell>
        </row>
        <row r="82">
          <cell r="A82" t="str">
            <v>NC0071</v>
          </cell>
          <cell r="B82" t="str">
            <v>Chapel Hill</v>
          </cell>
          <cell r="C82">
            <v>43049</v>
          </cell>
          <cell r="D82">
            <v>8046</v>
          </cell>
          <cell r="E82">
            <v>51095</v>
          </cell>
          <cell r="F82">
            <v>0.85368909977945595</v>
          </cell>
          <cell r="G82">
            <v>591118</v>
          </cell>
          <cell r="H82">
            <v>9.8763282764151565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7.1725910064239828</v>
          </cell>
          <cell r="P82">
            <v>0</v>
          </cell>
          <cell r="Q82">
            <v>17370.496620628855</v>
          </cell>
        </row>
        <row r="83">
          <cell r="A83" t="str">
            <v>NC0110</v>
          </cell>
          <cell r="B83" t="str">
            <v>Clayton</v>
          </cell>
          <cell r="C83">
            <v>3896</v>
          </cell>
          <cell r="D83">
            <v>505</v>
          </cell>
          <cell r="E83">
            <v>4401</v>
          </cell>
          <cell r="F83">
            <v>0.22654038194265713</v>
          </cell>
          <cell r="G83">
            <v>59721</v>
          </cell>
          <cell r="H83">
            <v>3.0741236423534257</v>
          </cell>
          <cell r="I83">
            <v>20041</v>
          </cell>
          <cell r="J83">
            <v>1.0316054975034745</v>
          </cell>
          <cell r="K83">
            <v>505</v>
          </cell>
          <cell r="L83">
            <v>76</v>
          </cell>
          <cell r="M83">
            <v>0</v>
          </cell>
          <cell r="N83">
            <v>305</v>
          </cell>
          <cell r="P83">
            <v>2154.9462365591398</v>
          </cell>
          <cell r="Q83">
            <v>6421.6129032258059</v>
          </cell>
        </row>
        <row r="84">
          <cell r="A84" t="str">
            <v>NC0075</v>
          </cell>
          <cell r="B84" t="str">
            <v>Farmville</v>
          </cell>
          <cell r="C84">
            <v>5225</v>
          </cell>
          <cell r="D84">
            <v>25201</v>
          </cell>
          <cell r="E84">
            <v>30426</v>
          </cell>
          <cell r="F84">
            <v>6.5152034261241969</v>
          </cell>
          <cell r="G84">
            <v>33496</v>
          </cell>
          <cell r="H84">
            <v>7.1725910064239828</v>
          </cell>
          <cell r="I84">
            <v>13121</v>
          </cell>
          <cell r="J84">
            <v>2.8096359743040686</v>
          </cell>
          <cell r="K84">
            <v>2761</v>
          </cell>
          <cell r="L84">
            <v>39</v>
          </cell>
          <cell r="M84">
            <v>2150</v>
          </cell>
          <cell r="N84">
            <v>791</v>
          </cell>
          <cell r="P84">
            <v>3280.25</v>
          </cell>
          <cell r="Q84">
            <v>8374</v>
          </cell>
        </row>
      </sheetData>
      <sheetData sheetId="12">
        <row r="4">
          <cell r="C4" t="str">
            <v>Number of Programs</v>
          </cell>
          <cell r="I4" t="str">
            <v>Program attendance</v>
          </cell>
        </row>
        <row r="5">
          <cell r="D5" t="str">
            <v>Young</v>
          </cell>
          <cell r="F5" t="str">
            <v>Technology/</v>
          </cell>
          <cell r="G5" t="str">
            <v>Workforce</v>
          </cell>
          <cell r="J5" t="str">
            <v>Young</v>
          </cell>
          <cell r="L5" t="str">
            <v>Technology/</v>
          </cell>
          <cell r="M5" t="str">
            <v>Workforce</v>
          </cell>
          <cell r="O5" t="str">
            <v>Attendance</v>
          </cell>
          <cell r="P5" t="str">
            <v>Meeting Rooms</v>
          </cell>
        </row>
        <row r="6">
          <cell r="C6" t="str">
            <v>Adult</v>
          </cell>
          <cell r="D6" t="str">
            <v>Adult</v>
          </cell>
          <cell r="E6" t="str">
            <v>Children</v>
          </cell>
          <cell r="F6" t="str">
            <v>Computers</v>
          </cell>
          <cell r="G6" t="str">
            <v>Development</v>
          </cell>
          <cell r="H6" t="str">
            <v>Total</v>
          </cell>
          <cell r="I6" t="str">
            <v>Adult</v>
          </cell>
          <cell r="J6" t="str">
            <v>Adult</v>
          </cell>
          <cell r="K6" t="str">
            <v>Children</v>
          </cell>
          <cell r="L6" t="str">
            <v>Computers</v>
          </cell>
          <cell r="M6" t="str">
            <v>Development</v>
          </cell>
          <cell r="N6" t="str">
            <v>Total</v>
          </cell>
          <cell r="O6" t="str">
            <v>Per Capita</v>
          </cell>
          <cell r="P6" t="str">
            <v>Use</v>
          </cell>
          <cell r="Q6" t="str">
            <v>Attendance</v>
          </cell>
        </row>
        <row r="7">
          <cell r="B7" t="str">
            <v>County Libraries</v>
          </cell>
        </row>
        <row r="8">
          <cell r="A8" t="str">
            <v>NC0103</v>
          </cell>
          <cell r="B8" t="str">
            <v>Alamance</v>
          </cell>
          <cell r="C8">
            <v>704</v>
          </cell>
          <cell r="D8">
            <v>78</v>
          </cell>
          <cell r="E8">
            <v>895</v>
          </cell>
          <cell r="F8">
            <v>237</v>
          </cell>
          <cell r="G8">
            <v>124</v>
          </cell>
          <cell r="H8">
            <v>1677</v>
          </cell>
          <cell r="I8">
            <v>7661</v>
          </cell>
          <cell r="J8">
            <v>1083</v>
          </cell>
          <cell r="K8">
            <v>34783</v>
          </cell>
          <cell r="L8">
            <v>1251</v>
          </cell>
          <cell r="M8">
            <v>702</v>
          </cell>
          <cell r="N8">
            <v>43527</v>
          </cell>
          <cell r="O8">
            <v>0.27366177524614282</v>
          </cell>
          <cell r="P8">
            <v>262</v>
          </cell>
          <cell r="Q8">
            <v>2905</v>
          </cell>
        </row>
        <row r="9">
          <cell r="A9" t="str">
            <v>NC0016</v>
          </cell>
          <cell r="B9" t="str">
            <v>Alexander</v>
          </cell>
          <cell r="C9">
            <v>113</v>
          </cell>
          <cell r="D9">
            <v>29</v>
          </cell>
          <cell r="E9">
            <v>368</v>
          </cell>
          <cell r="F9">
            <v>0</v>
          </cell>
          <cell r="G9">
            <v>0</v>
          </cell>
          <cell r="H9">
            <v>510</v>
          </cell>
          <cell r="I9">
            <v>1935</v>
          </cell>
          <cell r="J9">
            <v>1101</v>
          </cell>
          <cell r="K9">
            <v>7423</v>
          </cell>
          <cell r="L9">
            <v>0</v>
          </cell>
          <cell r="M9">
            <v>0</v>
          </cell>
          <cell r="N9">
            <v>10459</v>
          </cell>
          <cell r="O9">
            <v>0.27319506843590013</v>
          </cell>
          <cell r="P9">
            <v>0</v>
          </cell>
          <cell r="Q9">
            <v>0</v>
          </cell>
        </row>
        <row r="10">
          <cell r="A10" t="str">
            <v>NC0017</v>
          </cell>
          <cell r="B10" t="str">
            <v>Bladen</v>
          </cell>
          <cell r="C10">
            <v>6</v>
          </cell>
          <cell r="D10">
            <v>0</v>
          </cell>
          <cell r="E10">
            <v>302</v>
          </cell>
          <cell r="F10">
            <v>0</v>
          </cell>
          <cell r="G10">
            <v>0</v>
          </cell>
          <cell r="H10">
            <v>308</v>
          </cell>
          <cell r="I10">
            <v>211</v>
          </cell>
          <cell r="J10">
            <v>0</v>
          </cell>
          <cell r="K10">
            <v>6007</v>
          </cell>
          <cell r="L10">
            <v>0</v>
          </cell>
          <cell r="M10">
            <v>0</v>
          </cell>
          <cell r="N10">
            <v>6218</v>
          </cell>
          <cell r="O10">
            <v>0.17936365996480802</v>
          </cell>
          <cell r="P10">
            <v>138</v>
          </cell>
          <cell r="Q10">
            <v>1579</v>
          </cell>
        </row>
        <row r="11">
          <cell r="A11" t="str">
            <v>NC0018</v>
          </cell>
          <cell r="B11" t="str">
            <v>Brunswick</v>
          </cell>
          <cell r="C11">
            <v>1172</v>
          </cell>
          <cell r="D11">
            <v>0</v>
          </cell>
          <cell r="E11">
            <v>236</v>
          </cell>
          <cell r="F11">
            <v>0</v>
          </cell>
          <cell r="G11">
            <v>20</v>
          </cell>
          <cell r="H11">
            <v>1408</v>
          </cell>
          <cell r="I11">
            <v>19688</v>
          </cell>
          <cell r="J11">
            <v>0</v>
          </cell>
          <cell r="K11">
            <v>4935</v>
          </cell>
          <cell r="L11">
            <v>0</v>
          </cell>
          <cell r="M11">
            <v>137</v>
          </cell>
          <cell r="N11">
            <v>24623</v>
          </cell>
          <cell r="O11">
            <v>0.19274363992172211</v>
          </cell>
          <cell r="P11">
            <v>0</v>
          </cell>
          <cell r="Q11">
            <v>0</v>
          </cell>
        </row>
        <row r="12">
          <cell r="A12" t="str">
            <v>NC0019</v>
          </cell>
          <cell r="B12" t="str">
            <v>Buncombe</v>
          </cell>
          <cell r="C12">
            <v>513</v>
          </cell>
          <cell r="D12">
            <v>53</v>
          </cell>
          <cell r="E12">
            <v>4435</v>
          </cell>
          <cell r="F12">
            <v>3</v>
          </cell>
          <cell r="G12">
            <v>146</v>
          </cell>
          <cell r="H12">
            <v>5001</v>
          </cell>
          <cell r="I12">
            <v>15648</v>
          </cell>
          <cell r="J12">
            <v>373</v>
          </cell>
          <cell r="K12">
            <v>105791</v>
          </cell>
          <cell r="L12">
            <v>120</v>
          </cell>
          <cell r="M12">
            <v>230</v>
          </cell>
          <cell r="N12">
            <v>121812</v>
          </cell>
          <cell r="O12">
            <v>0.47139772296308907</v>
          </cell>
          <cell r="P12">
            <v>1055</v>
          </cell>
          <cell r="Q12">
            <v>61801</v>
          </cell>
        </row>
        <row r="13">
          <cell r="A13" t="str">
            <v>NC0020</v>
          </cell>
          <cell r="B13" t="str">
            <v>Burke</v>
          </cell>
          <cell r="C13">
            <v>231</v>
          </cell>
          <cell r="D13">
            <v>159</v>
          </cell>
          <cell r="E13">
            <v>849</v>
          </cell>
          <cell r="F13">
            <v>25</v>
          </cell>
          <cell r="G13">
            <v>252</v>
          </cell>
          <cell r="H13">
            <v>1239</v>
          </cell>
          <cell r="I13">
            <v>3959</v>
          </cell>
          <cell r="J13">
            <v>4305</v>
          </cell>
          <cell r="K13">
            <v>19798</v>
          </cell>
          <cell r="L13">
            <v>438</v>
          </cell>
          <cell r="M13">
            <v>431</v>
          </cell>
          <cell r="N13">
            <v>28062</v>
          </cell>
          <cell r="O13">
            <v>0.31267897534179417</v>
          </cell>
          <cell r="P13">
            <v>94</v>
          </cell>
          <cell r="Q13">
            <v>651</v>
          </cell>
        </row>
        <row r="14">
          <cell r="A14" t="str">
            <v>NC0021</v>
          </cell>
          <cell r="B14" t="str">
            <v>Cabarrus</v>
          </cell>
          <cell r="C14">
            <v>679</v>
          </cell>
          <cell r="D14">
            <v>441</v>
          </cell>
          <cell r="E14">
            <v>1960</v>
          </cell>
          <cell r="F14">
            <v>15</v>
          </cell>
          <cell r="G14">
            <v>289</v>
          </cell>
          <cell r="H14">
            <v>3080</v>
          </cell>
          <cell r="I14">
            <v>7634</v>
          </cell>
          <cell r="J14">
            <v>7525</v>
          </cell>
          <cell r="K14">
            <v>56734</v>
          </cell>
          <cell r="L14">
            <v>56</v>
          </cell>
          <cell r="M14">
            <v>1950</v>
          </cell>
          <cell r="N14">
            <v>71893</v>
          </cell>
          <cell r="O14">
            <v>0.35827731071497987</v>
          </cell>
          <cell r="P14">
            <v>445</v>
          </cell>
          <cell r="Q14">
            <v>15442</v>
          </cell>
        </row>
        <row r="15">
          <cell r="A15" t="str">
            <v>NC0022</v>
          </cell>
          <cell r="B15" t="str">
            <v>Caldwell</v>
          </cell>
          <cell r="C15">
            <v>179</v>
          </cell>
          <cell r="D15">
            <v>30</v>
          </cell>
          <cell r="E15">
            <v>345</v>
          </cell>
          <cell r="F15">
            <v>3</v>
          </cell>
          <cell r="G15">
            <v>56</v>
          </cell>
          <cell r="H15">
            <v>554</v>
          </cell>
          <cell r="I15">
            <v>1207</v>
          </cell>
          <cell r="J15">
            <v>242</v>
          </cell>
          <cell r="K15">
            <v>9990</v>
          </cell>
          <cell r="L15">
            <v>17</v>
          </cell>
          <cell r="M15">
            <v>176</v>
          </cell>
          <cell r="N15">
            <v>11439</v>
          </cell>
          <cell r="O15">
            <v>0.13819890784323202</v>
          </cell>
          <cell r="P15">
            <v>871</v>
          </cell>
          <cell r="Q15">
            <v>14966</v>
          </cell>
        </row>
        <row r="16">
          <cell r="A16" t="str">
            <v>NC0107</v>
          </cell>
          <cell r="B16" t="str">
            <v>Caswell</v>
          </cell>
          <cell r="C16">
            <v>128</v>
          </cell>
          <cell r="D16">
            <v>47</v>
          </cell>
          <cell r="E16">
            <v>123</v>
          </cell>
          <cell r="F16">
            <v>7</v>
          </cell>
          <cell r="G16">
            <v>14</v>
          </cell>
          <cell r="H16">
            <v>298</v>
          </cell>
          <cell r="I16">
            <v>1262</v>
          </cell>
          <cell r="J16">
            <v>411</v>
          </cell>
          <cell r="K16">
            <v>3215</v>
          </cell>
          <cell r="L16">
            <v>53</v>
          </cell>
          <cell r="M16">
            <v>106</v>
          </cell>
          <cell r="N16">
            <v>4888</v>
          </cell>
          <cell r="O16">
            <v>0.20634049558866985</v>
          </cell>
          <cell r="P16">
            <v>103</v>
          </cell>
          <cell r="Q16">
            <v>690</v>
          </cell>
        </row>
        <row r="17">
          <cell r="A17" t="str">
            <v>NC0023</v>
          </cell>
          <cell r="B17" t="str">
            <v>Catawba</v>
          </cell>
          <cell r="C17">
            <v>496</v>
          </cell>
          <cell r="D17">
            <v>41</v>
          </cell>
          <cell r="E17">
            <v>1117</v>
          </cell>
          <cell r="F17">
            <v>9</v>
          </cell>
          <cell r="G17">
            <v>219</v>
          </cell>
          <cell r="H17">
            <v>1654</v>
          </cell>
          <cell r="I17">
            <v>3680</v>
          </cell>
          <cell r="J17">
            <v>320</v>
          </cell>
          <cell r="K17">
            <v>20338</v>
          </cell>
          <cell r="L17">
            <v>32</v>
          </cell>
          <cell r="M17">
            <v>536</v>
          </cell>
          <cell r="N17">
            <v>24338</v>
          </cell>
          <cell r="O17">
            <v>0.20961518586143935</v>
          </cell>
          <cell r="P17">
            <v>431</v>
          </cell>
          <cell r="Q17">
            <v>31665</v>
          </cell>
        </row>
        <row r="18">
          <cell r="A18" t="str">
            <v>NC0104</v>
          </cell>
          <cell r="B18" t="str">
            <v>Chatham</v>
          </cell>
          <cell r="C18">
            <v>269</v>
          </cell>
          <cell r="D18">
            <v>19</v>
          </cell>
          <cell r="E18">
            <v>594</v>
          </cell>
          <cell r="F18">
            <v>1</v>
          </cell>
          <cell r="G18">
            <v>38</v>
          </cell>
          <cell r="H18">
            <v>882</v>
          </cell>
          <cell r="I18">
            <v>2815</v>
          </cell>
          <cell r="J18">
            <v>573</v>
          </cell>
          <cell r="K18">
            <v>21875</v>
          </cell>
          <cell r="L18">
            <v>4</v>
          </cell>
          <cell r="M18">
            <v>255</v>
          </cell>
          <cell r="N18">
            <v>25263</v>
          </cell>
          <cell r="O18">
            <v>0.34471795431596758</v>
          </cell>
          <cell r="P18">
            <v>273</v>
          </cell>
          <cell r="Q18">
            <v>3725</v>
          </cell>
        </row>
        <row r="19">
          <cell r="A19" t="str">
            <v>NC0024</v>
          </cell>
          <cell r="B19" t="str">
            <v>Cleveland</v>
          </cell>
          <cell r="C19">
            <v>131</v>
          </cell>
          <cell r="D19">
            <v>10</v>
          </cell>
          <cell r="E19">
            <v>393</v>
          </cell>
          <cell r="F19">
            <v>32</v>
          </cell>
          <cell r="G19">
            <v>2</v>
          </cell>
          <cell r="H19">
            <v>534</v>
          </cell>
          <cell r="I19">
            <v>1635</v>
          </cell>
          <cell r="J19">
            <v>158</v>
          </cell>
          <cell r="K19">
            <v>10287</v>
          </cell>
          <cell r="L19">
            <v>123</v>
          </cell>
          <cell r="M19">
            <v>7</v>
          </cell>
          <cell r="N19">
            <v>12080</v>
          </cell>
          <cell r="O19">
            <v>0.13634157628017743</v>
          </cell>
          <cell r="P19">
            <v>683</v>
          </cell>
          <cell r="Q19">
            <v>7481</v>
          </cell>
        </row>
        <row r="20">
          <cell r="A20" t="str">
            <v>NC0025</v>
          </cell>
          <cell r="B20" t="str">
            <v>Columbus</v>
          </cell>
          <cell r="C20">
            <v>48</v>
          </cell>
          <cell r="D20">
            <v>42</v>
          </cell>
          <cell r="E20">
            <v>762</v>
          </cell>
          <cell r="F20">
            <v>18</v>
          </cell>
          <cell r="G20">
            <v>39</v>
          </cell>
          <cell r="H20">
            <v>852</v>
          </cell>
          <cell r="I20">
            <v>973</v>
          </cell>
          <cell r="J20">
            <v>827</v>
          </cell>
          <cell r="K20">
            <v>3919</v>
          </cell>
          <cell r="L20">
            <v>82</v>
          </cell>
          <cell r="M20">
            <v>127</v>
          </cell>
          <cell r="N20">
            <v>5719</v>
          </cell>
          <cell r="O20">
            <v>0.10001399041656465</v>
          </cell>
          <cell r="P20">
            <v>48</v>
          </cell>
          <cell r="Q20">
            <v>437</v>
          </cell>
        </row>
        <row r="21">
          <cell r="A21" t="str">
            <v>NC0026</v>
          </cell>
          <cell r="B21" t="str">
            <v>Cumberland</v>
          </cell>
          <cell r="C21">
            <v>945</v>
          </cell>
          <cell r="D21">
            <v>774</v>
          </cell>
          <cell r="E21">
            <v>2396</v>
          </cell>
          <cell r="F21">
            <v>180</v>
          </cell>
          <cell r="G21">
            <v>174</v>
          </cell>
          <cell r="H21">
            <v>4115</v>
          </cell>
          <cell r="I21">
            <v>12051</v>
          </cell>
          <cell r="J21">
            <v>17728</v>
          </cell>
          <cell r="K21">
            <v>65518</v>
          </cell>
          <cell r="L21">
            <v>2677</v>
          </cell>
          <cell r="M21">
            <v>910</v>
          </cell>
          <cell r="N21">
            <v>95297</v>
          </cell>
          <cell r="O21">
            <v>0.28893288541767731</v>
          </cell>
          <cell r="P21">
            <v>11211</v>
          </cell>
          <cell r="Q21">
            <v>66082</v>
          </cell>
        </row>
        <row r="22">
          <cell r="A22" t="str">
            <v>NC0027</v>
          </cell>
          <cell r="B22" t="str">
            <v>Davidson</v>
          </cell>
          <cell r="C22">
            <v>640</v>
          </cell>
          <cell r="D22">
            <v>198</v>
          </cell>
          <cell r="E22">
            <v>1970</v>
          </cell>
          <cell r="F22">
            <v>83</v>
          </cell>
          <cell r="G22">
            <v>391</v>
          </cell>
          <cell r="H22">
            <v>2808</v>
          </cell>
          <cell r="I22">
            <v>17929</v>
          </cell>
          <cell r="J22">
            <v>4505</v>
          </cell>
          <cell r="K22">
            <v>53898</v>
          </cell>
          <cell r="L22">
            <v>751</v>
          </cell>
          <cell r="M22">
            <v>2298</v>
          </cell>
          <cell r="N22">
            <v>76332</v>
          </cell>
          <cell r="O22">
            <v>0.47669364508393286</v>
          </cell>
          <cell r="P22">
            <v>1320</v>
          </cell>
          <cell r="Q22">
            <v>18213</v>
          </cell>
        </row>
        <row r="23">
          <cell r="A23" t="str">
            <v>NC0028</v>
          </cell>
          <cell r="B23" t="str">
            <v>Davie</v>
          </cell>
          <cell r="C23">
            <v>19</v>
          </cell>
          <cell r="D23">
            <v>36</v>
          </cell>
          <cell r="E23">
            <v>817</v>
          </cell>
          <cell r="F23">
            <v>36</v>
          </cell>
          <cell r="G23">
            <v>8</v>
          </cell>
          <cell r="H23">
            <v>872</v>
          </cell>
          <cell r="I23">
            <v>189</v>
          </cell>
          <cell r="J23">
            <v>363</v>
          </cell>
          <cell r="K23">
            <v>20206</v>
          </cell>
          <cell r="L23">
            <v>225</v>
          </cell>
          <cell r="M23">
            <v>63</v>
          </cell>
          <cell r="N23">
            <v>20758</v>
          </cell>
          <cell r="O23">
            <v>0.4917675487432186</v>
          </cell>
          <cell r="P23">
            <v>1185</v>
          </cell>
          <cell r="Q23">
            <v>6655</v>
          </cell>
        </row>
        <row r="24">
          <cell r="A24" t="str">
            <v>NC0029</v>
          </cell>
          <cell r="B24" t="str">
            <v>Duplin</v>
          </cell>
          <cell r="C24">
            <v>3</v>
          </cell>
          <cell r="D24">
            <v>0</v>
          </cell>
          <cell r="E24">
            <v>128</v>
          </cell>
          <cell r="F24">
            <v>2</v>
          </cell>
          <cell r="G24">
            <v>1</v>
          </cell>
          <cell r="H24">
            <v>131</v>
          </cell>
          <cell r="I24">
            <v>4</v>
          </cell>
          <cell r="J24">
            <v>0</v>
          </cell>
          <cell r="K24">
            <v>3629</v>
          </cell>
          <cell r="L24">
            <v>4</v>
          </cell>
          <cell r="M24">
            <v>4</v>
          </cell>
          <cell r="N24">
            <v>3633</v>
          </cell>
          <cell r="O24">
            <v>6.095944426732889E-2</v>
          </cell>
          <cell r="P24">
            <v>122</v>
          </cell>
          <cell r="Q24">
            <v>831</v>
          </cell>
        </row>
        <row r="25">
          <cell r="A25" t="str">
            <v>NC0030</v>
          </cell>
          <cell r="B25" t="str">
            <v>Durham</v>
          </cell>
          <cell r="C25">
            <v>2206</v>
          </cell>
          <cell r="D25">
            <v>932</v>
          </cell>
          <cell r="E25">
            <v>2554</v>
          </cell>
          <cell r="F25">
            <v>3</v>
          </cell>
          <cell r="G25">
            <v>179</v>
          </cell>
          <cell r="H25">
            <v>5692</v>
          </cell>
          <cell r="I25">
            <v>20648</v>
          </cell>
          <cell r="J25">
            <v>9845</v>
          </cell>
          <cell r="K25">
            <v>66655</v>
          </cell>
          <cell r="L25">
            <v>50</v>
          </cell>
          <cell r="M25">
            <v>900</v>
          </cell>
          <cell r="N25">
            <v>97148</v>
          </cell>
          <cell r="O25">
            <v>0.32560664968494435</v>
          </cell>
          <cell r="P25">
            <v>7844</v>
          </cell>
          <cell r="Q25">
            <v>10029</v>
          </cell>
        </row>
        <row r="26">
          <cell r="A26" t="str">
            <v>NC0031</v>
          </cell>
          <cell r="B26" t="str">
            <v>Edgecombe</v>
          </cell>
          <cell r="C26">
            <v>95</v>
          </cell>
          <cell r="D26">
            <v>0</v>
          </cell>
          <cell r="E26">
            <v>345</v>
          </cell>
          <cell r="F26">
            <v>0</v>
          </cell>
          <cell r="G26">
            <v>0</v>
          </cell>
          <cell r="H26">
            <v>440</v>
          </cell>
          <cell r="I26">
            <v>1094</v>
          </cell>
          <cell r="J26">
            <v>0</v>
          </cell>
          <cell r="K26">
            <v>8597</v>
          </cell>
          <cell r="L26">
            <v>0</v>
          </cell>
          <cell r="M26">
            <v>0</v>
          </cell>
          <cell r="N26">
            <v>9691</v>
          </cell>
          <cell r="O26">
            <v>0.18113341557324961</v>
          </cell>
          <cell r="P26">
            <v>406</v>
          </cell>
          <cell r="Q26">
            <v>2097</v>
          </cell>
        </row>
        <row r="27">
          <cell r="A27" t="str">
            <v>NC0032</v>
          </cell>
          <cell r="B27" t="str">
            <v>Forsyth</v>
          </cell>
          <cell r="C27">
            <v>3349</v>
          </cell>
          <cell r="D27">
            <v>177</v>
          </cell>
          <cell r="E27">
            <v>1752</v>
          </cell>
          <cell r="F27">
            <v>460</v>
          </cell>
          <cell r="G27">
            <v>887</v>
          </cell>
          <cell r="H27">
            <v>5278</v>
          </cell>
          <cell r="I27">
            <v>50478</v>
          </cell>
          <cell r="J27">
            <v>2575</v>
          </cell>
          <cell r="K27">
            <v>64732</v>
          </cell>
          <cell r="L27">
            <v>941</v>
          </cell>
          <cell r="M27">
            <v>1352</v>
          </cell>
          <cell r="N27">
            <v>117785</v>
          </cell>
          <cell r="O27">
            <v>0.31910282217098829</v>
          </cell>
          <cell r="P27">
            <v>3898</v>
          </cell>
          <cell r="Q27">
            <v>57637</v>
          </cell>
        </row>
        <row r="28">
          <cell r="A28" t="str">
            <v>NC0033</v>
          </cell>
          <cell r="B28" t="str">
            <v>Franklin</v>
          </cell>
          <cell r="C28">
            <v>8</v>
          </cell>
          <cell r="D28">
            <v>0</v>
          </cell>
          <cell r="E28">
            <v>215</v>
          </cell>
          <cell r="F28">
            <v>0</v>
          </cell>
          <cell r="G28">
            <v>2</v>
          </cell>
          <cell r="H28">
            <v>223</v>
          </cell>
          <cell r="I28">
            <v>42</v>
          </cell>
          <cell r="J28">
            <v>0</v>
          </cell>
          <cell r="K28">
            <v>2116</v>
          </cell>
          <cell r="L28">
            <v>0</v>
          </cell>
          <cell r="M28">
            <v>24</v>
          </cell>
          <cell r="N28">
            <v>2158</v>
          </cell>
          <cell r="O28">
            <v>3.2974253189701277E-2</v>
          </cell>
          <cell r="P28">
            <v>448</v>
          </cell>
          <cell r="Q28">
            <v>20163</v>
          </cell>
        </row>
        <row r="29">
          <cell r="A29" t="str">
            <v>NC0105</v>
          </cell>
          <cell r="B29" t="str">
            <v>Gaston</v>
          </cell>
          <cell r="C29">
            <v>1891</v>
          </cell>
          <cell r="D29">
            <v>1000</v>
          </cell>
          <cell r="E29">
            <v>3792</v>
          </cell>
          <cell r="F29">
            <v>88</v>
          </cell>
          <cell r="G29">
            <v>515</v>
          </cell>
          <cell r="H29">
            <v>6683</v>
          </cell>
          <cell r="I29">
            <v>18899</v>
          </cell>
          <cell r="J29">
            <v>7804</v>
          </cell>
          <cell r="K29">
            <v>104768</v>
          </cell>
          <cell r="L29">
            <v>186</v>
          </cell>
          <cell r="M29">
            <v>1171</v>
          </cell>
          <cell r="N29">
            <v>131471</v>
          </cell>
          <cell r="O29">
            <v>0.61316711206876451</v>
          </cell>
          <cell r="P29">
            <v>326</v>
          </cell>
          <cell r="Q29">
            <v>18303</v>
          </cell>
        </row>
        <row r="30">
          <cell r="A30" t="str">
            <v>NC0034</v>
          </cell>
          <cell r="B30" t="str">
            <v>Granville</v>
          </cell>
          <cell r="C30">
            <v>206</v>
          </cell>
          <cell r="D30">
            <v>42</v>
          </cell>
          <cell r="E30">
            <v>221</v>
          </cell>
          <cell r="F30">
            <v>230</v>
          </cell>
          <cell r="G30">
            <v>40</v>
          </cell>
          <cell r="H30">
            <v>469</v>
          </cell>
          <cell r="I30">
            <v>1839</v>
          </cell>
          <cell r="J30">
            <v>830</v>
          </cell>
          <cell r="K30">
            <v>4334</v>
          </cell>
          <cell r="L30">
            <v>9000</v>
          </cell>
          <cell r="M30">
            <v>128</v>
          </cell>
          <cell r="N30">
            <v>7003</v>
          </cell>
          <cell r="O30">
            <v>0.11783016169468141</v>
          </cell>
          <cell r="P30">
            <v>350</v>
          </cell>
          <cell r="Q30">
            <v>7500</v>
          </cell>
        </row>
        <row r="31">
          <cell r="A31" t="str">
            <v>NC0035</v>
          </cell>
          <cell r="B31" t="str">
            <v>Guilford (Greensboro)</v>
          </cell>
          <cell r="C31">
            <v>1677</v>
          </cell>
          <cell r="D31">
            <v>336</v>
          </cell>
          <cell r="E31">
            <v>2534</v>
          </cell>
          <cell r="F31">
            <v>92</v>
          </cell>
          <cell r="G31">
            <v>181</v>
          </cell>
          <cell r="H31">
            <v>4547</v>
          </cell>
          <cell r="I31">
            <v>11465</v>
          </cell>
          <cell r="J31">
            <v>3197</v>
          </cell>
          <cell r="K31">
            <v>76249</v>
          </cell>
          <cell r="L31">
            <v>1040</v>
          </cell>
          <cell r="M31">
            <v>700</v>
          </cell>
          <cell r="N31">
            <v>90911</v>
          </cell>
          <cell r="O31">
            <v>0.21851714755453855</v>
          </cell>
          <cell r="P31">
            <v>5789</v>
          </cell>
          <cell r="Q31">
            <v>33874</v>
          </cell>
        </row>
        <row r="32">
          <cell r="A32" t="str">
            <v>NC0036</v>
          </cell>
          <cell r="B32" t="str">
            <v>Halifax</v>
          </cell>
          <cell r="C32">
            <v>176</v>
          </cell>
          <cell r="D32">
            <v>12</v>
          </cell>
          <cell r="E32">
            <v>160</v>
          </cell>
          <cell r="F32">
            <v>0</v>
          </cell>
          <cell r="G32">
            <v>24</v>
          </cell>
          <cell r="H32">
            <v>348</v>
          </cell>
          <cell r="I32">
            <v>1470</v>
          </cell>
          <cell r="J32">
            <v>102</v>
          </cell>
          <cell r="K32">
            <v>3619</v>
          </cell>
          <cell r="L32">
            <v>0</v>
          </cell>
          <cell r="M32">
            <v>200</v>
          </cell>
          <cell r="N32">
            <v>5191</v>
          </cell>
          <cell r="O32">
            <v>0.14007393615585959</v>
          </cell>
          <cell r="P32">
            <v>110</v>
          </cell>
          <cell r="Q32">
            <v>1051</v>
          </cell>
        </row>
        <row r="33">
          <cell r="A33" t="str">
            <v>NC0037</v>
          </cell>
          <cell r="B33" t="str">
            <v>Harnett</v>
          </cell>
          <cell r="C33">
            <v>133</v>
          </cell>
          <cell r="D33">
            <v>40</v>
          </cell>
          <cell r="E33">
            <v>565</v>
          </cell>
          <cell r="F33">
            <v>0</v>
          </cell>
          <cell r="G33">
            <v>9</v>
          </cell>
          <cell r="H33">
            <v>738</v>
          </cell>
          <cell r="I33">
            <v>893</v>
          </cell>
          <cell r="J33">
            <v>276</v>
          </cell>
          <cell r="K33">
            <v>14646</v>
          </cell>
          <cell r="L33">
            <v>0</v>
          </cell>
          <cell r="M33">
            <v>22</v>
          </cell>
          <cell r="N33">
            <v>15815</v>
          </cell>
          <cell r="O33">
            <v>0.12280347561401737</v>
          </cell>
          <cell r="P33">
            <v>834</v>
          </cell>
          <cell r="Q33">
            <v>3607</v>
          </cell>
        </row>
        <row r="34">
          <cell r="A34" t="str">
            <v>NC0038</v>
          </cell>
          <cell r="B34" t="str">
            <v>Haywood</v>
          </cell>
          <cell r="C34">
            <v>454</v>
          </cell>
          <cell r="D34">
            <v>6</v>
          </cell>
          <cell r="E34">
            <v>539</v>
          </cell>
          <cell r="F34">
            <v>9</v>
          </cell>
          <cell r="G34">
            <v>75</v>
          </cell>
          <cell r="H34">
            <v>999</v>
          </cell>
          <cell r="I34">
            <v>4990</v>
          </cell>
          <cell r="J34">
            <v>157</v>
          </cell>
          <cell r="K34">
            <v>11998</v>
          </cell>
          <cell r="L34">
            <v>81</v>
          </cell>
          <cell r="M34">
            <v>100</v>
          </cell>
          <cell r="N34">
            <v>17145</v>
          </cell>
          <cell r="O34">
            <v>0.27755742986190929</v>
          </cell>
          <cell r="P34">
            <v>1552</v>
          </cell>
          <cell r="Q34">
            <v>19249</v>
          </cell>
        </row>
        <row r="35">
          <cell r="A35" t="str">
            <v>NC0039</v>
          </cell>
          <cell r="B35" t="str">
            <v>Henderson</v>
          </cell>
          <cell r="C35">
            <v>569</v>
          </cell>
          <cell r="D35">
            <v>63</v>
          </cell>
          <cell r="E35">
            <v>655</v>
          </cell>
          <cell r="F35">
            <v>4</v>
          </cell>
          <cell r="G35">
            <v>47</v>
          </cell>
          <cell r="H35">
            <v>1287</v>
          </cell>
          <cell r="I35">
            <v>7136</v>
          </cell>
          <cell r="J35">
            <v>430</v>
          </cell>
          <cell r="K35">
            <v>21456</v>
          </cell>
          <cell r="L35">
            <v>11</v>
          </cell>
          <cell r="M35">
            <v>241</v>
          </cell>
          <cell r="N35">
            <v>29022</v>
          </cell>
          <cell r="O35">
            <v>0.25372207894391746</v>
          </cell>
          <cell r="P35">
            <v>6212</v>
          </cell>
          <cell r="Q35">
            <v>0</v>
          </cell>
        </row>
        <row r="36">
          <cell r="A36" t="str">
            <v>NC0040</v>
          </cell>
          <cell r="B36" t="str">
            <v>Iredell</v>
          </cell>
          <cell r="C36">
            <v>610</v>
          </cell>
          <cell r="D36">
            <v>402</v>
          </cell>
          <cell r="E36">
            <v>731</v>
          </cell>
          <cell r="F36">
            <v>0</v>
          </cell>
          <cell r="G36">
            <v>0</v>
          </cell>
          <cell r="H36">
            <v>1743</v>
          </cell>
          <cell r="I36">
            <v>3130</v>
          </cell>
          <cell r="J36">
            <v>4134</v>
          </cell>
          <cell r="K36">
            <v>16600</v>
          </cell>
          <cell r="L36">
            <v>0</v>
          </cell>
          <cell r="M36">
            <v>0</v>
          </cell>
          <cell r="N36">
            <v>23864</v>
          </cell>
          <cell r="O36">
            <v>0.17766130893443416</v>
          </cell>
          <cell r="P36">
            <v>1050</v>
          </cell>
          <cell r="Q36">
            <v>10261</v>
          </cell>
        </row>
        <row r="37">
          <cell r="A37" t="str">
            <v>NC0041</v>
          </cell>
          <cell r="B37" t="str">
            <v>Johnston</v>
          </cell>
          <cell r="C37">
            <v>116</v>
          </cell>
          <cell r="D37">
            <v>32</v>
          </cell>
          <cell r="E37">
            <v>528</v>
          </cell>
          <cell r="F37">
            <v>0</v>
          </cell>
          <cell r="G37">
            <v>0</v>
          </cell>
          <cell r="H37">
            <v>676</v>
          </cell>
          <cell r="I37">
            <v>1431</v>
          </cell>
          <cell r="J37">
            <v>199</v>
          </cell>
          <cell r="K37">
            <v>14173</v>
          </cell>
          <cell r="L37">
            <v>0</v>
          </cell>
          <cell r="M37">
            <v>0</v>
          </cell>
          <cell r="N37">
            <v>15803</v>
          </cell>
          <cell r="O37">
            <v>9.2940782083477919E-2</v>
          </cell>
          <cell r="P37">
            <v>448</v>
          </cell>
          <cell r="Q37">
            <v>4307</v>
          </cell>
        </row>
        <row r="38">
          <cell r="A38" t="str">
            <v>NC0042</v>
          </cell>
          <cell r="B38" t="str">
            <v>Lee</v>
          </cell>
          <cell r="C38">
            <v>112</v>
          </cell>
          <cell r="D38">
            <v>7</v>
          </cell>
          <cell r="E38">
            <v>172</v>
          </cell>
          <cell r="F38">
            <v>15</v>
          </cell>
          <cell r="G38">
            <v>48</v>
          </cell>
          <cell r="H38">
            <v>291</v>
          </cell>
          <cell r="I38">
            <v>520</v>
          </cell>
          <cell r="J38">
            <v>50</v>
          </cell>
          <cell r="K38">
            <v>6715</v>
          </cell>
          <cell r="L38">
            <v>58</v>
          </cell>
          <cell r="M38">
            <v>194</v>
          </cell>
          <cell r="N38">
            <v>7285</v>
          </cell>
          <cell r="O38">
            <v>0.12296603875497941</v>
          </cell>
          <cell r="P38">
            <v>348</v>
          </cell>
          <cell r="Q38">
            <v>2088</v>
          </cell>
        </row>
        <row r="39">
          <cell r="A39" t="str">
            <v>NC0106</v>
          </cell>
          <cell r="B39" t="str">
            <v>Lincoln</v>
          </cell>
          <cell r="C39">
            <v>103</v>
          </cell>
          <cell r="D39">
            <v>96</v>
          </cell>
          <cell r="E39">
            <v>534</v>
          </cell>
          <cell r="F39">
            <v>3</v>
          </cell>
          <cell r="G39">
            <v>23</v>
          </cell>
          <cell r="H39">
            <v>733</v>
          </cell>
          <cell r="I39">
            <v>1471</v>
          </cell>
          <cell r="J39">
            <v>1547</v>
          </cell>
          <cell r="K39">
            <v>15570</v>
          </cell>
          <cell r="L39">
            <v>14</v>
          </cell>
          <cell r="M39">
            <v>237</v>
          </cell>
          <cell r="N39">
            <v>18588</v>
          </cell>
          <cell r="O39">
            <v>0.22659173747150538</v>
          </cell>
          <cell r="P39">
            <v>103</v>
          </cell>
          <cell r="Q39">
            <v>1112</v>
          </cell>
        </row>
        <row r="40">
          <cell r="A40" t="str">
            <v>NC0043</v>
          </cell>
          <cell r="B40" t="str">
            <v>Madison</v>
          </cell>
          <cell r="C40">
            <v>134</v>
          </cell>
          <cell r="D40">
            <v>61</v>
          </cell>
          <cell r="E40">
            <v>458</v>
          </cell>
          <cell r="F40">
            <v>28</v>
          </cell>
          <cell r="G40">
            <v>44</v>
          </cell>
          <cell r="H40">
            <v>653</v>
          </cell>
          <cell r="I40">
            <v>2760</v>
          </cell>
          <cell r="J40">
            <v>1449</v>
          </cell>
          <cell r="K40">
            <v>12833</v>
          </cell>
          <cell r="L40">
            <v>147</v>
          </cell>
          <cell r="M40">
            <v>286</v>
          </cell>
          <cell r="N40">
            <v>17042</v>
          </cell>
          <cell r="O40">
            <v>0.77537649574593925</v>
          </cell>
          <cell r="P40">
            <v>465</v>
          </cell>
          <cell r="Q40">
            <v>6609</v>
          </cell>
        </row>
        <row r="41">
          <cell r="A41" t="str">
            <v>NC0044</v>
          </cell>
          <cell r="B41" t="str">
            <v>McDowell</v>
          </cell>
          <cell r="C41">
            <v>107</v>
          </cell>
          <cell r="D41">
            <v>118</v>
          </cell>
          <cell r="E41">
            <v>310</v>
          </cell>
          <cell r="F41">
            <v>21</v>
          </cell>
          <cell r="G41">
            <v>48</v>
          </cell>
          <cell r="H41">
            <v>535</v>
          </cell>
          <cell r="I41">
            <v>1114</v>
          </cell>
          <cell r="J41">
            <v>1234</v>
          </cell>
          <cell r="K41">
            <v>7189</v>
          </cell>
          <cell r="L41">
            <v>63</v>
          </cell>
          <cell r="M41">
            <v>157</v>
          </cell>
          <cell r="N41">
            <v>9537</v>
          </cell>
          <cell r="O41">
            <v>0.2095583388266315</v>
          </cell>
          <cell r="P41">
            <v>270</v>
          </cell>
          <cell r="Q41">
            <v>2718</v>
          </cell>
        </row>
        <row r="42">
          <cell r="A42" t="str">
            <v>NC0045</v>
          </cell>
          <cell r="B42" t="str">
            <v>Mecklenburg</v>
          </cell>
          <cell r="C42">
            <v>4414</v>
          </cell>
          <cell r="D42">
            <v>3276</v>
          </cell>
          <cell r="E42">
            <v>19883</v>
          </cell>
          <cell r="F42">
            <v>533</v>
          </cell>
          <cell r="G42">
            <v>2187</v>
          </cell>
          <cell r="H42">
            <v>27573</v>
          </cell>
          <cell r="I42">
            <v>48551</v>
          </cell>
          <cell r="J42">
            <v>29579</v>
          </cell>
          <cell r="K42">
            <v>325198</v>
          </cell>
          <cell r="L42">
            <v>3060</v>
          </cell>
          <cell r="M42">
            <v>5078</v>
          </cell>
          <cell r="N42">
            <v>403328</v>
          </cell>
          <cell r="O42">
            <v>0.38282939978833369</v>
          </cell>
          <cell r="P42">
            <v>0</v>
          </cell>
          <cell r="Q42">
            <v>0</v>
          </cell>
        </row>
        <row r="43">
          <cell r="A43" t="str">
            <v>NC0046</v>
          </cell>
          <cell r="B43" t="str">
            <v>Nash (Braswell)</v>
          </cell>
          <cell r="C43">
            <v>679</v>
          </cell>
          <cell r="D43">
            <v>72</v>
          </cell>
          <cell r="E43">
            <v>1187</v>
          </cell>
          <cell r="F43">
            <v>137</v>
          </cell>
          <cell r="G43">
            <v>143</v>
          </cell>
          <cell r="H43">
            <v>1938</v>
          </cell>
          <cell r="I43">
            <v>2416</v>
          </cell>
          <cell r="J43">
            <v>883</v>
          </cell>
          <cell r="K43">
            <v>39569</v>
          </cell>
          <cell r="L43">
            <v>422</v>
          </cell>
          <cell r="M43">
            <v>702</v>
          </cell>
          <cell r="N43">
            <v>42868</v>
          </cell>
          <cell r="O43">
            <v>0.48063684269536944</v>
          </cell>
          <cell r="P43">
            <v>365</v>
          </cell>
          <cell r="Q43">
            <v>9848</v>
          </cell>
        </row>
        <row r="44">
          <cell r="A44" t="str">
            <v>NC0047</v>
          </cell>
          <cell r="B44" t="str">
            <v>New Hanover</v>
          </cell>
          <cell r="C44">
            <v>862</v>
          </cell>
          <cell r="D44">
            <v>112</v>
          </cell>
          <cell r="E44">
            <v>2200</v>
          </cell>
          <cell r="F44">
            <v>244</v>
          </cell>
          <cell r="G44">
            <v>290</v>
          </cell>
          <cell r="H44">
            <v>3174</v>
          </cell>
          <cell r="I44">
            <v>7940</v>
          </cell>
          <cell r="J44">
            <v>2430</v>
          </cell>
          <cell r="K44">
            <v>59618</v>
          </cell>
          <cell r="L44">
            <v>1850</v>
          </cell>
          <cell r="M44">
            <v>2316</v>
          </cell>
          <cell r="N44">
            <v>69988</v>
          </cell>
          <cell r="O44">
            <v>0.31299416836606919</v>
          </cell>
          <cell r="P44">
            <v>1702</v>
          </cell>
          <cell r="Q44">
            <v>31695</v>
          </cell>
        </row>
        <row r="45">
          <cell r="A45" t="str">
            <v>NC0048</v>
          </cell>
          <cell r="B45" t="str">
            <v>Onslow</v>
          </cell>
          <cell r="C45">
            <v>303</v>
          </cell>
          <cell r="D45">
            <v>111</v>
          </cell>
          <cell r="E45">
            <v>1123</v>
          </cell>
          <cell r="F45">
            <v>45</v>
          </cell>
          <cell r="G45">
            <v>8</v>
          </cell>
          <cell r="H45">
            <v>1537</v>
          </cell>
          <cell r="I45">
            <v>8353</v>
          </cell>
          <cell r="J45">
            <v>818</v>
          </cell>
          <cell r="K45">
            <v>24454</v>
          </cell>
          <cell r="L45">
            <v>23</v>
          </cell>
          <cell r="M45">
            <v>66</v>
          </cell>
          <cell r="N45">
            <v>33625</v>
          </cell>
          <cell r="O45">
            <v>0.17340161102344337</v>
          </cell>
          <cell r="P45">
            <v>231</v>
          </cell>
          <cell r="Q45">
            <v>3633</v>
          </cell>
        </row>
        <row r="46">
          <cell r="A46" t="str">
            <v>NC0108</v>
          </cell>
          <cell r="B46" t="str">
            <v>Orange</v>
          </cell>
          <cell r="C46">
            <v>114</v>
          </cell>
          <cell r="D46">
            <v>15</v>
          </cell>
          <cell r="E46">
            <v>407</v>
          </cell>
          <cell r="F46">
            <v>4</v>
          </cell>
          <cell r="G46">
            <v>35</v>
          </cell>
          <cell r="H46">
            <v>536</v>
          </cell>
          <cell r="I46">
            <v>986</v>
          </cell>
          <cell r="J46">
            <v>82</v>
          </cell>
          <cell r="K46">
            <v>9604</v>
          </cell>
          <cell r="L46">
            <v>15</v>
          </cell>
          <cell r="M46">
            <v>135</v>
          </cell>
          <cell r="N46">
            <v>10672</v>
          </cell>
          <cell r="O46">
            <v>0.12680457694181391</v>
          </cell>
          <cell r="P46">
            <v>4601</v>
          </cell>
          <cell r="Q46">
            <v>9720</v>
          </cell>
        </row>
        <row r="47">
          <cell r="A47" t="str">
            <v>NC0049</v>
          </cell>
          <cell r="B47" t="str">
            <v>Pender</v>
          </cell>
          <cell r="C47">
            <v>16</v>
          </cell>
          <cell r="D47">
            <v>2</v>
          </cell>
          <cell r="E47">
            <v>554</v>
          </cell>
          <cell r="F47">
            <v>0</v>
          </cell>
          <cell r="G47">
            <v>0</v>
          </cell>
          <cell r="H47">
            <v>572</v>
          </cell>
          <cell r="I47">
            <v>328</v>
          </cell>
          <cell r="J47">
            <v>44</v>
          </cell>
          <cell r="K47">
            <v>12211</v>
          </cell>
          <cell r="L47">
            <v>0</v>
          </cell>
          <cell r="M47">
            <v>0</v>
          </cell>
          <cell r="N47">
            <v>12583</v>
          </cell>
          <cell r="O47">
            <v>0.21162481710085942</v>
          </cell>
          <cell r="P47">
            <v>793</v>
          </cell>
          <cell r="Q47">
            <v>0</v>
          </cell>
        </row>
        <row r="48">
          <cell r="A48" t="str">
            <v>NC0109</v>
          </cell>
          <cell r="B48" t="str">
            <v>Person</v>
          </cell>
          <cell r="C48">
            <v>156</v>
          </cell>
          <cell r="D48">
            <v>23</v>
          </cell>
          <cell r="E48">
            <v>227</v>
          </cell>
          <cell r="F48">
            <v>1</v>
          </cell>
          <cell r="G48">
            <v>41</v>
          </cell>
          <cell r="H48">
            <v>406</v>
          </cell>
          <cell r="I48">
            <v>1964</v>
          </cell>
          <cell r="J48">
            <v>238</v>
          </cell>
          <cell r="K48">
            <v>5556</v>
          </cell>
          <cell r="L48">
            <v>1</v>
          </cell>
          <cell r="M48">
            <v>170</v>
          </cell>
          <cell r="N48">
            <v>7758</v>
          </cell>
          <cell r="O48">
            <v>0.1952778896496174</v>
          </cell>
          <cell r="P48">
            <v>274</v>
          </cell>
          <cell r="Q48">
            <v>3359</v>
          </cell>
        </row>
        <row r="49">
          <cell r="A49" t="str">
            <v>NC0050</v>
          </cell>
          <cell r="B49" t="str">
            <v>Pitt (Sheppard)</v>
          </cell>
          <cell r="C49">
            <v>184</v>
          </cell>
          <cell r="D49">
            <v>10</v>
          </cell>
          <cell r="E49">
            <v>952</v>
          </cell>
          <cell r="F49">
            <v>0</v>
          </cell>
          <cell r="G49">
            <v>75</v>
          </cell>
          <cell r="H49">
            <v>1146</v>
          </cell>
          <cell r="I49">
            <v>1295</v>
          </cell>
          <cell r="J49">
            <v>100</v>
          </cell>
          <cell r="K49">
            <v>28123</v>
          </cell>
          <cell r="L49">
            <v>0</v>
          </cell>
          <cell r="M49">
            <v>349</v>
          </cell>
          <cell r="N49">
            <v>29518</v>
          </cell>
          <cell r="O49">
            <v>0.17240311888561166</v>
          </cell>
          <cell r="P49">
            <v>2939</v>
          </cell>
          <cell r="Q49">
            <v>16916</v>
          </cell>
        </row>
        <row r="50">
          <cell r="A50" t="str">
            <v>NC0051</v>
          </cell>
          <cell r="B50" t="str">
            <v>Polk</v>
          </cell>
          <cell r="C50">
            <v>203</v>
          </cell>
          <cell r="D50">
            <v>99</v>
          </cell>
          <cell r="E50">
            <v>222</v>
          </cell>
          <cell r="F50">
            <v>2</v>
          </cell>
          <cell r="G50">
            <v>16</v>
          </cell>
          <cell r="H50">
            <v>524</v>
          </cell>
          <cell r="I50">
            <v>2104</v>
          </cell>
          <cell r="J50">
            <v>852</v>
          </cell>
          <cell r="K50">
            <v>4308</v>
          </cell>
          <cell r="L50">
            <v>13</v>
          </cell>
          <cell r="M50">
            <v>82</v>
          </cell>
          <cell r="N50">
            <v>7264</v>
          </cell>
          <cell r="O50">
            <v>0.34541131716595341</v>
          </cell>
          <cell r="P50">
            <v>266</v>
          </cell>
          <cell r="Q50">
            <v>4197</v>
          </cell>
        </row>
        <row r="51">
          <cell r="A51" t="str">
            <v>NC0052</v>
          </cell>
          <cell r="B51" t="str">
            <v>Randolph</v>
          </cell>
          <cell r="C51">
            <v>208</v>
          </cell>
          <cell r="D51">
            <v>95</v>
          </cell>
          <cell r="E51">
            <v>1593</v>
          </cell>
          <cell r="F51">
            <v>1</v>
          </cell>
          <cell r="G51">
            <v>22</v>
          </cell>
          <cell r="H51">
            <v>1896</v>
          </cell>
          <cell r="I51">
            <v>4369</v>
          </cell>
          <cell r="J51">
            <v>753</v>
          </cell>
          <cell r="K51">
            <v>42195</v>
          </cell>
          <cell r="L51">
            <v>10</v>
          </cell>
          <cell r="M51">
            <v>194</v>
          </cell>
          <cell r="N51">
            <v>47317</v>
          </cell>
          <cell r="O51">
            <v>0.32927397860836044</v>
          </cell>
          <cell r="P51">
            <v>1646</v>
          </cell>
          <cell r="Q51">
            <v>7010</v>
          </cell>
        </row>
        <row r="52">
          <cell r="A52" t="str">
            <v>NC0053</v>
          </cell>
          <cell r="B52" t="str">
            <v>Robeson</v>
          </cell>
          <cell r="C52">
            <v>130</v>
          </cell>
          <cell r="D52">
            <v>16</v>
          </cell>
          <cell r="E52">
            <v>254</v>
          </cell>
          <cell r="F52">
            <v>47</v>
          </cell>
          <cell r="G52">
            <v>59</v>
          </cell>
          <cell r="H52">
            <v>400</v>
          </cell>
          <cell r="I52">
            <v>1062</v>
          </cell>
          <cell r="J52">
            <v>769</v>
          </cell>
          <cell r="K52">
            <v>5726</v>
          </cell>
          <cell r="L52">
            <v>880</v>
          </cell>
          <cell r="M52">
            <v>182</v>
          </cell>
          <cell r="N52">
            <v>7557</v>
          </cell>
          <cell r="O52">
            <v>5.6966462380424701E-2</v>
          </cell>
          <cell r="P52">
            <v>140</v>
          </cell>
          <cell r="Q52">
            <v>3826</v>
          </cell>
        </row>
        <row r="53">
          <cell r="A53" t="str">
            <v>NC0054</v>
          </cell>
          <cell r="B53" t="str">
            <v>Rockingham</v>
          </cell>
          <cell r="C53">
            <v>433</v>
          </cell>
          <cell r="D53">
            <v>66</v>
          </cell>
          <cell r="E53">
            <v>461</v>
          </cell>
          <cell r="F53">
            <v>134</v>
          </cell>
          <cell r="G53">
            <v>120</v>
          </cell>
          <cell r="H53">
            <v>960</v>
          </cell>
          <cell r="I53">
            <v>9062</v>
          </cell>
          <cell r="J53">
            <v>548</v>
          </cell>
          <cell r="K53">
            <v>11264</v>
          </cell>
          <cell r="L53">
            <v>390</v>
          </cell>
          <cell r="M53">
            <v>356</v>
          </cell>
          <cell r="N53">
            <v>20874</v>
          </cell>
          <cell r="O53">
            <v>0.22716044008662437</v>
          </cell>
          <cell r="P53">
            <v>1455</v>
          </cell>
          <cell r="Q53">
            <v>13425</v>
          </cell>
        </row>
        <row r="54">
          <cell r="A54" t="str">
            <v>NC0055</v>
          </cell>
          <cell r="B54" t="str">
            <v>Rowan</v>
          </cell>
          <cell r="C54">
            <v>151</v>
          </cell>
          <cell r="D54">
            <v>103</v>
          </cell>
          <cell r="E54">
            <v>1084</v>
          </cell>
          <cell r="F54">
            <v>5</v>
          </cell>
          <cell r="G54">
            <v>8</v>
          </cell>
          <cell r="H54">
            <v>1338</v>
          </cell>
          <cell r="I54">
            <v>3819</v>
          </cell>
          <cell r="J54">
            <v>1162</v>
          </cell>
          <cell r="K54">
            <v>32622</v>
          </cell>
          <cell r="L54">
            <v>15</v>
          </cell>
          <cell r="M54">
            <v>42</v>
          </cell>
          <cell r="N54">
            <v>37603</v>
          </cell>
          <cell r="O54">
            <v>0.26674469745335888</v>
          </cell>
          <cell r="P54">
            <v>661</v>
          </cell>
          <cell r="Q54">
            <v>25580</v>
          </cell>
        </row>
        <row r="55">
          <cell r="A55" t="str">
            <v>NC0056</v>
          </cell>
          <cell r="B55" t="str">
            <v>Rutherford</v>
          </cell>
          <cell r="C55">
            <v>132</v>
          </cell>
          <cell r="D55">
            <v>29</v>
          </cell>
          <cell r="E55">
            <v>172</v>
          </cell>
          <cell r="F55">
            <v>9</v>
          </cell>
          <cell r="G55">
            <v>55</v>
          </cell>
          <cell r="H55">
            <v>333</v>
          </cell>
          <cell r="I55">
            <v>2012</v>
          </cell>
          <cell r="J55">
            <v>474</v>
          </cell>
          <cell r="K55">
            <v>3587</v>
          </cell>
          <cell r="L55">
            <v>134</v>
          </cell>
          <cell r="M55">
            <v>686</v>
          </cell>
          <cell r="N55">
            <v>6073</v>
          </cell>
          <cell r="O55">
            <v>8.9700604109123672E-2</v>
          </cell>
          <cell r="P55">
            <v>93</v>
          </cell>
          <cell r="Q55">
            <v>3116</v>
          </cell>
        </row>
        <row r="56">
          <cell r="A56" t="str">
            <v>NC0057</v>
          </cell>
          <cell r="B56" t="str">
            <v>Sampson</v>
          </cell>
          <cell r="C56">
            <v>0</v>
          </cell>
          <cell r="D56">
            <v>0</v>
          </cell>
          <cell r="E56">
            <v>149</v>
          </cell>
          <cell r="F56">
            <v>0</v>
          </cell>
          <cell r="G56">
            <v>0</v>
          </cell>
          <cell r="H56">
            <v>149</v>
          </cell>
          <cell r="I56">
            <v>0</v>
          </cell>
          <cell r="J56">
            <v>0</v>
          </cell>
          <cell r="K56">
            <v>1366</v>
          </cell>
          <cell r="L56">
            <v>0</v>
          </cell>
          <cell r="M56">
            <v>0</v>
          </cell>
          <cell r="N56">
            <v>1366</v>
          </cell>
          <cell r="O56">
            <v>2.1512149797634609E-2</v>
          </cell>
          <cell r="P56">
            <v>0</v>
          </cell>
          <cell r="Q56">
            <v>0</v>
          </cell>
        </row>
        <row r="57">
          <cell r="A57" t="str">
            <v>NC0058</v>
          </cell>
          <cell r="B57" t="str">
            <v>Scotland</v>
          </cell>
          <cell r="C57">
            <v>30</v>
          </cell>
          <cell r="D57">
            <v>15</v>
          </cell>
          <cell r="E57">
            <v>105</v>
          </cell>
          <cell r="F57">
            <v>0</v>
          </cell>
          <cell r="G57">
            <v>0</v>
          </cell>
          <cell r="H57">
            <v>150</v>
          </cell>
          <cell r="I57">
            <v>1734</v>
          </cell>
          <cell r="J57">
            <v>388</v>
          </cell>
          <cell r="K57">
            <v>2962</v>
          </cell>
          <cell r="L57">
            <v>0</v>
          </cell>
          <cell r="M57">
            <v>0</v>
          </cell>
          <cell r="N57">
            <v>5084</v>
          </cell>
          <cell r="O57">
            <v>0.1420548213138115</v>
          </cell>
          <cell r="P57">
            <v>189</v>
          </cell>
          <cell r="Q57">
            <v>2268</v>
          </cell>
        </row>
        <row r="58">
          <cell r="A58" t="str">
            <v>NC0059</v>
          </cell>
          <cell r="B58" t="str">
            <v>Stanly</v>
          </cell>
          <cell r="C58">
            <v>86</v>
          </cell>
          <cell r="D58">
            <v>0</v>
          </cell>
          <cell r="E58">
            <v>457</v>
          </cell>
          <cell r="F58">
            <v>0</v>
          </cell>
          <cell r="G58">
            <v>34</v>
          </cell>
          <cell r="H58">
            <v>543</v>
          </cell>
          <cell r="I58">
            <v>638</v>
          </cell>
          <cell r="J58">
            <v>0</v>
          </cell>
          <cell r="K58">
            <v>11500</v>
          </cell>
          <cell r="L58">
            <v>0</v>
          </cell>
          <cell r="M58">
            <v>43</v>
          </cell>
          <cell r="N58">
            <v>12138</v>
          </cell>
          <cell r="O58">
            <v>0.19656361840294084</v>
          </cell>
          <cell r="P58">
            <v>73</v>
          </cell>
          <cell r="Q58">
            <v>1405</v>
          </cell>
        </row>
        <row r="59">
          <cell r="A59" t="str">
            <v>NC0060</v>
          </cell>
          <cell r="B59" t="str">
            <v>Transylvania</v>
          </cell>
          <cell r="C59">
            <v>118</v>
          </cell>
          <cell r="D59">
            <v>61</v>
          </cell>
          <cell r="E59">
            <v>297</v>
          </cell>
          <cell r="F59">
            <v>0</v>
          </cell>
          <cell r="G59">
            <v>38</v>
          </cell>
          <cell r="H59">
            <v>476</v>
          </cell>
          <cell r="I59">
            <v>7236</v>
          </cell>
          <cell r="J59">
            <v>979</v>
          </cell>
          <cell r="K59">
            <v>10046</v>
          </cell>
          <cell r="L59">
            <v>0</v>
          </cell>
          <cell r="M59">
            <v>437</v>
          </cell>
          <cell r="N59">
            <v>18261</v>
          </cell>
          <cell r="O59">
            <v>0.53490143237939014</v>
          </cell>
          <cell r="P59">
            <v>849</v>
          </cell>
          <cell r="Q59">
            <v>6302</v>
          </cell>
        </row>
        <row r="60">
          <cell r="A60" t="str">
            <v>NC0061</v>
          </cell>
          <cell r="B60" t="str">
            <v>Union</v>
          </cell>
          <cell r="C60">
            <v>387</v>
          </cell>
          <cell r="D60">
            <v>112</v>
          </cell>
          <cell r="E60">
            <v>1198</v>
          </cell>
          <cell r="F60">
            <v>62</v>
          </cell>
          <cell r="G60">
            <v>139</v>
          </cell>
          <cell r="H60">
            <v>1697</v>
          </cell>
          <cell r="I60">
            <v>2679</v>
          </cell>
          <cell r="J60">
            <v>890</v>
          </cell>
          <cell r="K60">
            <v>31270</v>
          </cell>
          <cell r="L60">
            <v>72</v>
          </cell>
          <cell r="M60">
            <v>316</v>
          </cell>
          <cell r="N60">
            <v>34839</v>
          </cell>
          <cell r="O60">
            <v>0.1555902909586227</v>
          </cell>
          <cell r="P60">
            <v>589</v>
          </cell>
          <cell r="Q60">
            <v>24812</v>
          </cell>
        </row>
        <row r="61">
          <cell r="A61" t="str">
            <v>NC0062</v>
          </cell>
          <cell r="B61" t="str">
            <v>Vance (Perry)</v>
          </cell>
          <cell r="C61">
            <v>30</v>
          </cell>
          <cell r="D61">
            <v>40</v>
          </cell>
          <cell r="E61">
            <v>100</v>
          </cell>
          <cell r="F61">
            <v>5</v>
          </cell>
          <cell r="G61">
            <v>31</v>
          </cell>
          <cell r="H61">
            <v>170</v>
          </cell>
          <cell r="I61">
            <v>900</v>
          </cell>
          <cell r="J61">
            <v>150</v>
          </cell>
          <cell r="K61">
            <v>2150</v>
          </cell>
          <cell r="L61">
            <v>30</v>
          </cell>
          <cell r="M61">
            <v>31</v>
          </cell>
          <cell r="N61">
            <v>3200</v>
          </cell>
          <cell r="O61">
            <v>7.1198131049059962E-2</v>
          </cell>
          <cell r="P61">
            <v>211</v>
          </cell>
          <cell r="Q61">
            <v>7500</v>
          </cell>
        </row>
        <row r="62">
          <cell r="A62" t="str">
            <v>NC0063</v>
          </cell>
          <cell r="B62" t="str">
            <v>Wake</v>
          </cell>
          <cell r="C62">
            <v>1034</v>
          </cell>
          <cell r="D62">
            <v>479</v>
          </cell>
          <cell r="E62">
            <v>9365</v>
          </cell>
          <cell r="F62">
            <v>94</v>
          </cell>
          <cell r="G62">
            <v>15</v>
          </cell>
          <cell r="H62">
            <v>10878</v>
          </cell>
          <cell r="I62">
            <v>22194</v>
          </cell>
          <cell r="J62">
            <v>16613</v>
          </cell>
          <cell r="K62">
            <v>358514</v>
          </cell>
          <cell r="L62">
            <v>1319</v>
          </cell>
          <cell r="M62">
            <v>213</v>
          </cell>
          <cell r="N62">
            <v>397321</v>
          </cell>
          <cell r="O62">
            <v>0.38697031793585185</v>
          </cell>
          <cell r="P62">
            <v>14557</v>
          </cell>
          <cell r="Q62">
            <v>62633</v>
          </cell>
        </row>
        <row r="63">
          <cell r="A63" t="str">
            <v>NC0101</v>
          </cell>
          <cell r="B63" t="str">
            <v>Warren</v>
          </cell>
          <cell r="C63">
            <v>131</v>
          </cell>
          <cell r="D63">
            <v>18</v>
          </cell>
          <cell r="E63">
            <v>82</v>
          </cell>
          <cell r="F63">
            <v>12</v>
          </cell>
          <cell r="G63">
            <v>24</v>
          </cell>
          <cell r="H63">
            <v>231</v>
          </cell>
          <cell r="I63">
            <v>1301</v>
          </cell>
          <cell r="J63">
            <v>378</v>
          </cell>
          <cell r="K63">
            <v>1516</v>
          </cell>
          <cell r="L63">
            <v>36</v>
          </cell>
          <cell r="M63">
            <v>63</v>
          </cell>
          <cell r="N63">
            <v>3195</v>
          </cell>
          <cell r="O63">
            <v>0.15878932458625317</v>
          </cell>
          <cell r="P63">
            <v>312</v>
          </cell>
          <cell r="Q63">
            <v>5720</v>
          </cell>
        </row>
        <row r="64">
          <cell r="A64" t="str">
            <v>NC0065</v>
          </cell>
          <cell r="B64" t="str">
            <v>Wayne</v>
          </cell>
          <cell r="C64">
            <v>280</v>
          </cell>
          <cell r="D64">
            <v>108</v>
          </cell>
          <cell r="E64">
            <v>671</v>
          </cell>
          <cell r="F64">
            <v>10</v>
          </cell>
          <cell r="G64">
            <v>59</v>
          </cell>
          <cell r="H64">
            <v>1059</v>
          </cell>
          <cell r="I64">
            <v>4019</v>
          </cell>
          <cell r="J64">
            <v>2993</v>
          </cell>
          <cell r="K64">
            <v>17528</v>
          </cell>
          <cell r="L64">
            <v>174</v>
          </cell>
          <cell r="M64">
            <v>341</v>
          </cell>
          <cell r="N64">
            <v>24540</v>
          </cell>
          <cell r="O64">
            <v>0.19662201140952504</v>
          </cell>
          <cell r="P64">
            <v>846</v>
          </cell>
          <cell r="Q64">
            <v>3766</v>
          </cell>
        </row>
        <row r="65">
          <cell r="A65" t="str">
            <v>NC0066</v>
          </cell>
          <cell r="B65" t="str">
            <v>Wilson</v>
          </cell>
          <cell r="C65">
            <v>61</v>
          </cell>
          <cell r="D65">
            <v>66</v>
          </cell>
          <cell r="E65">
            <v>368</v>
          </cell>
          <cell r="F65">
            <v>6</v>
          </cell>
          <cell r="G65">
            <v>37</v>
          </cell>
          <cell r="H65">
            <v>495</v>
          </cell>
          <cell r="I65">
            <v>523</v>
          </cell>
          <cell r="J65">
            <v>338</v>
          </cell>
          <cell r="K65">
            <v>8419</v>
          </cell>
          <cell r="L65">
            <v>44</v>
          </cell>
          <cell r="M65">
            <v>100</v>
          </cell>
          <cell r="N65">
            <v>9280</v>
          </cell>
          <cell r="O65">
            <v>0.11350571197925585</v>
          </cell>
          <cell r="P65">
            <v>706</v>
          </cell>
          <cell r="Q65">
            <v>7032</v>
          </cell>
        </row>
        <row r="66">
          <cell r="A66" t="str">
            <v>Total or mean average*</v>
          </cell>
          <cell r="C66">
            <v>28364</v>
          </cell>
          <cell r="D66">
            <v>10209</v>
          </cell>
          <cell r="E66">
            <v>76866</v>
          </cell>
          <cell r="F66">
            <v>2955</v>
          </cell>
          <cell r="G66">
            <v>7331</v>
          </cell>
          <cell r="H66">
            <v>115439</v>
          </cell>
          <cell r="I66">
            <v>363346</v>
          </cell>
          <cell r="J66">
            <v>134804</v>
          </cell>
          <cell r="K66">
            <v>1949902</v>
          </cell>
          <cell r="L66">
            <v>25912</v>
          </cell>
          <cell r="M66">
            <v>25546</v>
          </cell>
          <cell r="N66">
            <v>2448052</v>
          </cell>
          <cell r="O66">
            <v>0.24261070180695682</v>
          </cell>
          <cell r="P66">
            <v>82192</v>
          </cell>
          <cell r="Q66">
            <v>687491</v>
          </cell>
        </row>
        <row r="67">
          <cell r="A67" t="str">
            <v>Regional Libraries</v>
          </cell>
        </row>
        <row r="68">
          <cell r="A68" t="str">
            <v>NC0001</v>
          </cell>
          <cell r="B68" t="str">
            <v>Albemarle</v>
          </cell>
          <cell r="C68">
            <v>109</v>
          </cell>
          <cell r="D68">
            <v>20</v>
          </cell>
          <cell r="E68">
            <v>340</v>
          </cell>
          <cell r="F68">
            <v>0</v>
          </cell>
          <cell r="G68">
            <v>0</v>
          </cell>
          <cell r="H68">
            <v>469</v>
          </cell>
          <cell r="I68">
            <v>1180</v>
          </cell>
          <cell r="J68">
            <v>289</v>
          </cell>
          <cell r="K68">
            <v>10332</v>
          </cell>
          <cell r="L68">
            <v>0</v>
          </cell>
          <cell r="M68">
            <v>0</v>
          </cell>
          <cell r="N68">
            <v>11801</v>
          </cell>
          <cell r="O68">
            <v>0.15413249046549293</v>
          </cell>
          <cell r="P68">
            <v>214</v>
          </cell>
          <cell r="Q68">
            <v>836</v>
          </cell>
        </row>
        <row r="69">
          <cell r="A69" t="str">
            <v>NC0003</v>
          </cell>
          <cell r="B69" t="str">
            <v>AMY</v>
          </cell>
          <cell r="C69">
            <v>2671</v>
          </cell>
          <cell r="D69">
            <v>0</v>
          </cell>
          <cell r="E69">
            <v>283</v>
          </cell>
          <cell r="F69">
            <v>3</v>
          </cell>
          <cell r="G69">
            <v>5</v>
          </cell>
          <cell r="H69">
            <v>2954</v>
          </cell>
          <cell r="I69">
            <v>15345</v>
          </cell>
          <cell r="J69">
            <v>0</v>
          </cell>
          <cell r="K69">
            <v>4734</v>
          </cell>
          <cell r="L69">
            <v>4</v>
          </cell>
          <cell r="M69">
            <v>25</v>
          </cell>
          <cell r="N69">
            <v>20079</v>
          </cell>
          <cell r="O69">
            <v>0.38983807711722906</v>
          </cell>
          <cell r="P69">
            <v>2651</v>
          </cell>
          <cell r="Q69">
            <v>20079</v>
          </cell>
        </row>
        <row r="70">
          <cell r="A70" t="str">
            <v>NC0002</v>
          </cell>
          <cell r="B70" t="str">
            <v>Appalachian</v>
          </cell>
          <cell r="C70">
            <v>508</v>
          </cell>
          <cell r="D70">
            <v>93</v>
          </cell>
          <cell r="E70">
            <v>1032</v>
          </cell>
          <cell r="F70">
            <v>10</v>
          </cell>
          <cell r="G70">
            <v>80</v>
          </cell>
          <cell r="H70">
            <v>1633</v>
          </cell>
          <cell r="I70">
            <v>6018</v>
          </cell>
          <cell r="J70">
            <v>806</v>
          </cell>
          <cell r="K70">
            <v>26028</v>
          </cell>
          <cell r="L70">
            <v>17</v>
          </cell>
          <cell r="M70">
            <v>531</v>
          </cell>
          <cell r="N70">
            <v>32852</v>
          </cell>
          <cell r="O70">
            <v>0.21561665233685343</v>
          </cell>
          <cell r="P70">
            <v>1606</v>
          </cell>
          <cell r="Q70">
            <v>12469</v>
          </cell>
        </row>
        <row r="71">
          <cell r="A71" t="str">
            <v>NC0004</v>
          </cell>
          <cell r="B71" t="str">
            <v>BHM</v>
          </cell>
          <cell r="C71">
            <v>132</v>
          </cell>
          <cell r="D71">
            <v>59</v>
          </cell>
          <cell r="E71">
            <v>383</v>
          </cell>
          <cell r="F71">
            <v>2</v>
          </cell>
          <cell r="G71">
            <v>8</v>
          </cell>
          <cell r="H71">
            <v>574</v>
          </cell>
          <cell r="I71">
            <v>1462</v>
          </cell>
          <cell r="J71">
            <v>353</v>
          </cell>
          <cell r="K71">
            <v>8671</v>
          </cell>
          <cell r="L71">
            <v>7</v>
          </cell>
          <cell r="M71">
            <v>16</v>
          </cell>
          <cell r="N71">
            <v>10486</v>
          </cell>
          <cell r="O71">
            <v>0.15586539033236221</v>
          </cell>
          <cell r="P71">
            <v>90</v>
          </cell>
          <cell r="Q71">
            <v>922</v>
          </cell>
        </row>
        <row r="72">
          <cell r="A72" t="str">
            <v>NC0006</v>
          </cell>
          <cell r="B72" t="str">
            <v>CPC</v>
          </cell>
          <cell r="C72">
            <v>659</v>
          </cell>
          <cell r="D72">
            <v>421</v>
          </cell>
          <cell r="E72">
            <v>1432</v>
          </cell>
          <cell r="F72">
            <v>2</v>
          </cell>
          <cell r="G72">
            <v>94</v>
          </cell>
          <cell r="H72">
            <v>2512</v>
          </cell>
          <cell r="I72">
            <v>7634</v>
          </cell>
          <cell r="J72">
            <v>4074</v>
          </cell>
          <cell r="K72">
            <v>27192</v>
          </cell>
          <cell r="L72">
            <v>8</v>
          </cell>
          <cell r="M72">
            <v>228</v>
          </cell>
          <cell r="N72">
            <v>38900</v>
          </cell>
          <cell r="O72">
            <v>0.20807257400216095</v>
          </cell>
          <cell r="P72">
            <v>744</v>
          </cell>
          <cell r="Q72">
            <v>5484</v>
          </cell>
        </row>
        <row r="73">
          <cell r="A73" t="str">
            <v>NC0007</v>
          </cell>
          <cell r="B73" t="str">
            <v>E. Albemarle</v>
          </cell>
          <cell r="C73">
            <v>240</v>
          </cell>
          <cell r="D73">
            <v>7</v>
          </cell>
          <cell r="E73">
            <v>1233</v>
          </cell>
          <cell r="F73">
            <v>50</v>
          </cell>
          <cell r="G73">
            <v>188</v>
          </cell>
          <cell r="H73">
            <v>1480</v>
          </cell>
          <cell r="I73">
            <v>4175</v>
          </cell>
          <cell r="J73">
            <v>51</v>
          </cell>
          <cell r="K73">
            <v>24826</v>
          </cell>
          <cell r="L73">
            <v>92</v>
          </cell>
          <cell r="M73">
            <v>445</v>
          </cell>
          <cell r="N73">
            <v>29052</v>
          </cell>
          <cell r="O73">
            <v>0.25696317851741124</v>
          </cell>
          <cell r="P73">
            <v>1465</v>
          </cell>
          <cell r="Q73">
            <v>19811</v>
          </cell>
        </row>
        <row r="74">
          <cell r="A74" t="str">
            <v>NC0008</v>
          </cell>
          <cell r="B74" t="str">
            <v>Fontana</v>
          </cell>
          <cell r="C74">
            <v>651</v>
          </cell>
          <cell r="D74">
            <v>123</v>
          </cell>
          <cell r="E74">
            <v>1874</v>
          </cell>
          <cell r="F74">
            <v>2</v>
          </cell>
          <cell r="G74">
            <v>47</v>
          </cell>
          <cell r="H74">
            <v>2648</v>
          </cell>
          <cell r="I74">
            <v>11754</v>
          </cell>
          <cell r="J74">
            <v>1376</v>
          </cell>
          <cell r="K74">
            <v>47160</v>
          </cell>
          <cell r="L74">
            <v>2</v>
          </cell>
          <cell r="M74">
            <v>518</v>
          </cell>
          <cell r="N74">
            <v>60290</v>
          </cell>
          <cell r="O74">
            <v>0.66019863996233064</v>
          </cell>
          <cell r="P74">
            <v>7068</v>
          </cell>
          <cell r="Q74">
            <v>30272</v>
          </cell>
        </row>
        <row r="75">
          <cell r="A75" t="str">
            <v>NC0011</v>
          </cell>
          <cell r="B75" t="str">
            <v>Nantahala</v>
          </cell>
          <cell r="C75">
            <v>337</v>
          </cell>
          <cell r="D75">
            <v>22</v>
          </cell>
          <cell r="E75">
            <v>487</v>
          </cell>
          <cell r="F75">
            <v>0</v>
          </cell>
          <cell r="G75">
            <v>25</v>
          </cell>
          <cell r="H75">
            <v>846</v>
          </cell>
          <cell r="I75">
            <v>5373</v>
          </cell>
          <cell r="J75">
            <v>241</v>
          </cell>
          <cell r="K75">
            <v>11331</v>
          </cell>
          <cell r="L75">
            <v>0</v>
          </cell>
          <cell r="M75">
            <v>102</v>
          </cell>
          <cell r="N75">
            <v>16945</v>
          </cell>
          <cell r="O75">
            <v>0.3476182661141427</v>
          </cell>
          <cell r="P75">
            <v>268</v>
          </cell>
          <cell r="Q75">
            <v>2970</v>
          </cell>
        </row>
        <row r="76">
          <cell r="A76" t="str">
            <v>NC0012</v>
          </cell>
          <cell r="B76" t="str">
            <v>Neuse</v>
          </cell>
          <cell r="C76">
            <v>402</v>
          </cell>
          <cell r="D76">
            <v>55</v>
          </cell>
          <cell r="E76">
            <v>895</v>
          </cell>
          <cell r="F76">
            <v>0</v>
          </cell>
          <cell r="G76">
            <v>53</v>
          </cell>
          <cell r="H76">
            <v>1352</v>
          </cell>
          <cell r="I76">
            <v>2683</v>
          </cell>
          <cell r="J76">
            <v>416</v>
          </cell>
          <cell r="K76">
            <v>24412</v>
          </cell>
          <cell r="L76">
            <v>0</v>
          </cell>
          <cell r="M76">
            <v>165</v>
          </cell>
          <cell r="N76">
            <v>27511</v>
          </cell>
          <cell r="O76">
            <v>0.30786016427564289</v>
          </cell>
          <cell r="P76">
            <v>2018</v>
          </cell>
          <cell r="Q76">
            <v>5910</v>
          </cell>
        </row>
        <row r="77">
          <cell r="A77" t="str">
            <v>NC0013</v>
          </cell>
          <cell r="B77" t="str">
            <v>Northwestern</v>
          </cell>
          <cell r="C77">
            <v>1367</v>
          </cell>
          <cell r="D77">
            <v>182</v>
          </cell>
          <cell r="E77">
            <v>2618</v>
          </cell>
          <cell r="F77">
            <v>387</v>
          </cell>
          <cell r="G77">
            <v>679</v>
          </cell>
          <cell r="H77">
            <v>4167</v>
          </cell>
          <cell r="I77">
            <v>18570</v>
          </cell>
          <cell r="J77">
            <v>903</v>
          </cell>
          <cell r="K77">
            <v>54751</v>
          </cell>
          <cell r="L77">
            <v>0</v>
          </cell>
          <cell r="M77">
            <v>0</v>
          </cell>
          <cell r="N77">
            <v>74224</v>
          </cell>
          <cell r="O77">
            <v>0.44044362423674199</v>
          </cell>
          <cell r="P77">
            <v>2612</v>
          </cell>
          <cell r="Q77">
            <v>31344</v>
          </cell>
        </row>
        <row r="78">
          <cell r="A78" t="str">
            <v>NC0014</v>
          </cell>
          <cell r="B78" t="str">
            <v>Pettigrew</v>
          </cell>
          <cell r="C78">
            <v>282</v>
          </cell>
          <cell r="D78">
            <v>282</v>
          </cell>
          <cell r="E78">
            <v>640</v>
          </cell>
          <cell r="F78">
            <v>2</v>
          </cell>
          <cell r="G78">
            <v>13</v>
          </cell>
          <cell r="H78">
            <v>1204</v>
          </cell>
          <cell r="I78">
            <v>3728</v>
          </cell>
          <cell r="J78">
            <v>185</v>
          </cell>
          <cell r="K78">
            <v>12284</v>
          </cell>
          <cell r="L78">
            <v>55</v>
          </cell>
          <cell r="M78">
            <v>170</v>
          </cell>
          <cell r="N78">
            <v>16197</v>
          </cell>
          <cell r="O78">
            <v>0.3637159795203449</v>
          </cell>
          <cell r="P78">
            <v>834</v>
          </cell>
          <cell r="Q78">
            <v>6914</v>
          </cell>
        </row>
        <row r="79">
          <cell r="A79" t="str">
            <v>NC0015</v>
          </cell>
          <cell r="B79" t="str">
            <v>Sandhill</v>
          </cell>
          <cell r="C79">
            <v>876</v>
          </cell>
          <cell r="D79">
            <v>117</v>
          </cell>
          <cell r="E79">
            <v>1327</v>
          </cell>
          <cell r="F79">
            <v>28</v>
          </cell>
          <cell r="G79">
            <v>165</v>
          </cell>
          <cell r="H79">
            <v>2320</v>
          </cell>
          <cell r="I79">
            <v>8724</v>
          </cell>
          <cell r="J79">
            <v>2200</v>
          </cell>
          <cell r="K79">
            <v>45915</v>
          </cell>
          <cell r="L79">
            <v>161</v>
          </cell>
          <cell r="M79">
            <v>1153</v>
          </cell>
          <cell r="N79">
            <v>56839</v>
          </cell>
          <cell r="O79">
            <v>0.24408248449765532</v>
          </cell>
          <cell r="P79">
            <v>2255</v>
          </cell>
          <cell r="Q79">
            <v>29397</v>
          </cell>
        </row>
        <row r="80">
          <cell r="A80" t="str">
            <v>Total or mean average*</v>
          </cell>
          <cell r="C80">
            <v>8234</v>
          </cell>
          <cell r="D80">
            <v>1381</v>
          </cell>
          <cell r="E80">
            <v>12544</v>
          </cell>
          <cell r="F80">
            <v>486</v>
          </cell>
          <cell r="G80">
            <v>1357</v>
          </cell>
          <cell r="H80">
            <v>22159</v>
          </cell>
          <cell r="I80">
            <v>86646</v>
          </cell>
          <cell r="J80">
            <v>10894</v>
          </cell>
          <cell r="K80">
            <v>297636</v>
          </cell>
          <cell r="L80">
            <v>346</v>
          </cell>
          <cell r="M80">
            <v>3353</v>
          </cell>
          <cell r="N80">
            <v>395176</v>
          </cell>
          <cell r="O80">
            <v>0.31203396011486401</v>
          </cell>
          <cell r="P80">
            <v>21825</v>
          </cell>
          <cell r="Q80">
            <v>166408</v>
          </cell>
        </row>
        <row r="81">
          <cell r="B81" t="str">
            <v>Municipal Libraries</v>
          </cell>
          <cell r="R81" t="str">
            <v>Attend</v>
          </cell>
          <cell r="S81" t="str">
            <v>Pro</v>
          </cell>
          <cell r="T81" t="str">
            <v>AD</v>
          </cell>
        </row>
        <row r="82">
          <cell r="A82" t="str">
            <v>NC0071</v>
          </cell>
          <cell r="B82" t="str">
            <v>Chapel Hill</v>
          </cell>
          <cell r="C82">
            <v>109</v>
          </cell>
          <cell r="D82">
            <v>138</v>
          </cell>
          <cell r="E82">
            <v>786</v>
          </cell>
          <cell r="F82">
            <v>24</v>
          </cell>
          <cell r="G82">
            <v>34</v>
          </cell>
          <cell r="H82">
            <v>1033</v>
          </cell>
          <cell r="I82">
            <v>3192</v>
          </cell>
          <cell r="J82">
            <v>2053</v>
          </cell>
          <cell r="K82">
            <v>35774</v>
          </cell>
          <cell r="L82">
            <v>266</v>
          </cell>
          <cell r="M82">
            <v>284</v>
          </cell>
          <cell r="N82">
            <v>41019</v>
          </cell>
          <cell r="O82">
            <v>0.68534050658290446</v>
          </cell>
          <cell r="P82">
            <v>2132</v>
          </cell>
          <cell r="Q82">
            <v>0</v>
          </cell>
          <cell r="R82">
            <v>685.34050658290448</v>
          </cell>
          <cell r="S82">
            <v>17.259239457328079</v>
          </cell>
          <cell r="T82">
            <v>29.284403669724771</v>
          </cell>
          <cell r="U82">
            <v>14.876811594202898</v>
          </cell>
          <cell r="V82">
            <v>45.513994910941477</v>
          </cell>
        </row>
        <row r="83">
          <cell r="A83" t="str">
            <v>NC0110</v>
          </cell>
          <cell r="B83" t="str">
            <v>Clayton</v>
          </cell>
          <cell r="C83">
            <v>153</v>
          </cell>
          <cell r="D83">
            <v>80</v>
          </cell>
          <cell r="E83">
            <v>236</v>
          </cell>
          <cell r="F83">
            <v>0</v>
          </cell>
          <cell r="G83">
            <v>0</v>
          </cell>
          <cell r="H83">
            <v>469</v>
          </cell>
          <cell r="I83">
            <v>1711</v>
          </cell>
          <cell r="J83">
            <v>1039</v>
          </cell>
          <cell r="K83">
            <v>6853</v>
          </cell>
          <cell r="L83">
            <v>0</v>
          </cell>
          <cell r="M83">
            <v>0</v>
          </cell>
          <cell r="N83">
            <v>9603</v>
          </cell>
          <cell r="O83">
            <v>0.49431203994440726</v>
          </cell>
          <cell r="P83">
            <v>-1</v>
          </cell>
          <cell r="Q83">
            <v>-1</v>
          </cell>
          <cell r="R83">
            <v>494.31203994440727</v>
          </cell>
          <cell r="S83">
            <v>24.141658516497657</v>
          </cell>
          <cell r="T83">
            <v>11.183006535947712</v>
          </cell>
          <cell r="U83">
            <v>12.987500000000001</v>
          </cell>
          <cell r="V83">
            <v>29.038135593220339</v>
          </cell>
        </row>
        <row r="84">
          <cell r="A84" t="str">
            <v>NC0075</v>
          </cell>
          <cell r="B84" t="str">
            <v>Farmville</v>
          </cell>
          <cell r="C84">
            <v>99</v>
          </cell>
          <cell r="D84">
            <v>3</v>
          </cell>
          <cell r="E84">
            <v>269</v>
          </cell>
          <cell r="F84">
            <v>0</v>
          </cell>
          <cell r="G84">
            <v>12</v>
          </cell>
          <cell r="H84">
            <v>371</v>
          </cell>
          <cell r="I84">
            <v>1467</v>
          </cell>
          <cell r="J84">
            <v>21</v>
          </cell>
          <cell r="K84">
            <v>4070</v>
          </cell>
          <cell r="L84">
            <v>0</v>
          </cell>
          <cell r="M84">
            <v>105</v>
          </cell>
          <cell r="N84">
            <v>5558</v>
          </cell>
          <cell r="O84">
            <v>1.1901498929336189</v>
          </cell>
          <cell r="P84">
            <v>294</v>
          </cell>
          <cell r="Q84">
            <v>0</v>
          </cell>
          <cell r="R84">
            <v>1190.149892933619</v>
          </cell>
          <cell r="S84">
            <v>79.443254817987153</v>
          </cell>
          <cell r="T84">
            <v>14.818181818181818</v>
          </cell>
          <cell r="U84">
            <v>7</v>
          </cell>
          <cell r="V84">
            <v>15.130111524163569</v>
          </cell>
        </row>
      </sheetData>
      <sheetData sheetId="13">
        <row r="4">
          <cell r="D4" t="str">
            <v>Internet Computers</v>
          </cell>
        </row>
        <row r="5">
          <cell r="F5" t="str">
            <v>Public per</v>
          </cell>
          <cell r="G5" t="str">
            <v>Use Sessions</v>
          </cell>
          <cell r="H5" t="str">
            <v>Wireless</v>
          </cell>
        </row>
        <row r="6">
          <cell r="C6" t="str">
            <v>Technology</v>
          </cell>
          <cell r="D6" t="str">
            <v>Staff</v>
          </cell>
          <cell r="F6">
            <v>5000</v>
          </cell>
          <cell r="G6" t="str">
            <v>of Internet</v>
          </cell>
          <cell r="H6" t="str">
            <v>Internet</v>
          </cell>
          <cell r="I6" t="str">
            <v>Website</v>
          </cell>
        </row>
        <row r="7">
          <cell r="C7" t="str">
            <v>Lending</v>
          </cell>
          <cell r="D7" t="str">
            <v>Only</v>
          </cell>
          <cell r="E7" t="str">
            <v>Public</v>
          </cell>
          <cell r="F7" t="str">
            <v>Population</v>
          </cell>
          <cell r="G7" t="str">
            <v>Computers</v>
          </cell>
          <cell r="H7" t="str">
            <v>Sessions</v>
          </cell>
          <cell r="I7" t="str">
            <v>Visits</v>
          </cell>
        </row>
        <row r="8">
          <cell r="B8" t="str">
            <v>County Libraries</v>
          </cell>
        </row>
        <row r="9">
          <cell r="A9" t="str">
            <v>NC0103</v>
          </cell>
          <cell r="B9" t="str">
            <v>Alamance</v>
          </cell>
          <cell r="C9">
            <v>2991</v>
          </cell>
          <cell r="D9">
            <v>79</v>
          </cell>
          <cell r="E9">
            <v>158</v>
          </cell>
          <cell r="F9">
            <v>4.9668665987651988</v>
          </cell>
          <cell r="G9">
            <v>110252</v>
          </cell>
          <cell r="H9">
            <v>0</v>
          </cell>
          <cell r="I9">
            <v>319913</v>
          </cell>
        </row>
        <row r="10">
          <cell r="A10" t="str">
            <v>NC0016</v>
          </cell>
          <cell r="B10" t="str">
            <v>Alexander</v>
          </cell>
          <cell r="C10">
            <v>24</v>
          </cell>
          <cell r="D10">
            <v>12</v>
          </cell>
          <cell r="E10">
            <v>13</v>
          </cell>
          <cell r="F10">
            <v>1.6978372165917879</v>
          </cell>
          <cell r="G10">
            <v>12173</v>
          </cell>
          <cell r="H10">
            <v>1966</v>
          </cell>
          <cell r="I10">
            <v>46012</v>
          </cell>
        </row>
        <row r="11">
          <cell r="A11" t="str">
            <v>NC0017</v>
          </cell>
          <cell r="B11" t="str">
            <v>Bladen</v>
          </cell>
          <cell r="C11">
            <v>0</v>
          </cell>
          <cell r="D11">
            <v>14</v>
          </cell>
          <cell r="E11">
            <v>13</v>
          </cell>
          <cell r="F11">
            <v>1.8749819713271989</v>
          </cell>
          <cell r="G11">
            <v>8272</v>
          </cell>
          <cell r="H11">
            <v>0</v>
          </cell>
          <cell r="I11">
            <v>16280</v>
          </cell>
        </row>
        <row r="12">
          <cell r="A12" t="str">
            <v>NC0018</v>
          </cell>
          <cell r="B12" t="str">
            <v>Brunswick</v>
          </cell>
          <cell r="C12">
            <v>0</v>
          </cell>
          <cell r="D12">
            <v>16</v>
          </cell>
          <cell r="E12">
            <v>65</v>
          </cell>
          <cell r="F12">
            <v>2.5440313111545989</v>
          </cell>
          <cell r="G12">
            <v>76173</v>
          </cell>
          <cell r="H12">
            <v>14071</v>
          </cell>
          <cell r="I12">
            <v>0</v>
          </cell>
        </row>
        <row r="13">
          <cell r="A13" t="str">
            <v>NC0019</v>
          </cell>
          <cell r="B13" t="str">
            <v>Buncombe</v>
          </cell>
          <cell r="C13">
            <v>1134</v>
          </cell>
          <cell r="D13">
            <v>82</v>
          </cell>
          <cell r="E13">
            <v>162</v>
          </cell>
          <cell r="F13">
            <v>3.1346021377212607</v>
          </cell>
          <cell r="G13">
            <v>92771</v>
          </cell>
          <cell r="H13">
            <v>29258</v>
          </cell>
          <cell r="I13">
            <v>220500</v>
          </cell>
        </row>
        <row r="14">
          <cell r="A14" t="str">
            <v>NC0020</v>
          </cell>
          <cell r="B14" t="str">
            <v>Burke</v>
          </cell>
          <cell r="C14">
            <v>-1</v>
          </cell>
          <cell r="D14">
            <v>35</v>
          </cell>
          <cell r="E14">
            <v>37</v>
          </cell>
          <cell r="F14">
            <v>2.061350240119447</v>
          </cell>
          <cell r="G14">
            <v>32742</v>
          </cell>
          <cell r="H14">
            <v>0</v>
          </cell>
          <cell r="I14">
            <v>161622</v>
          </cell>
        </row>
        <row r="15">
          <cell r="A15" t="str">
            <v>NC0021</v>
          </cell>
          <cell r="B15" t="str">
            <v>Cabarrus</v>
          </cell>
          <cell r="C15">
            <v>951</v>
          </cell>
          <cell r="D15">
            <v>54</v>
          </cell>
          <cell r="E15">
            <v>62</v>
          </cell>
          <cell r="F15">
            <v>1.5448787270199291</v>
          </cell>
          <cell r="G15">
            <v>54970</v>
          </cell>
          <cell r="H15">
            <v>0</v>
          </cell>
          <cell r="I15">
            <v>0</v>
          </cell>
        </row>
        <row r="16">
          <cell r="A16" t="str">
            <v>NC0022</v>
          </cell>
          <cell r="B16" t="str">
            <v>Caldwell</v>
          </cell>
          <cell r="C16">
            <v>0</v>
          </cell>
          <cell r="D16">
            <v>33</v>
          </cell>
          <cell r="E16">
            <v>43</v>
          </cell>
          <cell r="F16">
            <v>2.5974967380273521</v>
          </cell>
          <cell r="G16">
            <v>41243</v>
          </cell>
          <cell r="H16">
            <v>0</v>
          </cell>
          <cell r="I16">
            <v>0</v>
          </cell>
        </row>
        <row r="17">
          <cell r="A17" t="str">
            <v>NC0107</v>
          </cell>
          <cell r="B17" t="str">
            <v>Caswell</v>
          </cell>
          <cell r="C17">
            <v>1421</v>
          </cell>
          <cell r="D17">
            <v>9</v>
          </cell>
          <cell r="E17">
            <v>31</v>
          </cell>
          <cell r="F17">
            <v>6.5431212799189495</v>
          </cell>
          <cell r="G17">
            <v>10444</v>
          </cell>
          <cell r="H17">
            <v>1223</v>
          </cell>
          <cell r="I17">
            <v>0</v>
          </cell>
        </row>
        <row r="18">
          <cell r="A18" t="str">
            <v>NC0023</v>
          </cell>
          <cell r="B18" t="str">
            <v>Catawba</v>
          </cell>
          <cell r="C18">
            <v>65</v>
          </cell>
          <cell r="D18">
            <v>60</v>
          </cell>
          <cell r="E18">
            <v>129</v>
          </cell>
          <cell r="F18">
            <v>5.555172770179488</v>
          </cell>
          <cell r="G18">
            <v>79546</v>
          </cell>
          <cell r="H18">
            <v>0</v>
          </cell>
          <cell r="I18">
            <v>1062236</v>
          </cell>
        </row>
        <row r="19">
          <cell r="A19" t="str">
            <v>NC0104</v>
          </cell>
          <cell r="B19" t="str">
            <v>Chatham</v>
          </cell>
          <cell r="C19">
            <v>16</v>
          </cell>
          <cell r="D19">
            <v>24</v>
          </cell>
          <cell r="E19">
            <v>57</v>
          </cell>
          <cell r="F19">
            <v>3.8888737275878067</v>
          </cell>
          <cell r="G19">
            <v>29435</v>
          </cell>
          <cell r="H19">
            <v>0</v>
          </cell>
          <cell r="I19">
            <v>0</v>
          </cell>
        </row>
        <row r="20">
          <cell r="A20" t="str">
            <v>NC0024</v>
          </cell>
          <cell r="B20" t="str">
            <v>Cleveland</v>
          </cell>
          <cell r="C20">
            <v>0</v>
          </cell>
          <cell r="D20">
            <v>23</v>
          </cell>
          <cell r="E20">
            <v>32</v>
          </cell>
          <cell r="F20">
            <v>1.8058486924526813</v>
          </cell>
          <cell r="G20">
            <v>26820</v>
          </cell>
          <cell r="H20">
            <v>0</v>
          </cell>
          <cell r="I20">
            <v>121856</v>
          </cell>
        </row>
        <row r="21">
          <cell r="A21" t="str">
            <v>NC0025</v>
          </cell>
          <cell r="B21" t="str">
            <v>Columbus</v>
          </cell>
          <cell r="C21">
            <v>269</v>
          </cell>
          <cell r="D21">
            <v>47</v>
          </cell>
          <cell r="E21">
            <v>92</v>
          </cell>
          <cell r="F21">
            <v>8.0444895246755959</v>
          </cell>
          <cell r="G21">
            <v>45396</v>
          </cell>
          <cell r="H21">
            <v>21705</v>
          </cell>
          <cell r="I21">
            <v>0</v>
          </cell>
        </row>
        <row r="22">
          <cell r="A22" t="str">
            <v>NC0026</v>
          </cell>
          <cell r="B22" t="str">
            <v>Cumberland</v>
          </cell>
          <cell r="C22">
            <v>17223</v>
          </cell>
          <cell r="D22">
            <v>227</v>
          </cell>
          <cell r="E22">
            <v>434</v>
          </cell>
          <cell r="F22">
            <v>6.5792665179004564</v>
          </cell>
          <cell r="G22">
            <v>300010</v>
          </cell>
          <cell r="H22">
            <v>542389</v>
          </cell>
          <cell r="I22">
            <v>467190</v>
          </cell>
        </row>
        <row r="23">
          <cell r="A23" t="str">
            <v>NC0027</v>
          </cell>
          <cell r="B23" t="str">
            <v>Davidson</v>
          </cell>
          <cell r="C23">
            <v>8516</v>
          </cell>
          <cell r="D23">
            <v>78</v>
          </cell>
          <cell r="E23">
            <v>126</v>
          </cell>
          <cell r="F23">
            <v>3.9343525179856118</v>
          </cell>
          <cell r="G23">
            <v>65814</v>
          </cell>
          <cell r="H23">
            <v>0</v>
          </cell>
          <cell r="I23">
            <v>320698</v>
          </cell>
        </row>
        <row r="24">
          <cell r="A24" t="str">
            <v>NC0028</v>
          </cell>
          <cell r="B24" t="str">
            <v>Davie</v>
          </cell>
          <cell r="C24">
            <v>6045</v>
          </cell>
          <cell r="D24">
            <v>17</v>
          </cell>
          <cell r="E24">
            <v>44</v>
          </cell>
          <cell r="F24">
            <v>5.2119115870270782</v>
          </cell>
          <cell r="G24">
            <v>12520</v>
          </cell>
          <cell r="H24">
            <v>6952</v>
          </cell>
          <cell r="I24">
            <v>18017</v>
          </cell>
        </row>
        <row r="25">
          <cell r="A25" t="str">
            <v>NC0029</v>
          </cell>
          <cell r="B25" t="str">
            <v>Duplin</v>
          </cell>
          <cell r="C25">
            <v>0</v>
          </cell>
          <cell r="D25">
            <v>14</v>
          </cell>
          <cell r="E25">
            <v>42</v>
          </cell>
          <cell r="F25">
            <v>3.5236672986895314</v>
          </cell>
          <cell r="G25">
            <v>7965</v>
          </cell>
          <cell r="H25">
            <v>0</v>
          </cell>
          <cell r="I25">
            <v>0</v>
          </cell>
        </row>
        <row r="26">
          <cell r="A26" t="str">
            <v>NC0030</v>
          </cell>
          <cell r="B26" t="str">
            <v>Durham</v>
          </cell>
          <cell r="C26">
            <v>3645</v>
          </cell>
          <cell r="D26">
            <v>159</v>
          </cell>
          <cell r="E26">
            <v>179</v>
          </cell>
          <cell r="F26">
            <v>2.9997318675425664</v>
          </cell>
          <cell r="G26">
            <v>277664</v>
          </cell>
          <cell r="H26">
            <v>0</v>
          </cell>
          <cell r="I26">
            <v>1602850</v>
          </cell>
        </row>
        <row r="27">
          <cell r="A27" t="str">
            <v>NC0031</v>
          </cell>
          <cell r="B27" t="str">
            <v>Edgecombe</v>
          </cell>
          <cell r="C27">
            <v>99</v>
          </cell>
          <cell r="D27">
            <v>18</v>
          </cell>
          <cell r="E27">
            <v>34</v>
          </cell>
          <cell r="F27">
            <v>3.177451310231393</v>
          </cell>
          <cell r="G27">
            <v>26686</v>
          </cell>
          <cell r="H27">
            <v>35645</v>
          </cell>
          <cell r="I27">
            <v>68642</v>
          </cell>
        </row>
        <row r="28">
          <cell r="A28" t="str">
            <v>NC0032</v>
          </cell>
          <cell r="B28" t="str">
            <v>Forsyth</v>
          </cell>
          <cell r="C28">
            <v>421</v>
          </cell>
          <cell r="D28">
            <v>113</v>
          </cell>
          <cell r="E28">
            <v>116</v>
          </cell>
          <cell r="F28">
            <v>1.5713345235740819</v>
          </cell>
          <cell r="G28">
            <v>283723</v>
          </cell>
          <cell r="H28">
            <v>-1</v>
          </cell>
          <cell r="I28">
            <v>2637709</v>
          </cell>
        </row>
        <row r="29">
          <cell r="A29" t="str">
            <v>NC0033</v>
          </cell>
          <cell r="B29" t="str">
            <v>Franklin</v>
          </cell>
          <cell r="C29">
            <v>-1</v>
          </cell>
          <cell r="D29">
            <v>19</v>
          </cell>
          <cell r="E29">
            <v>35</v>
          </cell>
          <cell r="F29">
            <v>2.6740010696004277</v>
          </cell>
          <cell r="G29">
            <v>22603</v>
          </cell>
          <cell r="H29">
            <v>5170</v>
          </cell>
          <cell r="I29">
            <v>18520</v>
          </cell>
        </row>
        <row r="30">
          <cell r="A30" t="str">
            <v>NC0105</v>
          </cell>
          <cell r="B30" t="str">
            <v>Gaston</v>
          </cell>
          <cell r="C30">
            <v>10821</v>
          </cell>
          <cell r="D30">
            <v>64</v>
          </cell>
          <cell r="E30">
            <v>84</v>
          </cell>
          <cell r="F30">
            <v>1.9588364511480183</v>
          </cell>
          <cell r="G30">
            <v>107358</v>
          </cell>
          <cell r="H30">
            <v>61194</v>
          </cell>
          <cell r="I30">
            <v>195531</v>
          </cell>
        </row>
        <row r="31">
          <cell r="A31" t="str">
            <v>NC0034</v>
          </cell>
          <cell r="B31" t="str">
            <v>Granville</v>
          </cell>
          <cell r="C31">
            <v>-1</v>
          </cell>
          <cell r="D31">
            <v>22</v>
          </cell>
          <cell r="E31">
            <v>46</v>
          </cell>
          <cell r="F31">
            <v>3.869903925428634</v>
          </cell>
          <cell r="G31">
            <v>56883</v>
          </cell>
          <cell r="H31">
            <v>0</v>
          </cell>
          <cell r="I31">
            <v>0</v>
          </cell>
        </row>
        <row r="32">
          <cell r="A32" t="str">
            <v>NC0035</v>
          </cell>
          <cell r="B32" t="str">
            <v>Guilford (Greensboro)</v>
          </cell>
          <cell r="C32">
            <v>3248</v>
          </cell>
          <cell r="D32">
            <v>124</v>
          </cell>
          <cell r="E32">
            <v>256</v>
          </cell>
          <cell r="F32">
            <v>3.0766568277745194</v>
          </cell>
          <cell r="G32">
            <v>351983</v>
          </cell>
          <cell r="H32">
            <v>0</v>
          </cell>
          <cell r="I32">
            <v>1097326</v>
          </cell>
        </row>
        <row r="33">
          <cell r="A33" t="str">
            <v>NC0036</v>
          </cell>
          <cell r="B33" t="str">
            <v>Halifax</v>
          </cell>
          <cell r="C33">
            <v>670</v>
          </cell>
          <cell r="D33">
            <v>18</v>
          </cell>
          <cell r="E33">
            <v>53</v>
          </cell>
          <cell r="F33">
            <v>7.1507595995574622</v>
          </cell>
          <cell r="G33">
            <v>36200</v>
          </cell>
          <cell r="H33">
            <v>26100</v>
          </cell>
          <cell r="I33">
            <v>4002</v>
          </cell>
        </row>
        <row r="34">
          <cell r="A34" t="str">
            <v>NC0037</v>
          </cell>
          <cell r="B34" t="str">
            <v>Harnett</v>
          </cell>
          <cell r="C34">
            <v>878</v>
          </cell>
          <cell r="D34">
            <v>29</v>
          </cell>
          <cell r="E34">
            <v>99</v>
          </cell>
          <cell r="F34">
            <v>3.8436750192183751</v>
          </cell>
          <cell r="G34">
            <v>32276</v>
          </cell>
          <cell r="H34">
            <v>0</v>
          </cell>
          <cell r="I34">
            <v>104535</v>
          </cell>
        </row>
        <row r="35">
          <cell r="A35" t="str">
            <v>NC0038</v>
          </cell>
          <cell r="B35" t="str">
            <v>Haywood</v>
          </cell>
          <cell r="C35">
            <v>1040</v>
          </cell>
          <cell r="D35">
            <v>28</v>
          </cell>
          <cell r="E35">
            <v>38</v>
          </cell>
          <cell r="F35">
            <v>3.0758770296741189</v>
          </cell>
          <cell r="G35">
            <v>25013</v>
          </cell>
          <cell r="H35">
            <v>3860</v>
          </cell>
          <cell r="I35">
            <v>117475</v>
          </cell>
        </row>
        <row r="36">
          <cell r="A36" t="str">
            <v>NC0039</v>
          </cell>
          <cell r="B36" t="str">
            <v>Henderson</v>
          </cell>
          <cell r="C36">
            <v>504</v>
          </cell>
          <cell r="D36">
            <v>52</v>
          </cell>
          <cell r="E36">
            <v>77</v>
          </cell>
          <cell r="F36">
            <v>3.3658259387157408</v>
          </cell>
          <cell r="G36">
            <v>55152</v>
          </cell>
          <cell r="H36">
            <v>33314</v>
          </cell>
          <cell r="I36">
            <v>178736</v>
          </cell>
        </row>
        <row r="37">
          <cell r="A37" t="str">
            <v>NC0040</v>
          </cell>
          <cell r="B37" t="str">
            <v>Iredell</v>
          </cell>
          <cell r="C37">
            <v>0</v>
          </cell>
          <cell r="D37">
            <v>40</v>
          </cell>
          <cell r="E37">
            <v>52</v>
          </cell>
          <cell r="F37">
            <v>1.9356327657958801</v>
          </cell>
          <cell r="G37">
            <v>68137</v>
          </cell>
          <cell r="H37">
            <v>67275</v>
          </cell>
          <cell r="I37">
            <v>69436</v>
          </cell>
        </row>
        <row r="38">
          <cell r="A38" t="str">
            <v>NC0041</v>
          </cell>
          <cell r="B38" t="str">
            <v>Johnston</v>
          </cell>
          <cell r="C38">
            <v>0</v>
          </cell>
          <cell r="D38">
            <v>25</v>
          </cell>
          <cell r="E38">
            <v>48</v>
          </cell>
          <cell r="F38">
            <v>1.4114907106267607</v>
          </cell>
          <cell r="G38">
            <v>45180</v>
          </cell>
          <cell r="H38">
            <v>25552</v>
          </cell>
          <cell r="I38">
            <v>39428</v>
          </cell>
        </row>
        <row r="39">
          <cell r="A39" t="str">
            <v>NC0042</v>
          </cell>
          <cell r="B39" t="str">
            <v>Lee</v>
          </cell>
          <cell r="C39">
            <v>22</v>
          </cell>
          <cell r="D39">
            <v>13</v>
          </cell>
          <cell r="E39">
            <v>25</v>
          </cell>
          <cell r="F39">
            <v>2.1099183039632705</v>
          </cell>
          <cell r="G39">
            <v>22500</v>
          </cell>
          <cell r="H39">
            <v>0</v>
          </cell>
          <cell r="I39">
            <v>28657</v>
          </cell>
        </row>
        <row r="40">
          <cell r="A40" t="str">
            <v>NC0106</v>
          </cell>
          <cell r="B40" t="str">
            <v>Lincoln</v>
          </cell>
          <cell r="C40">
            <v>-1</v>
          </cell>
          <cell r="D40">
            <v>28</v>
          </cell>
          <cell r="E40">
            <v>50</v>
          </cell>
          <cell r="F40">
            <v>3.0475540331330073</v>
          </cell>
          <cell r="G40">
            <v>35036</v>
          </cell>
          <cell r="H40">
            <v>38572</v>
          </cell>
          <cell r="I40">
            <v>48348</v>
          </cell>
        </row>
        <row r="41">
          <cell r="A41" t="str">
            <v>NC0043</v>
          </cell>
          <cell r="B41" t="str">
            <v>Madison</v>
          </cell>
          <cell r="C41">
            <v>1144</v>
          </cell>
          <cell r="D41">
            <v>15</v>
          </cell>
          <cell r="E41">
            <v>55</v>
          </cell>
          <cell r="F41">
            <v>12.511943218526774</v>
          </cell>
          <cell r="G41">
            <v>15388</v>
          </cell>
          <cell r="H41">
            <v>64877</v>
          </cell>
          <cell r="I41">
            <v>43801</v>
          </cell>
        </row>
        <row r="42">
          <cell r="A42" t="str">
            <v>NC0044</v>
          </cell>
          <cell r="B42" t="str">
            <v>McDowell</v>
          </cell>
          <cell r="C42">
            <v>1</v>
          </cell>
          <cell r="D42">
            <v>15</v>
          </cell>
          <cell r="E42">
            <v>38</v>
          </cell>
          <cell r="F42">
            <v>4.1749066139310038</v>
          </cell>
          <cell r="G42">
            <v>18455</v>
          </cell>
          <cell r="H42">
            <v>6977</v>
          </cell>
          <cell r="I42">
            <v>56192</v>
          </cell>
        </row>
        <row r="43">
          <cell r="A43" t="str">
            <v>NC0045</v>
          </cell>
          <cell r="B43" t="str">
            <v>Mecklenburg</v>
          </cell>
          <cell r="C43">
            <v>2520</v>
          </cell>
          <cell r="D43">
            <v>497</v>
          </cell>
          <cell r="E43">
            <v>846</v>
          </cell>
          <cell r="F43">
            <v>4.0150159698921257</v>
          </cell>
          <cell r="G43">
            <v>671447</v>
          </cell>
          <cell r="H43">
            <v>859840</v>
          </cell>
          <cell r="I43">
            <v>18182655</v>
          </cell>
        </row>
        <row r="44">
          <cell r="A44" t="str">
            <v>NC0046</v>
          </cell>
          <cell r="B44" t="str">
            <v>Nash (Braswell)</v>
          </cell>
          <cell r="C44">
            <v>4939</v>
          </cell>
          <cell r="D44">
            <v>36</v>
          </cell>
          <cell r="E44">
            <v>86</v>
          </cell>
          <cell r="F44">
            <v>4.821168292409463</v>
          </cell>
          <cell r="G44">
            <v>120741</v>
          </cell>
          <cell r="H44">
            <v>69696</v>
          </cell>
          <cell r="I44">
            <v>134037</v>
          </cell>
        </row>
        <row r="45">
          <cell r="A45" t="str">
            <v>NC0047</v>
          </cell>
          <cell r="B45" t="str">
            <v>New Hanover</v>
          </cell>
          <cell r="C45">
            <v>257</v>
          </cell>
          <cell r="D45">
            <v>80</v>
          </cell>
          <cell r="E45">
            <v>112</v>
          </cell>
          <cell r="F45">
            <v>2.5043826696719256</v>
          </cell>
          <cell r="G45">
            <v>126440</v>
          </cell>
          <cell r="H45">
            <v>0</v>
          </cell>
          <cell r="I45">
            <v>342287</v>
          </cell>
        </row>
        <row r="46">
          <cell r="A46" t="str">
            <v>NC0048</v>
          </cell>
          <cell r="B46" t="str">
            <v>Onslow</v>
          </cell>
          <cell r="C46">
            <v>94</v>
          </cell>
          <cell r="D46">
            <v>43</v>
          </cell>
          <cell r="E46">
            <v>114</v>
          </cell>
          <cell r="F46">
            <v>2.939447383891828</v>
          </cell>
          <cell r="G46">
            <v>66044</v>
          </cell>
          <cell r="H46">
            <v>0</v>
          </cell>
          <cell r="I46">
            <v>0</v>
          </cell>
        </row>
        <row r="47">
          <cell r="A47" t="str">
            <v>NC0108</v>
          </cell>
          <cell r="B47" t="str">
            <v>Orange</v>
          </cell>
          <cell r="C47">
            <v>2085</v>
          </cell>
          <cell r="D47">
            <v>35</v>
          </cell>
          <cell r="E47">
            <v>60</v>
          </cell>
          <cell r="F47">
            <v>3.5645964282743789</v>
          </cell>
          <cell r="G47">
            <v>47404</v>
          </cell>
          <cell r="H47">
            <v>16121</v>
          </cell>
          <cell r="I47">
            <v>200434</v>
          </cell>
        </row>
        <row r="48">
          <cell r="A48" t="str">
            <v>NC0049</v>
          </cell>
          <cell r="B48" t="str">
            <v>Pender</v>
          </cell>
          <cell r="C48">
            <v>91</v>
          </cell>
          <cell r="D48">
            <v>19</v>
          </cell>
          <cell r="E48">
            <v>27</v>
          </cell>
          <cell r="F48">
            <v>2.2704720900116047</v>
          </cell>
          <cell r="G48">
            <v>12116</v>
          </cell>
          <cell r="H48">
            <v>43071</v>
          </cell>
          <cell r="I48">
            <v>36761</v>
          </cell>
        </row>
        <row r="49">
          <cell r="A49" t="str">
            <v>NC0109</v>
          </cell>
          <cell r="B49" t="str">
            <v>Person</v>
          </cell>
          <cell r="C49">
            <v>14</v>
          </cell>
          <cell r="D49">
            <v>10</v>
          </cell>
          <cell r="E49">
            <v>13</v>
          </cell>
          <cell r="F49">
            <v>1.6361256544502618</v>
          </cell>
          <cell r="G49">
            <v>15463</v>
          </cell>
          <cell r="H49">
            <v>8696</v>
          </cell>
          <cell r="I49">
            <v>15212</v>
          </cell>
        </row>
        <row r="50">
          <cell r="A50" t="str">
            <v>NC0050</v>
          </cell>
          <cell r="B50" t="str">
            <v>Pitt (Sheppard)</v>
          </cell>
          <cell r="C50">
            <v>-1</v>
          </cell>
          <cell r="D50">
            <v>41</v>
          </cell>
          <cell r="E50">
            <v>129</v>
          </cell>
          <cell r="F50">
            <v>3.7671932949799958</v>
          </cell>
          <cell r="G50">
            <v>126910</v>
          </cell>
          <cell r="H50">
            <v>0</v>
          </cell>
          <cell r="I50">
            <v>295012</v>
          </cell>
        </row>
        <row r="51">
          <cell r="A51" t="str">
            <v>NC0051</v>
          </cell>
          <cell r="B51" t="str">
            <v>Polk</v>
          </cell>
          <cell r="C51">
            <v>74</v>
          </cell>
          <cell r="D51">
            <v>18</v>
          </cell>
          <cell r="E51">
            <v>45</v>
          </cell>
          <cell r="F51">
            <v>10.699001426533522</v>
          </cell>
          <cell r="G51">
            <v>22496</v>
          </cell>
          <cell r="H51">
            <v>0</v>
          </cell>
          <cell r="I51">
            <v>78575</v>
          </cell>
        </row>
        <row r="52">
          <cell r="A52" t="str">
            <v>NC0052</v>
          </cell>
          <cell r="B52" t="str">
            <v>Randolph</v>
          </cell>
          <cell r="C52">
            <v>25</v>
          </cell>
          <cell r="D52">
            <v>81</v>
          </cell>
          <cell r="E52">
            <v>156</v>
          </cell>
          <cell r="F52">
            <v>5.4279371751066448</v>
          </cell>
          <cell r="G52">
            <v>92961</v>
          </cell>
          <cell r="H52">
            <v>33130</v>
          </cell>
          <cell r="I52">
            <v>194813</v>
          </cell>
        </row>
        <row r="53">
          <cell r="A53" t="str">
            <v>NC0053</v>
          </cell>
          <cell r="B53" t="str">
            <v>Robeson</v>
          </cell>
          <cell r="C53">
            <v>105</v>
          </cell>
          <cell r="D53">
            <v>22</v>
          </cell>
          <cell r="E53">
            <v>64</v>
          </cell>
          <cell r="F53">
            <v>2.412236067452151</v>
          </cell>
          <cell r="G53">
            <v>40662</v>
          </cell>
          <cell r="H53">
            <v>0</v>
          </cell>
          <cell r="I53">
            <v>32727</v>
          </cell>
        </row>
        <row r="54">
          <cell r="A54" t="str">
            <v>NC0054</v>
          </cell>
          <cell r="B54" t="str">
            <v>Rockingham</v>
          </cell>
          <cell r="C54">
            <v>1366</v>
          </cell>
          <cell r="D54">
            <v>33</v>
          </cell>
          <cell r="E54">
            <v>93</v>
          </cell>
          <cell r="F54">
            <v>5.0603432327431417</v>
          </cell>
          <cell r="G54">
            <v>141881</v>
          </cell>
          <cell r="H54">
            <v>0</v>
          </cell>
          <cell r="I54">
            <v>0</v>
          </cell>
        </row>
        <row r="55">
          <cell r="A55" t="str">
            <v>NC0055</v>
          </cell>
          <cell r="B55" t="str">
            <v>Rowan</v>
          </cell>
          <cell r="C55">
            <v>86</v>
          </cell>
          <cell r="D55">
            <v>50</v>
          </cell>
          <cell r="E55">
            <v>97</v>
          </cell>
          <cell r="F55">
            <v>3.4404483223380864</v>
          </cell>
          <cell r="G55">
            <v>82663</v>
          </cell>
          <cell r="H55">
            <v>47393</v>
          </cell>
          <cell r="I55">
            <v>262184</v>
          </cell>
        </row>
        <row r="56">
          <cell r="A56" t="str">
            <v>NC0056</v>
          </cell>
          <cell r="B56" t="str">
            <v>Rutherford</v>
          </cell>
          <cell r="C56">
            <v>544</v>
          </cell>
          <cell r="D56">
            <v>17</v>
          </cell>
          <cell r="E56">
            <v>34</v>
          </cell>
          <cell r="F56">
            <v>2.5109670177097025</v>
          </cell>
          <cell r="G56">
            <v>20241</v>
          </cell>
          <cell r="H56">
            <v>21540</v>
          </cell>
          <cell r="I56">
            <v>45175</v>
          </cell>
        </row>
        <row r="57">
          <cell r="A57" t="str">
            <v>NC0057</v>
          </cell>
          <cell r="B57" t="str">
            <v>Sampson</v>
          </cell>
          <cell r="C57">
            <v>-1</v>
          </cell>
          <cell r="D57">
            <v>16</v>
          </cell>
          <cell r="E57">
            <v>32</v>
          </cell>
          <cell r="F57">
            <v>2.5197247200743318</v>
          </cell>
          <cell r="G57">
            <v>21654</v>
          </cell>
          <cell r="H57">
            <v>0</v>
          </cell>
          <cell r="I57">
            <v>0</v>
          </cell>
        </row>
        <row r="58">
          <cell r="A58" t="str">
            <v>NC0058</v>
          </cell>
          <cell r="B58" t="str">
            <v>Scotland</v>
          </cell>
          <cell r="C58">
            <v>0</v>
          </cell>
          <cell r="D58">
            <v>9</v>
          </cell>
          <cell r="E58">
            <v>14</v>
          </cell>
          <cell r="F58">
            <v>1.9559082399619996</v>
          </cell>
          <cell r="G58">
            <v>14831</v>
          </cell>
          <cell r="H58">
            <v>2388</v>
          </cell>
          <cell r="I58">
            <v>0</v>
          </cell>
        </row>
        <row r="59">
          <cell r="A59" t="str">
            <v>NC0059</v>
          </cell>
          <cell r="B59" t="str">
            <v>Stanly</v>
          </cell>
          <cell r="C59">
            <v>368</v>
          </cell>
          <cell r="D59">
            <v>20</v>
          </cell>
          <cell r="E59">
            <v>42</v>
          </cell>
          <cell r="F59">
            <v>3.400754643649496</v>
          </cell>
          <cell r="G59">
            <v>13803</v>
          </cell>
          <cell r="H59">
            <v>0</v>
          </cell>
          <cell r="I59">
            <v>32373</v>
          </cell>
        </row>
        <row r="60">
          <cell r="A60" t="str">
            <v>NC0060</v>
          </cell>
          <cell r="B60" t="str">
            <v>Transylvania</v>
          </cell>
          <cell r="C60">
            <v>145</v>
          </cell>
          <cell r="D60">
            <v>34</v>
          </cell>
          <cell r="E60">
            <v>47</v>
          </cell>
          <cell r="F60">
            <v>6.8836228360526084</v>
          </cell>
          <cell r="G60">
            <v>27447</v>
          </cell>
          <cell r="H60">
            <v>32820</v>
          </cell>
          <cell r="I60">
            <v>141448</v>
          </cell>
        </row>
        <row r="61">
          <cell r="A61" t="str">
            <v>NC0061</v>
          </cell>
          <cell r="B61" t="str">
            <v>Union</v>
          </cell>
          <cell r="C61">
            <v>548</v>
          </cell>
          <cell r="D61">
            <v>76</v>
          </cell>
          <cell r="E61">
            <v>160</v>
          </cell>
          <cell r="F61">
            <v>3.5727843154768548</v>
          </cell>
          <cell r="G61">
            <v>77555</v>
          </cell>
          <cell r="H61">
            <v>74176</v>
          </cell>
          <cell r="I61">
            <v>312754</v>
          </cell>
        </row>
        <row r="62">
          <cell r="A62" t="str">
            <v>NC0062</v>
          </cell>
          <cell r="B62" t="str">
            <v>Vance (Perry)</v>
          </cell>
          <cell r="C62">
            <v>668</v>
          </cell>
          <cell r="D62">
            <v>21</v>
          </cell>
          <cell r="E62">
            <v>35</v>
          </cell>
          <cell r="F62">
            <v>3.8936477917454662</v>
          </cell>
          <cell r="G62">
            <v>38500</v>
          </cell>
          <cell r="H62">
            <v>0</v>
          </cell>
          <cell r="I62">
            <v>105365</v>
          </cell>
        </row>
        <row r="63">
          <cell r="A63" t="str">
            <v>NC0063</v>
          </cell>
          <cell r="B63" t="str">
            <v>Wake</v>
          </cell>
          <cell r="C63">
            <v>-1</v>
          </cell>
          <cell r="D63">
            <v>383</v>
          </cell>
          <cell r="E63">
            <v>562</v>
          </cell>
          <cell r="F63">
            <v>2.7367961758873647</v>
          </cell>
          <cell r="G63">
            <v>565207</v>
          </cell>
          <cell r="H63">
            <v>1248674</v>
          </cell>
          <cell r="I63">
            <v>4928588</v>
          </cell>
        </row>
        <row r="64">
          <cell r="A64" t="str">
            <v>NC0101</v>
          </cell>
          <cell r="B64" t="str">
            <v>Warren</v>
          </cell>
          <cell r="C64">
            <v>267</v>
          </cell>
          <cell r="D64">
            <v>19</v>
          </cell>
          <cell r="E64">
            <v>29</v>
          </cell>
          <cell r="F64">
            <v>7.2064012723025686</v>
          </cell>
          <cell r="G64">
            <v>21612</v>
          </cell>
          <cell r="H64">
            <v>0</v>
          </cell>
          <cell r="I64">
            <v>165251</v>
          </cell>
        </row>
        <row r="65">
          <cell r="A65" t="str">
            <v>NC0065</v>
          </cell>
          <cell r="B65" t="str">
            <v>Wayne</v>
          </cell>
          <cell r="C65">
            <v>475</v>
          </cell>
          <cell r="D65">
            <v>49</v>
          </cell>
          <cell r="E65">
            <v>123</v>
          </cell>
          <cell r="F65">
            <v>4.9275687455932307</v>
          </cell>
          <cell r="G65">
            <v>73923</v>
          </cell>
          <cell r="H65">
            <v>86139</v>
          </cell>
          <cell r="I65">
            <v>62046</v>
          </cell>
        </row>
        <row r="66">
          <cell r="A66" t="str">
            <v>NC0066</v>
          </cell>
          <cell r="B66" t="str">
            <v>Wilson</v>
          </cell>
          <cell r="C66">
            <v>4</v>
          </cell>
          <cell r="D66">
            <v>33</v>
          </cell>
          <cell r="E66">
            <v>55</v>
          </cell>
          <cell r="F66">
            <v>3.3635852149025167</v>
          </cell>
          <cell r="G66">
            <v>37148</v>
          </cell>
          <cell r="H66">
            <v>38511</v>
          </cell>
          <cell r="I66">
            <v>89432</v>
          </cell>
        </row>
        <row r="67">
          <cell r="A67" t="str">
            <v>Totals or mean average*</v>
          </cell>
          <cell r="C67">
            <v>1307.1724137931035</v>
          </cell>
          <cell r="D67">
            <v>3248</v>
          </cell>
          <cell r="E67">
            <v>5800</v>
          </cell>
          <cell r="F67">
            <v>3.8447306387361588</v>
          </cell>
          <cell r="G67">
            <v>4965932</v>
          </cell>
          <cell r="H67">
            <v>3568294</v>
          </cell>
          <cell r="I67">
            <v>34722641</v>
          </cell>
        </row>
        <row r="68">
          <cell r="A68" t="str">
            <v>Regional Libraries</v>
          </cell>
        </row>
        <row r="69">
          <cell r="A69" t="str">
            <v>NC0001</v>
          </cell>
          <cell r="B69" t="str">
            <v>Albemarle</v>
          </cell>
          <cell r="C69">
            <v>0</v>
          </cell>
          <cell r="D69">
            <v>37</v>
          </cell>
          <cell r="E69">
            <v>100</v>
          </cell>
          <cell r="F69">
            <v>6.5304843007157416</v>
          </cell>
          <cell r="G69">
            <v>35343</v>
          </cell>
          <cell r="H69">
            <v>34632</v>
          </cell>
          <cell r="I69">
            <v>85453</v>
          </cell>
        </row>
        <row r="70">
          <cell r="A70" t="str">
            <v>NC0003</v>
          </cell>
          <cell r="B70" t="str">
            <v>AMY</v>
          </cell>
          <cell r="C70">
            <v>1943</v>
          </cell>
          <cell r="D70">
            <v>10</v>
          </cell>
          <cell r="E70">
            <v>108</v>
          </cell>
          <cell r="F70">
            <v>10.484215431211897</v>
          </cell>
          <cell r="G70">
            <v>55764</v>
          </cell>
          <cell r="H70">
            <v>20222</v>
          </cell>
          <cell r="I70">
            <v>8782</v>
          </cell>
        </row>
        <row r="71">
          <cell r="A71" t="str">
            <v>NC0002</v>
          </cell>
          <cell r="B71" t="str">
            <v>Appalachian</v>
          </cell>
          <cell r="C71">
            <v>1010</v>
          </cell>
          <cell r="D71">
            <v>66</v>
          </cell>
          <cell r="E71">
            <v>128</v>
          </cell>
          <cell r="F71">
            <v>4.2004948708019665</v>
          </cell>
          <cell r="G71">
            <v>58065</v>
          </cell>
          <cell r="H71">
            <v>40855</v>
          </cell>
          <cell r="I71">
            <v>267691</v>
          </cell>
        </row>
        <row r="72">
          <cell r="A72" t="str">
            <v>NC0004</v>
          </cell>
          <cell r="B72" t="str">
            <v>BHM</v>
          </cell>
          <cell r="C72">
            <v>77</v>
          </cell>
          <cell r="D72">
            <v>22</v>
          </cell>
          <cell r="E72">
            <v>87</v>
          </cell>
          <cell r="F72">
            <v>6.4659016588382192</v>
          </cell>
          <cell r="G72">
            <v>32544</v>
          </cell>
          <cell r="H72">
            <v>19722</v>
          </cell>
          <cell r="I72">
            <v>59000</v>
          </cell>
        </row>
        <row r="73">
          <cell r="A73" t="str">
            <v>NC0006</v>
          </cell>
          <cell r="B73" t="str">
            <v>CPC</v>
          </cell>
          <cell r="C73">
            <v>332</v>
          </cell>
          <cell r="D73">
            <v>72</v>
          </cell>
          <cell r="E73">
            <v>132</v>
          </cell>
          <cell r="F73">
            <v>3.5302801758721398</v>
          </cell>
          <cell r="G73">
            <v>90506</v>
          </cell>
          <cell r="H73">
            <v>32895</v>
          </cell>
          <cell r="I73">
            <v>179970</v>
          </cell>
        </row>
        <row r="74">
          <cell r="A74" t="str">
            <v>NC0007</v>
          </cell>
          <cell r="B74" t="str">
            <v>E. Albemarle</v>
          </cell>
          <cell r="C74">
            <v>15</v>
          </cell>
          <cell r="D74">
            <v>59</v>
          </cell>
          <cell r="E74">
            <v>110</v>
          </cell>
          <cell r="F74">
            <v>4.8647166523673482</v>
          </cell>
          <cell r="G74">
            <v>64875</v>
          </cell>
          <cell r="H74">
            <v>50157</v>
          </cell>
          <cell r="I74">
            <v>222225</v>
          </cell>
        </row>
        <row r="75">
          <cell r="A75" t="str">
            <v>NC0008</v>
          </cell>
          <cell r="B75" t="str">
            <v>Fontana</v>
          </cell>
          <cell r="C75">
            <v>12793</v>
          </cell>
          <cell r="D75">
            <v>98</v>
          </cell>
          <cell r="E75">
            <v>122</v>
          </cell>
          <cell r="F75">
            <v>6.6797341246810706</v>
          </cell>
          <cell r="G75">
            <v>47134</v>
          </cell>
          <cell r="H75">
            <v>69851</v>
          </cell>
          <cell r="I75">
            <v>73232</v>
          </cell>
        </row>
        <row r="76">
          <cell r="A76" t="str">
            <v>NC0011</v>
          </cell>
          <cell r="B76" t="str">
            <v>Nantahala</v>
          </cell>
          <cell r="C76">
            <v>526</v>
          </cell>
          <cell r="D76">
            <v>31</v>
          </cell>
          <cell r="E76">
            <v>84</v>
          </cell>
          <cell r="F76">
            <v>8.6160915767447577</v>
          </cell>
          <cell r="G76">
            <v>54504</v>
          </cell>
          <cell r="H76">
            <v>11284</v>
          </cell>
          <cell r="I76">
            <v>189775</v>
          </cell>
        </row>
        <row r="77">
          <cell r="A77" t="str">
            <v>NC0012</v>
          </cell>
          <cell r="B77" t="str">
            <v>Neuse</v>
          </cell>
          <cell r="C77">
            <v>5018</v>
          </cell>
          <cell r="D77">
            <v>40</v>
          </cell>
          <cell r="E77">
            <v>165</v>
          </cell>
          <cell r="F77">
            <v>9.2321120834359132</v>
          </cell>
          <cell r="G77">
            <v>94499</v>
          </cell>
          <cell r="H77">
            <v>51830</v>
          </cell>
          <cell r="I77">
            <v>146788</v>
          </cell>
        </row>
        <row r="78">
          <cell r="A78" t="str">
            <v>NC0013</v>
          </cell>
          <cell r="B78" t="str">
            <v>Northwestern</v>
          </cell>
          <cell r="C78">
            <v>211</v>
          </cell>
          <cell r="D78">
            <v>52</v>
          </cell>
          <cell r="E78">
            <v>160</v>
          </cell>
          <cell r="F78">
            <v>4.7471828436812027</v>
          </cell>
          <cell r="G78">
            <v>127566</v>
          </cell>
          <cell r="H78">
            <v>117070</v>
          </cell>
          <cell r="I78">
            <v>0</v>
          </cell>
        </row>
        <row r="79">
          <cell r="A79" t="str">
            <v>NC0014</v>
          </cell>
          <cell r="B79" t="str">
            <v>Pettigrew</v>
          </cell>
          <cell r="C79">
            <v>49</v>
          </cell>
          <cell r="D79">
            <v>30</v>
          </cell>
          <cell r="E79">
            <v>55</v>
          </cell>
          <cell r="F79">
            <v>6.1753345908560142</v>
          </cell>
          <cell r="G79">
            <v>41000</v>
          </cell>
          <cell r="H79">
            <v>71645</v>
          </cell>
          <cell r="I79">
            <v>20594</v>
          </cell>
        </row>
        <row r="80">
          <cell r="A80" t="str">
            <v>NC0015</v>
          </cell>
          <cell r="B80" t="str">
            <v>Sandhill</v>
          </cell>
          <cell r="C80">
            <v>223</v>
          </cell>
          <cell r="D80">
            <v>76</v>
          </cell>
          <cell r="E80">
            <v>133</v>
          </cell>
          <cell r="F80">
            <v>2.8556950718862191</v>
          </cell>
          <cell r="G80">
            <v>66024</v>
          </cell>
          <cell r="H80">
            <v>15441</v>
          </cell>
          <cell r="I80">
            <v>165598</v>
          </cell>
        </row>
        <row r="81">
          <cell r="A81" t="str">
            <v>Totals or mean average*</v>
          </cell>
          <cell r="C81">
            <v>1849.75</v>
          </cell>
          <cell r="D81">
            <v>593</v>
          </cell>
          <cell r="E81">
            <v>1384</v>
          </cell>
          <cell r="F81">
            <v>6.1985202817577063</v>
          </cell>
          <cell r="G81">
            <v>767824</v>
          </cell>
          <cell r="H81">
            <v>535604</v>
          </cell>
          <cell r="I81">
            <v>1419108</v>
          </cell>
        </row>
        <row r="82">
          <cell r="B82" t="str">
            <v>Municipal Libraries</v>
          </cell>
        </row>
        <row r="83">
          <cell r="A83" t="str">
            <v>NC0071</v>
          </cell>
          <cell r="B83" t="str">
            <v>Chapel Hill</v>
          </cell>
          <cell r="C83">
            <v>849</v>
          </cell>
          <cell r="D83">
            <v>41</v>
          </cell>
          <cell r="E83">
            <v>69</v>
          </cell>
          <cell r="F83">
            <v>5.764218405399987</v>
          </cell>
          <cell r="G83">
            <v>0</v>
          </cell>
          <cell r="H83">
            <v>20461</v>
          </cell>
          <cell r="I83">
            <v>1007499</v>
          </cell>
          <cell r="J83">
            <v>0</v>
          </cell>
          <cell r="K83">
            <v>0.34185992113880909</v>
          </cell>
        </row>
        <row r="84">
          <cell r="A84" t="str">
            <v>NC0110</v>
          </cell>
          <cell r="B84" t="str">
            <v>Clayton</v>
          </cell>
          <cell r="C84">
            <v>0</v>
          </cell>
          <cell r="D84">
            <v>8</v>
          </cell>
          <cell r="E84">
            <v>8</v>
          </cell>
          <cell r="F84">
            <v>2.0589900653729343</v>
          </cell>
          <cell r="G84">
            <v>6942</v>
          </cell>
          <cell r="H84">
            <v>25308</v>
          </cell>
          <cell r="I84">
            <v>31012</v>
          </cell>
          <cell r="J84">
            <v>0.3573377258454728</v>
          </cell>
          <cell r="K84">
            <v>1.3027230143614557</v>
          </cell>
        </row>
      </sheetData>
      <sheetData sheetId="14">
        <row r="4">
          <cell r="C4" t="str">
            <v xml:space="preserve"> Library staff did</v>
          </cell>
          <cell r="D4" t="str">
            <v>AGE 0-5TH GRADE</v>
          </cell>
          <cell r="I4" t="str">
            <v>6-12TH GRADE</v>
          </cell>
          <cell r="N4" t="str">
            <v>TOTALS</v>
          </cell>
        </row>
        <row r="5">
          <cell r="C5" t="str">
            <v>school/daycare visits</v>
          </cell>
          <cell r="D5" t="str">
            <v>Registered</v>
          </cell>
          <cell r="E5" t="str">
            <v>Programs/</v>
          </cell>
          <cell r="F5" t="str">
            <v>Event</v>
          </cell>
          <cell r="G5" t="str">
            <v>Minutes</v>
          </cell>
          <cell r="H5" t="str">
            <v>Books</v>
          </cell>
          <cell r="I5" t="str">
            <v>Registered</v>
          </cell>
          <cell r="J5" t="str">
            <v>Programs/</v>
          </cell>
          <cell r="K5" t="str">
            <v>Event</v>
          </cell>
          <cell r="L5" t="str">
            <v>Minutes</v>
          </cell>
          <cell r="M5" t="str">
            <v>Books</v>
          </cell>
          <cell r="N5" t="str">
            <v>Registered</v>
          </cell>
          <cell r="O5" t="str">
            <v>Programs/</v>
          </cell>
          <cell r="P5" t="str">
            <v>Event</v>
          </cell>
          <cell r="Q5" t="str">
            <v>Books</v>
          </cell>
        </row>
        <row r="6">
          <cell r="C6" t="str">
            <v xml:space="preserve"> to advertise SRP</v>
          </cell>
          <cell r="D6" t="str">
            <v>Participants</v>
          </cell>
          <cell r="E6" t="str">
            <v>Events</v>
          </cell>
          <cell r="F6" t="str">
            <v>Attendance</v>
          </cell>
          <cell r="G6" t="str">
            <v>Read</v>
          </cell>
          <cell r="H6" t="str">
            <v>Circulated</v>
          </cell>
          <cell r="I6" t="str">
            <v>Participants</v>
          </cell>
          <cell r="J6" t="str">
            <v>Events</v>
          </cell>
          <cell r="K6" t="str">
            <v>Attendance</v>
          </cell>
          <cell r="L6" t="str">
            <v>Read</v>
          </cell>
          <cell r="M6" t="str">
            <v>Circulated</v>
          </cell>
          <cell r="N6" t="str">
            <v>Participants</v>
          </cell>
          <cell r="O6" t="str">
            <v>Events</v>
          </cell>
          <cell r="P6" t="str">
            <v>Attendance</v>
          </cell>
          <cell r="Q6" t="str">
            <v>Circulated</v>
          </cell>
        </row>
        <row r="7">
          <cell r="B7" t="str">
            <v>County Libraries</v>
          </cell>
        </row>
        <row r="8">
          <cell r="A8" t="str">
            <v>NC0103</v>
          </cell>
          <cell r="B8" t="str">
            <v>Alamance</v>
          </cell>
          <cell r="C8" t="str">
            <v>Yes</v>
          </cell>
          <cell r="D8">
            <v>1580</v>
          </cell>
          <cell r="E8">
            <v>185</v>
          </cell>
          <cell r="F8">
            <v>5327</v>
          </cell>
          <cell r="G8">
            <v>187121</v>
          </cell>
          <cell r="H8">
            <v>53695</v>
          </cell>
          <cell r="I8">
            <v>228</v>
          </cell>
          <cell r="J8">
            <v>19</v>
          </cell>
          <cell r="K8">
            <v>173</v>
          </cell>
          <cell r="L8">
            <v>31530</v>
          </cell>
          <cell r="M8">
            <v>6594</v>
          </cell>
          <cell r="N8">
            <v>1808</v>
          </cell>
          <cell r="O8">
            <v>204</v>
          </cell>
          <cell r="P8">
            <v>5500</v>
          </cell>
          <cell r="Q8">
            <v>60289</v>
          </cell>
        </row>
        <row r="9">
          <cell r="A9" t="str">
            <v>NC0016</v>
          </cell>
          <cell r="B9" t="str">
            <v>Alexander</v>
          </cell>
          <cell r="C9" t="str">
            <v>Yes</v>
          </cell>
          <cell r="D9">
            <v>567</v>
          </cell>
          <cell r="E9">
            <v>39</v>
          </cell>
          <cell r="F9">
            <v>1443</v>
          </cell>
          <cell r="G9">
            <v>718455</v>
          </cell>
          <cell r="H9">
            <v>9294</v>
          </cell>
          <cell r="I9">
            <v>97</v>
          </cell>
          <cell r="J9">
            <v>2</v>
          </cell>
          <cell r="K9">
            <v>41</v>
          </cell>
          <cell r="L9">
            <v>233437</v>
          </cell>
          <cell r="M9">
            <v>1655</v>
          </cell>
          <cell r="N9">
            <v>664</v>
          </cell>
          <cell r="O9">
            <v>41</v>
          </cell>
          <cell r="P9">
            <v>1484</v>
          </cell>
          <cell r="Q9">
            <v>10949</v>
          </cell>
        </row>
        <row r="10">
          <cell r="A10" t="str">
            <v>NC0017</v>
          </cell>
          <cell r="B10" t="str">
            <v>Bladen</v>
          </cell>
          <cell r="C10" t="str">
            <v>Yes</v>
          </cell>
          <cell r="D10">
            <v>0</v>
          </cell>
          <cell r="E10">
            <v>27</v>
          </cell>
          <cell r="F10">
            <v>699</v>
          </cell>
          <cell r="G10">
            <v>0</v>
          </cell>
          <cell r="H10">
            <v>3108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53</v>
          </cell>
          <cell r="N10">
            <v>0</v>
          </cell>
          <cell r="O10">
            <v>27</v>
          </cell>
          <cell r="P10">
            <v>699</v>
          </cell>
          <cell r="Q10">
            <v>3161</v>
          </cell>
        </row>
        <row r="11">
          <cell r="A11" t="str">
            <v>NC0018</v>
          </cell>
          <cell r="B11" t="str">
            <v>Brunswick</v>
          </cell>
          <cell r="C11" t="str">
            <v>No</v>
          </cell>
          <cell r="D11">
            <v>659</v>
          </cell>
          <cell r="E11">
            <v>50</v>
          </cell>
          <cell r="F11">
            <v>2876</v>
          </cell>
          <cell r="G11">
            <v>286734</v>
          </cell>
          <cell r="H11">
            <v>21004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659</v>
          </cell>
          <cell r="O11">
            <v>50</v>
          </cell>
          <cell r="P11">
            <v>2876</v>
          </cell>
          <cell r="Q11">
            <v>21004</v>
          </cell>
        </row>
        <row r="12">
          <cell r="A12" t="str">
            <v>NC0019</v>
          </cell>
          <cell r="B12" t="str">
            <v>Buncombe</v>
          </cell>
          <cell r="C12" t="str">
            <v>Yes</v>
          </cell>
          <cell r="D12">
            <v>5869</v>
          </cell>
          <cell r="E12">
            <v>573</v>
          </cell>
          <cell r="F12">
            <v>22499</v>
          </cell>
          <cell r="G12">
            <v>10787964</v>
          </cell>
          <cell r="H12">
            <v>163454</v>
          </cell>
          <cell r="I12">
            <v>409</v>
          </cell>
          <cell r="J12">
            <v>21</v>
          </cell>
          <cell r="K12">
            <v>479</v>
          </cell>
          <cell r="L12">
            <v>3653640</v>
          </cell>
          <cell r="M12">
            <v>13532</v>
          </cell>
          <cell r="N12">
            <v>6278</v>
          </cell>
          <cell r="O12">
            <v>594</v>
          </cell>
          <cell r="P12">
            <v>22978</v>
          </cell>
          <cell r="Q12">
            <v>176986</v>
          </cell>
        </row>
        <row r="13">
          <cell r="A13" t="str">
            <v>NC0020</v>
          </cell>
          <cell r="B13" t="str">
            <v>Burke</v>
          </cell>
          <cell r="C13" t="str">
            <v>Yes</v>
          </cell>
          <cell r="D13">
            <v>640</v>
          </cell>
          <cell r="E13">
            <v>185</v>
          </cell>
          <cell r="F13">
            <v>4398</v>
          </cell>
          <cell r="G13">
            <v>233334</v>
          </cell>
          <cell r="H13">
            <v>21942</v>
          </cell>
          <cell r="I13">
            <v>175</v>
          </cell>
          <cell r="J13">
            <v>29</v>
          </cell>
          <cell r="K13">
            <v>936</v>
          </cell>
          <cell r="L13">
            <v>0</v>
          </cell>
          <cell r="M13">
            <v>4057</v>
          </cell>
          <cell r="N13">
            <v>815</v>
          </cell>
          <cell r="O13">
            <v>214</v>
          </cell>
          <cell r="P13">
            <v>5334</v>
          </cell>
          <cell r="Q13">
            <v>25999</v>
          </cell>
        </row>
        <row r="14">
          <cell r="A14" t="str">
            <v>NC0021</v>
          </cell>
          <cell r="B14" t="str">
            <v>Cabarrus</v>
          </cell>
          <cell r="C14" t="str">
            <v>Yes</v>
          </cell>
          <cell r="D14">
            <v>3242</v>
          </cell>
          <cell r="E14">
            <v>365</v>
          </cell>
          <cell r="F14">
            <v>11883</v>
          </cell>
          <cell r="G14">
            <v>0</v>
          </cell>
          <cell r="H14">
            <v>121885</v>
          </cell>
          <cell r="I14">
            <v>509</v>
          </cell>
          <cell r="J14">
            <v>107</v>
          </cell>
          <cell r="K14">
            <v>1833</v>
          </cell>
          <cell r="L14">
            <v>0</v>
          </cell>
          <cell r="M14">
            <v>11961</v>
          </cell>
          <cell r="N14">
            <v>3751</v>
          </cell>
          <cell r="O14">
            <v>472</v>
          </cell>
          <cell r="P14">
            <v>13716</v>
          </cell>
          <cell r="Q14">
            <v>133846</v>
          </cell>
        </row>
        <row r="15">
          <cell r="A15" t="str">
            <v>NC0022</v>
          </cell>
          <cell r="B15" t="str">
            <v>Caldwell</v>
          </cell>
          <cell r="C15" t="str">
            <v>No</v>
          </cell>
          <cell r="D15">
            <v>775</v>
          </cell>
          <cell r="E15">
            <v>71</v>
          </cell>
          <cell r="F15">
            <v>2389</v>
          </cell>
          <cell r="G15">
            <v>265800</v>
          </cell>
          <cell r="H15">
            <v>32582</v>
          </cell>
          <cell r="I15">
            <v>251</v>
          </cell>
          <cell r="J15">
            <v>7</v>
          </cell>
          <cell r="K15">
            <v>78</v>
          </cell>
          <cell r="L15">
            <v>115200</v>
          </cell>
          <cell r="M15">
            <v>4383</v>
          </cell>
          <cell r="N15">
            <v>1026</v>
          </cell>
          <cell r="O15">
            <v>78</v>
          </cell>
          <cell r="P15">
            <v>2467</v>
          </cell>
          <cell r="Q15">
            <v>36965</v>
          </cell>
        </row>
        <row r="16">
          <cell r="A16" t="str">
            <v>NC0107</v>
          </cell>
          <cell r="B16" t="str">
            <v>Caswell</v>
          </cell>
          <cell r="C16" t="str">
            <v>Yes</v>
          </cell>
          <cell r="D16">
            <v>367</v>
          </cell>
          <cell r="E16">
            <v>15</v>
          </cell>
          <cell r="F16">
            <v>842</v>
          </cell>
          <cell r="G16">
            <v>86988</v>
          </cell>
          <cell r="H16">
            <v>4093</v>
          </cell>
          <cell r="I16">
            <v>17</v>
          </cell>
          <cell r="J16">
            <v>1</v>
          </cell>
          <cell r="K16">
            <v>17</v>
          </cell>
          <cell r="L16">
            <v>2945</v>
          </cell>
          <cell r="M16">
            <v>677</v>
          </cell>
          <cell r="N16">
            <v>384</v>
          </cell>
          <cell r="O16">
            <v>16</v>
          </cell>
          <cell r="P16">
            <v>859</v>
          </cell>
          <cell r="Q16">
            <v>4770</v>
          </cell>
        </row>
        <row r="17">
          <cell r="A17" t="str">
            <v>NC0023</v>
          </cell>
          <cell r="B17" t="str">
            <v>Catawba</v>
          </cell>
          <cell r="C17" t="str">
            <v>Yes</v>
          </cell>
          <cell r="D17">
            <v>1453</v>
          </cell>
          <cell r="E17">
            <v>322</v>
          </cell>
          <cell r="F17">
            <v>8379</v>
          </cell>
          <cell r="G17">
            <v>267052</v>
          </cell>
          <cell r="H17">
            <v>38467</v>
          </cell>
          <cell r="I17">
            <v>268</v>
          </cell>
          <cell r="J17">
            <v>27</v>
          </cell>
          <cell r="K17">
            <v>203</v>
          </cell>
          <cell r="L17">
            <v>58053</v>
          </cell>
          <cell r="M17">
            <v>5663</v>
          </cell>
          <cell r="N17">
            <v>1721</v>
          </cell>
          <cell r="O17">
            <v>349</v>
          </cell>
          <cell r="P17">
            <v>8582</v>
          </cell>
          <cell r="Q17">
            <v>44130</v>
          </cell>
        </row>
        <row r="18">
          <cell r="A18" t="str">
            <v>NC0104</v>
          </cell>
          <cell r="B18" t="str">
            <v>Chatham</v>
          </cell>
          <cell r="C18" t="str">
            <v>Yes</v>
          </cell>
          <cell r="D18">
            <v>677</v>
          </cell>
          <cell r="E18">
            <v>144</v>
          </cell>
          <cell r="F18">
            <v>4564</v>
          </cell>
          <cell r="G18">
            <v>484710</v>
          </cell>
          <cell r="H18">
            <v>27678</v>
          </cell>
          <cell r="I18">
            <v>163</v>
          </cell>
          <cell r="J18">
            <v>5</v>
          </cell>
          <cell r="K18">
            <v>141</v>
          </cell>
          <cell r="L18">
            <v>108540</v>
          </cell>
          <cell r="M18">
            <v>2693</v>
          </cell>
          <cell r="N18">
            <v>840</v>
          </cell>
          <cell r="O18">
            <v>149</v>
          </cell>
          <cell r="P18">
            <v>4705</v>
          </cell>
          <cell r="Q18">
            <v>30371</v>
          </cell>
        </row>
        <row r="19">
          <cell r="A19" t="str">
            <v>NC0024</v>
          </cell>
          <cell r="B19" t="str">
            <v>Cleveland</v>
          </cell>
          <cell r="C19" t="str">
            <v>Yes</v>
          </cell>
          <cell r="D19">
            <v>698</v>
          </cell>
          <cell r="E19">
            <v>26</v>
          </cell>
          <cell r="F19">
            <v>1202</v>
          </cell>
          <cell r="G19">
            <v>10126124</v>
          </cell>
          <cell r="H19">
            <v>16791</v>
          </cell>
          <cell r="I19">
            <v>15</v>
          </cell>
          <cell r="J19">
            <v>7</v>
          </cell>
          <cell r="K19">
            <v>42</v>
          </cell>
          <cell r="L19">
            <v>19170</v>
          </cell>
          <cell r="M19">
            <v>1777</v>
          </cell>
          <cell r="N19">
            <v>713</v>
          </cell>
          <cell r="O19">
            <v>33</v>
          </cell>
          <cell r="P19">
            <v>1244</v>
          </cell>
          <cell r="Q19">
            <v>18568</v>
          </cell>
        </row>
        <row r="20">
          <cell r="A20" t="str">
            <v>NC0025</v>
          </cell>
          <cell r="B20" t="str">
            <v>Columbus</v>
          </cell>
          <cell r="C20" t="str">
            <v>Yes</v>
          </cell>
          <cell r="D20">
            <v>0</v>
          </cell>
          <cell r="E20">
            <v>32</v>
          </cell>
          <cell r="F20">
            <v>279</v>
          </cell>
          <cell r="G20">
            <v>0</v>
          </cell>
          <cell r="H20">
            <v>7086</v>
          </cell>
          <cell r="I20">
            <v>0</v>
          </cell>
          <cell r="J20">
            <v>15</v>
          </cell>
          <cell r="K20">
            <v>96</v>
          </cell>
          <cell r="L20">
            <v>0</v>
          </cell>
          <cell r="M20">
            <v>0</v>
          </cell>
          <cell r="N20">
            <v>0</v>
          </cell>
          <cell r="O20">
            <v>47</v>
          </cell>
          <cell r="P20">
            <v>375</v>
          </cell>
          <cell r="Q20">
            <v>7086</v>
          </cell>
        </row>
        <row r="21">
          <cell r="A21" t="str">
            <v>NC0026</v>
          </cell>
          <cell r="B21" t="str">
            <v>Cumberland</v>
          </cell>
          <cell r="C21" t="str">
            <v>Yes</v>
          </cell>
          <cell r="D21">
            <v>2132</v>
          </cell>
          <cell r="E21">
            <v>467</v>
          </cell>
          <cell r="F21">
            <v>13809</v>
          </cell>
          <cell r="G21">
            <v>1720588</v>
          </cell>
          <cell r="H21">
            <v>165647</v>
          </cell>
          <cell r="I21">
            <v>484</v>
          </cell>
          <cell r="J21">
            <v>81</v>
          </cell>
          <cell r="K21">
            <v>951</v>
          </cell>
          <cell r="L21">
            <v>377852</v>
          </cell>
          <cell r="M21">
            <v>21844</v>
          </cell>
          <cell r="N21">
            <v>2616</v>
          </cell>
          <cell r="O21">
            <v>548</v>
          </cell>
          <cell r="P21">
            <v>14760</v>
          </cell>
          <cell r="Q21">
            <v>187491</v>
          </cell>
        </row>
        <row r="22">
          <cell r="A22" t="str">
            <v>NC0027</v>
          </cell>
          <cell r="B22" t="str">
            <v>Davidson</v>
          </cell>
          <cell r="C22" t="str">
            <v>Yes</v>
          </cell>
          <cell r="D22">
            <v>1385</v>
          </cell>
          <cell r="E22">
            <v>178</v>
          </cell>
          <cell r="F22">
            <v>5561</v>
          </cell>
          <cell r="G22">
            <v>343340</v>
          </cell>
          <cell r="H22">
            <v>38030</v>
          </cell>
          <cell r="I22">
            <v>186</v>
          </cell>
          <cell r="J22">
            <v>27</v>
          </cell>
          <cell r="K22">
            <v>414</v>
          </cell>
          <cell r="L22">
            <v>39455</v>
          </cell>
          <cell r="M22">
            <v>6562</v>
          </cell>
          <cell r="N22">
            <v>1571</v>
          </cell>
          <cell r="O22">
            <v>205</v>
          </cell>
          <cell r="P22">
            <v>5975</v>
          </cell>
          <cell r="Q22">
            <v>44592</v>
          </cell>
        </row>
        <row r="23">
          <cell r="A23" t="str">
            <v>NC0028</v>
          </cell>
          <cell r="B23" t="str">
            <v>Davie</v>
          </cell>
          <cell r="C23" t="str">
            <v>Yes</v>
          </cell>
          <cell r="D23">
            <v>163</v>
          </cell>
          <cell r="E23">
            <v>50</v>
          </cell>
          <cell r="F23">
            <v>1051</v>
          </cell>
          <cell r="G23">
            <v>148330</v>
          </cell>
          <cell r="H23">
            <v>11214</v>
          </cell>
          <cell r="I23">
            <v>46</v>
          </cell>
          <cell r="J23">
            <v>136</v>
          </cell>
          <cell r="K23">
            <v>325</v>
          </cell>
          <cell r="L23">
            <v>120704</v>
          </cell>
          <cell r="M23">
            <v>1261</v>
          </cell>
          <cell r="N23">
            <v>209</v>
          </cell>
          <cell r="O23">
            <v>186</v>
          </cell>
          <cell r="P23">
            <v>1376</v>
          </cell>
          <cell r="Q23">
            <v>12475</v>
          </cell>
        </row>
        <row r="24">
          <cell r="A24" t="str">
            <v>NC0029</v>
          </cell>
          <cell r="B24" t="str">
            <v>Duplin</v>
          </cell>
          <cell r="C24" t="str">
            <v>Yes</v>
          </cell>
          <cell r="D24">
            <v>115</v>
          </cell>
          <cell r="E24">
            <v>16</v>
          </cell>
          <cell r="F24">
            <v>565</v>
          </cell>
          <cell r="G24">
            <v>2500</v>
          </cell>
          <cell r="H24">
            <v>10449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115</v>
          </cell>
          <cell r="O24">
            <v>16</v>
          </cell>
          <cell r="P24">
            <v>565</v>
          </cell>
          <cell r="Q24">
            <v>10449</v>
          </cell>
        </row>
        <row r="25">
          <cell r="A25" t="str">
            <v>NC0030</v>
          </cell>
          <cell r="B25" t="str">
            <v>Durham</v>
          </cell>
          <cell r="C25" t="str">
            <v>Yes</v>
          </cell>
          <cell r="D25">
            <v>2616</v>
          </cell>
          <cell r="E25">
            <v>559</v>
          </cell>
          <cell r="F25">
            <v>21626</v>
          </cell>
          <cell r="G25">
            <v>1066945</v>
          </cell>
          <cell r="H25">
            <v>264371</v>
          </cell>
          <cell r="I25">
            <v>496</v>
          </cell>
          <cell r="J25">
            <v>144</v>
          </cell>
          <cell r="K25">
            <v>1590</v>
          </cell>
          <cell r="L25">
            <v>300987</v>
          </cell>
          <cell r="M25">
            <v>23327</v>
          </cell>
          <cell r="N25">
            <v>3112</v>
          </cell>
          <cell r="O25">
            <v>703</v>
          </cell>
          <cell r="P25">
            <v>23216</v>
          </cell>
          <cell r="Q25">
            <v>287698</v>
          </cell>
        </row>
        <row r="26">
          <cell r="A26" t="str">
            <v>NC0031</v>
          </cell>
          <cell r="B26" t="str">
            <v>Edgecombe</v>
          </cell>
          <cell r="C26" t="str">
            <v>Yes</v>
          </cell>
          <cell r="D26">
            <v>714</v>
          </cell>
          <cell r="E26">
            <v>81</v>
          </cell>
          <cell r="F26">
            <v>3460</v>
          </cell>
          <cell r="G26">
            <v>4680</v>
          </cell>
          <cell r="H26">
            <v>4514</v>
          </cell>
          <cell r="I26">
            <v>222</v>
          </cell>
          <cell r="J26">
            <v>81</v>
          </cell>
          <cell r="K26">
            <v>3460</v>
          </cell>
          <cell r="L26">
            <v>0</v>
          </cell>
          <cell r="M26">
            <v>0</v>
          </cell>
          <cell r="N26">
            <v>936</v>
          </cell>
          <cell r="O26">
            <v>162</v>
          </cell>
          <cell r="P26">
            <v>6920</v>
          </cell>
          <cell r="Q26">
            <v>4514</v>
          </cell>
        </row>
        <row r="27">
          <cell r="A27" t="str">
            <v>NC0032</v>
          </cell>
          <cell r="B27" t="str">
            <v>Forsyth</v>
          </cell>
          <cell r="C27" t="str">
            <v>Yes</v>
          </cell>
          <cell r="D27">
            <v>884</v>
          </cell>
          <cell r="E27">
            <v>320</v>
          </cell>
          <cell r="F27">
            <v>16485</v>
          </cell>
          <cell r="G27">
            <v>4104</v>
          </cell>
          <cell r="H27">
            <v>66567</v>
          </cell>
          <cell r="I27">
            <v>475</v>
          </cell>
          <cell r="J27">
            <v>42</v>
          </cell>
          <cell r="K27">
            <v>350</v>
          </cell>
          <cell r="L27">
            <v>12000</v>
          </cell>
          <cell r="M27">
            <v>6083</v>
          </cell>
          <cell r="N27">
            <v>1359</v>
          </cell>
          <cell r="O27">
            <v>362</v>
          </cell>
          <cell r="P27">
            <v>16835</v>
          </cell>
          <cell r="Q27">
            <v>72650</v>
          </cell>
        </row>
        <row r="28">
          <cell r="A28" t="str">
            <v>NC0033</v>
          </cell>
          <cell r="B28" t="str">
            <v>Franklin</v>
          </cell>
          <cell r="C28" t="str">
            <v>Yes</v>
          </cell>
          <cell r="D28">
            <v>0</v>
          </cell>
          <cell r="E28">
            <v>70</v>
          </cell>
          <cell r="F28">
            <v>514</v>
          </cell>
          <cell r="G28">
            <v>0</v>
          </cell>
          <cell r="H28">
            <v>16222</v>
          </cell>
          <cell r="I28">
            <v>0</v>
          </cell>
          <cell r="J28">
            <v>9</v>
          </cell>
          <cell r="K28">
            <v>177</v>
          </cell>
          <cell r="L28">
            <v>0</v>
          </cell>
          <cell r="M28">
            <v>2494</v>
          </cell>
          <cell r="N28">
            <v>0</v>
          </cell>
          <cell r="O28">
            <v>79</v>
          </cell>
          <cell r="P28">
            <v>691</v>
          </cell>
          <cell r="Q28">
            <v>18716</v>
          </cell>
        </row>
        <row r="29">
          <cell r="A29" t="str">
            <v>NC0105</v>
          </cell>
          <cell r="B29" t="str">
            <v>Gaston</v>
          </cell>
          <cell r="C29" t="str">
            <v>Yes</v>
          </cell>
          <cell r="D29">
            <v>4540</v>
          </cell>
          <cell r="E29">
            <v>795</v>
          </cell>
          <cell r="F29">
            <v>33784</v>
          </cell>
          <cell r="G29">
            <v>1724000</v>
          </cell>
          <cell r="H29">
            <v>115388</v>
          </cell>
          <cell r="I29">
            <v>1208</v>
          </cell>
          <cell r="J29">
            <v>312</v>
          </cell>
          <cell r="K29">
            <v>1812</v>
          </cell>
          <cell r="L29">
            <v>314400</v>
          </cell>
          <cell r="M29">
            <v>13013</v>
          </cell>
          <cell r="N29">
            <v>5748</v>
          </cell>
          <cell r="O29">
            <v>1107</v>
          </cell>
          <cell r="P29">
            <v>35596</v>
          </cell>
          <cell r="Q29">
            <v>128401</v>
          </cell>
        </row>
        <row r="30">
          <cell r="A30" t="str">
            <v>NC0034</v>
          </cell>
          <cell r="B30" t="str">
            <v>Granville</v>
          </cell>
          <cell r="C30" t="str">
            <v>Yes</v>
          </cell>
          <cell r="D30">
            <v>335</v>
          </cell>
          <cell r="E30">
            <v>30</v>
          </cell>
          <cell r="F30">
            <v>1681</v>
          </cell>
          <cell r="G30">
            <v>52053</v>
          </cell>
          <cell r="H30">
            <v>12248</v>
          </cell>
          <cell r="I30">
            <v>90</v>
          </cell>
          <cell r="J30">
            <v>15</v>
          </cell>
          <cell r="K30">
            <v>-1</v>
          </cell>
          <cell r="L30">
            <v>0</v>
          </cell>
          <cell r="M30">
            <v>1785</v>
          </cell>
          <cell r="N30">
            <v>425</v>
          </cell>
          <cell r="O30">
            <v>45</v>
          </cell>
          <cell r="P30">
            <v>1680</v>
          </cell>
          <cell r="Q30">
            <v>14033</v>
          </cell>
        </row>
        <row r="31">
          <cell r="A31" t="str">
            <v>NC0035</v>
          </cell>
          <cell r="B31" t="str">
            <v>Guilford (Greensboro)</v>
          </cell>
          <cell r="C31" t="str">
            <v>Yes</v>
          </cell>
          <cell r="D31">
            <v>4509</v>
          </cell>
          <cell r="E31">
            <v>512</v>
          </cell>
          <cell r="F31">
            <v>19602</v>
          </cell>
          <cell r="G31">
            <v>0</v>
          </cell>
          <cell r="H31">
            <v>180395</v>
          </cell>
          <cell r="I31">
            <v>1016</v>
          </cell>
          <cell r="J31">
            <v>120</v>
          </cell>
          <cell r="K31">
            <v>1345</v>
          </cell>
          <cell r="L31">
            <v>0</v>
          </cell>
          <cell r="M31">
            <v>21000</v>
          </cell>
          <cell r="N31">
            <v>5525</v>
          </cell>
          <cell r="O31">
            <v>632</v>
          </cell>
          <cell r="P31">
            <v>20947</v>
          </cell>
          <cell r="Q31">
            <v>201395</v>
          </cell>
        </row>
        <row r="32">
          <cell r="A32" t="str">
            <v>NC0036</v>
          </cell>
          <cell r="B32" t="str">
            <v>Halifax</v>
          </cell>
          <cell r="C32" t="str">
            <v>Yes</v>
          </cell>
          <cell r="D32">
            <v>434</v>
          </cell>
          <cell r="E32">
            <v>26</v>
          </cell>
          <cell r="F32">
            <v>462</v>
          </cell>
          <cell r="G32">
            <v>38364</v>
          </cell>
          <cell r="H32">
            <v>3695</v>
          </cell>
          <cell r="I32">
            <v>48</v>
          </cell>
          <cell r="J32">
            <v>6</v>
          </cell>
          <cell r="K32">
            <v>110</v>
          </cell>
          <cell r="L32">
            <v>14925</v>
          </cell>
          <cell r="M32">
            <v>56</v>
          </cell>
          <cell r="N32">
            <v>482</v>
          </cell>
          <cell r="O32">
            <v>32</v>
          </cell>
          <cell r="P32">
            <v>572</v>
          </cell>
          <cell r="Q32">
            <v>3751</v>
          </cell>
        </row>
        <row r="33">
          <cell r="A33" t="str">
            <v>NC0037</v>
          </cell>
          <cell r="B33" t="str">
            <v>Harnett</v>
          </cell>
          <cell r="C33" t="str">
            <v>Yes</v>
          </cell>
          <cell r="D33">
            <v>0</v>
          </cell>
          <cell r="E33">
            <v>103</v>
          </cell>
          <cell r="F33">
            <v>4174</v>
          </cell>
          <cell r="G33">
            <v>0</v>
          </cell>
          <cell r="H33">
            <v>33591</v>
          </cell>
          <cell r="I33">
            <v>0</v>
          </cell>
          <cell r="J33">
            <v>10</v>
          </cell>
          <cell r="K33">
            <v>153</v>
          </cell>
          <cell r="L33">
            <v>0</v>
          </cell>
          <cell r="M33">
            <v>2531</v>
          </cell>
          <cell r="N33">
            <v>0</v>
          </cell>
          <cell r="O33">
            <v>113</v>
          </cell>
          <cell r="P33">
            <v>4327</v>
          </cell>
          <cell r="Q33">
            <v>36122</v>
          </cell>
        </row>
        <row r="34">
          <cell r="A34" t="str">
            <v>NC0038</v>
          </cell>
          <cell r="B34" t="str">
            <v>Haywood</v>
          </cell>
          <cell r="C34" t="str">
            <v>Yes</v>
          </cell>
          <cell r="D34">
            <v>455</v>
          </cell>
          <cell r="E34">
            <v>119</v>
          </cell>
          <cell r="F34">
            <v>3829</v>
          </cell>
          <cell r="G34">
            <v>0</v>
          </cell>
          <cell r="H34">
            <v>23506</v>
          </cell>
          <cell r="I34">
            <v>92</v>
          </cell>
          <cell r="J34">
            <v>39</v>
          </cell>
          <cell r="K34">
            <v>1513</v>
          </cell>
          <cell r="L34">
            <v>0</v>
          </cell>
          <cell r="M34">
            <v>2130</v>
          </cell>
          <cell r="N34">
            <v>547</v>
          </cell>
          <cell r="O34">
            <v>158</v>
          </cell>
          <cell r="P34">
            <v>5342</v>
          </cell>
          <cell r="Q34">
            <v>25636</v>
          </cell>
        </row>
        <row r="35">
          <cell r="A35" t="str">
            <v>NC0039</v>
          </cell>
          <cell r="B35" t="str">
            <v>Henderson</v>
          </cell>
          <cell r="C35" t="str">
            <v>Yes</v>
          </cell>
          <cell r="D35">
            <v>1947</v>
          </cell>
          <cell r="E35">
            <v>131</v>
          </cell>
          <cell r="F35">
            <v>4454</v>
          </cell>
          <cell r="G35">
            <v>345600</v>
          </cell>
          <cell r="H35">
            <v>69251</v>
          </cell>
          <cell r="I35">
            <v>480</v>
          </cell>
          <cell r="J35">
            <v>30</v>
          </cell>
          <cell r="K35">
            <v>396</v>
          </cell>
          <cell r="L35">
            <v>131250</v>
          </cell>
          <cell r="M35">
            <v>12345</v>
          </cell>
          <cell r="N35">
            <v>2427</v>
          </cell>
          <cell r="O35">
            <v>161</v>
          </cell>
          <cell r="P35">
            <v>4850</v>
          </cell>
          <cell r="Q35">
            <v>81596</v>
          </cell>
        </row>
        <row r="36">
          <cell r="A36" t="str">
            <v>NC0040</v>
          </cell>
          <cell r="B36" t="str">
            <v>Iredell</v>
          </cell>
          <cell r="C36" t="str">
            <v>Yes</v>
          </cell>
          <cell r="D36">
            <v>1006</v>
          </cell>
          <cell r="E36">
            <v>126</v>
          </cell>
          <cell r="F36">
            <v>-1</v>
          </cell>
          <cell r="G36">
            <v>0</v>
          </cell>
          <cell r="H36">
            <v>41253</v>
          </cell>
          <cell r="I36">
            <v>235</v>
          </cell>
          <cell r="J36">
            <v>46</v>
          </cell>
          <cell r="K36">
            <v>883</v>
          </cell>
          <cell r="L36">
            <v>0</v>
          </cell>
          <cell r="M36">
            <v>4171</v>
          </cell>
          <cell r="N36">
            <v>1241</v>
          </cell>
          <cell r="O36">
            <v>172</v>
          </cell>
          <cell r="P36">
            <v>882</v>
          </cell>
          <cell r="Q36">
            <v>45424</v>
          </cell>
        </row>
        <row r="37">
          <cell r="A37" t="str">
            <v>NC0041</v>
          </cell>
          <cell r="B37" t="str">
            <v>Johnston</v>
          </cell>
          <cell r="C37" t="str">
            <v>Yes</v>
          </cell>
          <cell r="D37">
            <v>522</v>
          </cell>
          <cell r="E37">
            <v>101</v>
          </cell>
          <cell r="F37">
            <v>4393</v>
          </cell>
          <cell r="G37">
            <v>0</v>
          </cell>
          <cell r="H37">
            <v>31982</v>
          </cell>
          <cell r="I37">
            <v>124</v>
          </cell>
          <cell r="J37">
            <v>45</v>
          </cell>
          <cell r="K37">
            <v>1330</v>
          </cell>
          <cell r="L37">
            <v>0</v>
          </cell>
          <cell r="M37">
            <v>5165</v>
          </cell>
          <cell r="N37">
            <v>646</v>
          </cell>
          <cell r="O37">
            <v>146</v>
          </cell>
          <cell r="P37">
            <v>5723</v>
          </cell>
          <cell r="Q37">
            <v>37147</v>
          </cell>
        </row>
        <row r="38">
          <cell r="A38" t="str">
            <v>NC0042</v>
          </cell>
          <cell r="B38" t="str">
            <v>Lee</v>
          </cell>
          <cell r="C38" t="str">
            <v>Yes</v>
          </cell>
          <cell r="D38">
            <v>123</v>
          </cell>
          <cell r="E38">
            <v>19</v>
          </cell>
          <cell r="F38">
            <v>947</v>
          </cell>
          <cell r="G38">
            <v>0</v>
          </cell>
          <cell r="H38">
            <v>9558</v>
          </cell>
          <cell r="I38">
            <v>10</v>
          </cell>
          <cell r="J38">
            <v>2</v>
          </cell>
          <cell r="K38">
            <v>50</v>
          </cell>
          <cell r="L38">
            <v>0</v>
          </cell>
          <cell r="M38">
            <v>727</v>
          </cell>
          <cell r="N38">
            <v>133</v>
          </cell>
          <cell r="O38">
            <v>21</v>
          </cell>
          <cell r="P38">
            <v>997</v>
          </cell>
          <cell r="Q38">
            <v>10285</v>
          </cell>
        </row>
        <row r="39">
          <cell r="A39" t="str">
            <v>NC0106</v>
          </cell>
          <cell r="B39" t="str">
            <v>Lincoln</v>
          </cell>
          <cell r="C39" t="str">
            <v>Yes</v>
          </cell>
          <cell r="D39">
            <v>191</v>
          </cell>
          <cell r="E39">
            <v>22</v>
          </cell>
          <cell r="F39">
            <v>1126</v>
          </cell>
          <cell r="G39">
            <v>65615</v>
          </cell>
          <cell r="H39">
            <v>7633</v>
          </cell>
          <cell r="I39">
            <v>17</v>
          </cell>
          <cell r="J39">
            <v>14</v>
          </cell>
          <cell r="K39">
            <v>312</v>
          </cell>
          <cell r="L39">
            <v>8217</v>
          </cell>
          <cell r="M39">
            <v>0</v>
          </cell>
          <cell r="N39">
            <v>208</v>
          </cell>
          <cell r="O39">
            <v>36</v>
          </cell>
          <cell r="P39">
            <v>1438</v>
          </cell>
          <cell r="Q39">
            <v>7633</v>
          </cell>
        </row>
        <row r="40">
          <cell r="A40" t="str">
            <v>NC0043</v>
          </cell>
          <cell r="B40" t="str">
            <v>Madison</v>
          </cell>
          <cell r="C40" t="str">
            <v>Yes</v>
          </cell>
          <cell r="D40">
            <v>496</v>
          </cell>
          <cell r="E40">
            <v>21</v>
          </cell>
          <cell r="F40">
            <v>2129</v>
          </cell>
          <cell r="G40">
            <v>292980</v>
          </cell>
          <cell r="H40">
            <v>10033</v>
          </cell>
          <cell r="I40">
            <v>414</v>
          </cell>
          <cell r="J40">
            <v>13</v>
          </cell>
          <cell r="K40">
            <v>233</v>
          </cell>
          <cell r="L40">
            <v>172400</v>
          </cell>
          <cell r="M40">
            <v>970</v>
          </cell>
          <cell r="N40">
            <v>910</v>
          </cell>
          <cell r="O40">
            <v>34</v>
          </cell>
          <cell r="P40">
            <v>2362</v>
          </cell>
          <cell r="Q40">
            <v>11003</v>
          </cell>
        </row>
        <row r="41">
          <cell r="A41" t="str">
            <v>NC0044</v>
          </cell>
          <cell r="B41" t="str">
            <v>McDowell</v>
          </cell>
          <cell r="C41" t="str">
            <v>Yes</v>
          </cell>
          <cell r="D41">
            <v>440</v>
          </cell>
          <cell r="E41">
            <v>67</v>
          </cell>
          <cell r="F41">
            <v>1677</v>
          </cell>
          <cell r="G41">
            <v>108580</v>
          </cell>
          <cell r="H41">
            <v>11886</v>
          </cell>
          <cell r="I41">
            <v>71</v>
          </cell>
          <cell r="J41">
            <v>20</v>
          </cell>
          <cell r="K41">
            <v>207</v>
          </cell>
          <cell r="L41">
            <v>82080</v>
          </cell>
          <cell r="M41">
            <v>1636</v>
          </cell>
          <cell r="N41">
            <v>511</v>
          </cell>
          <cell r="O41">
            <v>87</v>
          </cell>
          <cell r="P41">
            <v>1884</v>
          </cell>
          <cell r="Q41">
            <v>13522</v>
          </cell>
        </row>
        <row r="42">
          <cell r="A42" t="str">
            <v>NC0045</v>
          </cell>
          <cell r="B42" t="str">
            <v>Mecklenburg</v>
          </cell>
          <cell r="C42" t="str">
            <v>Yes</v>
          </cell>
          <cell r="D42">
            <v>16673</v>
          </cell>
          <cell r="E42">
            <v>4770</v>
          </cell>
          <cell r="F42">
            <v>86558</v>
          </cell>
          <cell r="G42">
            <v>11019225</v>
          </cell>
          <cell r="H42">
            <v>630302</v>
          </cell>
          <cell r="I42">
            <v>5493</v>
          </cell>
          <cell r="J42">
            <v>727</v>
          </cell>
          <cell r="K42">
            <v>8306</v>
          </cell>
          <cell r="L42">
            <v>3446794</v>
          </cell>
          <cell r="M42">
            <v>61261</v>
          </cell>
          <cell r="N42">
            <v>22166</v>
          </cell>
          <cell r="O42">
            <v>5497</v>
          </cell>
          <cell r="P42">
            <v>94864</v>
          </cell>
          <cell r="Q42">
            <v>691563</v>
          </cell>
        </row>
        <row r="43">
          <cell r="A43" t="str">
            <v>NC0046</v>
          </cell>
          <cell r="B43" t="str">
            <v>Nash (Braswell)</v>
          </cell>
          <cell r="C43">
            <v>0</v>
          </cell>
          <cell r="D43">
            <v>1517</v>
          </cell>
          <cell r="E43">
            <v>7</v>
          </cell>
          <cell r="F43">
            <v>1728</v>
          </cell>
          <cell r="G43">
            <v>0</v>
          </cell>
          <cell r="H43">
            <v>25104</v>
          </cell>
          <cell r="I43">
            <v>60</v>
          </cell>
          <cell r="J43">
            <v>11</v>
          </cell>
          <cell r="K43">
            <v>80</v>
          </cell>
          <cell r="L43">
            <v>0</v>
          </cell>
          <cell r="M43">
            <v>2641</v>
          </cell>
          <cell r="N43">
            <v>1577</v>
          </cell>
          <cell r="O43">
            <v>18</v>
          </cell>
          <cell r="P43">
            <v>1808</v>
          </cell>
          <cell r="Q43">
            <v>27745</v>
          </cell>
        </row>
        <row r="44">
          <cell r="A44" t="str">
            <v>NC0047</v>
          </cell>
          <cell r="B44" t="str">
            <v>New Hanover</v>
          </cell>
          <cell r="C44" t="str">
            <v>No</v>
          </cell>
          <cell r="D44">
            <v>2822</v>
          </cell>
          <cell r="E44">
            <v>416</v>
          </cell>
          <cell r="F44">
            <v>14639</v>
          </cell>
          <cell r="G44">
            <v>0</v>
          </cell>
          <cell r="H44">
            <v>112288</v>
          </cell>
          <cell r="I44">
            <v>202</v>
          </cell>
          <cell r="J44">
            <v>37</v>
          </cell>
          <cell r="K44">
            <v>255</v>
          </cell>
          <cell r="L44">
            <v>0</v>
          </cell>
          <cell r="M44">
            <v>10964</v>
          </cell>
          <cell r="N44">
            <v>3024</v>
          </cell>
          <cell r="O44">
            <v>453</v>
          </cell>
          <cell r="P44">
            <v>14894</v>
          </cell>
          <cell r="Q44">
            <v>123252</v>
          </cell>
        </row>
        <row r="45">
          <cell r="A45" t="str">
            <v>NC0048</v>
          </cell>
          <cell r="B45" t="str">
            <v>Onslow</v>
          </cell>
          <cell r="C45" t="str">
            <v>No</v>
          </cell>
          <cell r="D45">
            <v>1606</v>
          </cell>
          <cell r="E45">
            <v>125</v>
          </cell>
          <cell r="F45">
            <v>8735</v>
          </cell>
          <cell r="G45">
            <v>790200</v>
          </cell>
          <cell r="H45">
            <v>61658</v>
          </cell>
          <cell r="I45">
            <v>251</v>
          </cell>
          <cell r="J45">
            <v>24</v>
          </cell>
          <cell r="K45">
            <v>557</v>
          </cell>
          <cell r="L45">
            <v>241200</v>
          </cell>
          <cell r="M45">
            <v>5906</v>
          </cell>
          <cell r="N45">
            <v>1857</v>
          </cell>
          <cell r="O45">
            <v>149</v>
          </cell>
          <cell r="P45">
            <v>9292</v>
          </cell>
          <cell r="Q45">
            <v>67564</v>
          </cell>
        </row>
        <row r="46">
          <cell r="A46" t="str">
            <v>NC0108</v>
          </cell>
          <cell r="B46" t="str">
            <v>Orange</v>
          </cell>
          <cell r="C46" t="str">
            <v>No</v>
          </cell>
          <cell r="D46">
            <v>486</v>
          </cell>
          <cell r="E46">
            <v>96</v>
          </cell>
          <cell r="F46">
            <v>3000</v>
          </cell>
          <cell r="G46">
            <v>368199</v>
          </cell>
          <cell r="H46">
            <v>54141</v>
          </cell>
          <cell r="I46">
            <v>134</v>
          </cell>
          <cell r="J46">
            <v>14</v>
          </cell>
          <cell r="K46">
            <v>182</v>
          </cell>
          <cell r="L46">
            <v>0</v>
          </cell>
          <cell r="M46">
            <v>4986</v>
          </cell>
          <cell r="N46">
            <v>620</v>
          </cell>
          <cell r="O46">
            <v>110</v>
          </cell>
          <cell r="P46">
            <v>3182</v>
          </cell>
          <cell r="Q46">
            <v>59127</v>
          </cell>
        </row>
        <row r="47">
          <cell r="A47" t="str">
            <v>NC0049</v>
          </cell>
          <cell r="B47" t="str">
            <v>Pender</v>
          </cell>
          <cell r="C47" t="str">
            <v>No</v>
          </cell>
          <cell r="D47">
            <v>472</v>
          </cell>
          <cell r="E47">
            <v>137</v>
          </cell>
          <cell r="F47">
            <v>3607</v>
          </cell>
          <cell r="G47">
            <v>101100</v>
          </cell>
          <cell r="H47">
            <v>24305</v>
          </cell>
          <cell r="I47">
            <v>27</v>
          </cell>
          <cell r="J47">
            <v>0</v>
          </cell>
          <cell r="K47">
            <v>0</v>
          </cell>
          <cell r="L47">
            <v>0</v>
          </cell>
          <cell r="M47">
            <v>3210</v>
          </cell>
          <cell r="N47">
            <v>499</v>
          </cell>
          <cell r="O47">
            <v>137</v>
          </cell>
          <cell r="P47">
            <v>3607</v>
          </cell>
          <cell r="Q47">
            <v>27515</v>
          </cell>
        </row>
        <row r="48">
          <cell r="A48" t="str">
            <v>NC0109</v>
          </cell>
          <cell r="B48" t="str">
            <v>Person</v>
          </cell>
          <cell r="C48" t="str">
            <v>Yes</v>
          </cell>
          <cell r="D48">
            <v>217</v>
          </cell>
          <cell r="E48">
            <v>37</v>
          </cell>
          <cell r="F48">
            <v>992</v>
          </cell>
          <cell r="G48">
            <v>420440</v>
          </cell>
          <cell r="H48">
            <v>18645</v>
          </cell>
          <cell r="I48">
            <v>31</v>
          </cell>
          <cell r="J48">
            <v>4</v>
          </cell>
          <cell r="K48">
            <v>11</v>
          </cell>
          <cell r="L48">
            <v>63480</v>
          </cell>
          <cell r="M48">
            <v>864</v>
          </cell>
          <cell r="N48">
            <v>248</v>
          </cell>
          <cell r="O48">
            <v>41</v>
          </cell>
          <cell r="P48">
            <v>1003</v>
          </cell>
          <cell r="Q48">
            <v>19509</v>
          </cell>
        </row>
        <row r="49">
          <cell r="A49" t="str">
            <v>NC0050</v>
          </cell>
          <cell r="B49" t="str">
            <v>Pitt (Sheppard)</v>
          </cell>
          <cell r="C49" t="str">
            <v>Yes</v>
          </cell>
          <cell r="D49">
            <v>977</v>
          </cell>
          <cell r="E49">
            <v>165</v>
          </cell>
          <cell r="F49">
            <v>5372</v>
          </cell>
          <cell r="G49">
            <v>948360</v>
          </cell>
          <cell r="H49">
            <v>67082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5556</v>
          </cell>
          <cell r="N49">
            <v>977</v>
          </cell>
          <cell r="O49">
            <v>165</v>
          </cell>
          <cell r="P49">
            <v>5372</v>
          </cell>
          <cell r="Q49">
            <v>72638</v>
          </cell>
        </row>
        <row r="50">
          <cell r="A50" t="str">
            <v>NC0051</v>
          </cell>
          <cell r="B50" t="str">
            <v>Polk</v>
          </cell>
          <cell r="C50" t="str">
            <v>Yes</v>
          </cell>
          <cell r="D50">
            <v>231</v>
          </cell>
          <cell r="E50">
            <v>30</v>
          </cell>
          <cell r="F50">
            <v>1549</v>
          </cell>
          <cell r="G50">
            <v>0</v>
          </cell>
          <cell r="H50">
            <v>8637</v>
          </cell>
          <cell r="I50">
            <v>53</v>
          </cell>
          <cell r="J50">
            <v>10</v>
          </cell>
          <cell r="K50">
            <v>54</v>
          </cell>
          <cell r="L50">
            <v>0</v>
          </cell>
          <cell r="M50">
            <v>1186</v>
          </cell>
          <cell r="N50">
            <v>284</v>
          </cell>
          <cell r="O50">
            <v>40</v>
          </cell>
          <cell r="P50">
            <v>1603</v>
          </cell>
          <cell r="Q50">
            <v>9823</v>
          </cell>
        </row>
        <row r="51">
          <cell r="A51" t="str">
            <v>NC0052</v>
          </cell>
          <cell r="B51" t="str">
            <v>Randolph</v>
          </cell>
          <cell r="C51" t="str">
            <v>Yes</v>
          </cell>
          <cell r="D51">
            <v>2019</v>
          </cell>
          <cell r="E51">
            <v>203</v>
          </cell>
          <cell r="F51">
            <v>7572</v>
          </cell>
          <cell r="G51">
            <v>963417</v>
          </cell>
          <cell r="H51">
            <v>54167</v>
          </cell>
          <cell r="I51">
            <v>185</v>
          </cell>
          <cell r="J51">
            <v>30</v>
          </cell>
          <cell r="K51">
            <v>265</v>
          </cell>
          <cell r="L51">
            <v>36346</v>
          </cell>
          <cell r="M51">
            <v>6544</v>
          </cell>
          <cell r="N51">
            <v>2204</v>
          </cell>
          <cell r="O51">
            <v>233</v>
          </cell>
          <cell r="P51">
            <v>7837</v>
          </cell>
          <cell r="Q51">
            <v>60711</v>
          </cell>
        </row>
        <row r="52">
          <cell r="A52" t="str">
            <v>NC0053</v>
          </cell>
          <cell r="B52" t="str">
            <v>Robeson</v>
          </cell>
          <cell r="C52" t="str">
            <v>Yes</v>
          </cell>
          <cell r="D52">
            <v>246</v>
          </cell>
          <cell r="E52">
            <v>75</v>
          </cell>
          <cell r="F52">
            <v>1049</v>
          </cell>
          <cell r="G52">
            <v>58000</v>
          </cell>
          <cell r="H52">
            <v>15319</v>
          </cell>
          <cell r="I52">
            <v>89</v>
          </cell>
          <cell r="J52">
            <v>0</v>
          </cell>
          <cell r="K52">
            <v>0</v>
          </cell>
          <cell r="L52">
            <v>8000</v>
          </cell>
          <cell r="M52">
            <v>1546</v>
          </cell>
          <cell r="N52">
            <v>335</v>
          </cell>
          <cell r="O52">
            <v>75</v>
          </cell>
          <cell r="P52">
            <v>1049</v>
          </cell>
          <cell r="Q52">
            <v>16865</v>
          </cell>
        </row>
        <row r="53">
          <cell r="A53" t="str">
            <v>NC0054</v>
          </cell>
          <cell r="B53" t="str">
            <v>Rockingham</v>
          </cell>
          <cell r="C53" t="str">
            <v>No</v>
          </cell>
          <cell r="D53">
            <v>768</v>
          </cell>
          <cell r="E53">
            <v>106</v>
          </cell>
          <cell r="F53">
            <v>2706</v>
          </cell>
          <cell r="G53">
            <v>76196</v>
          </cell>
          <cell r="H53">
            <v>22126</v>
          </cell>
          <cell r="I53">
            <v>0</v>
          </cell>
          <cell r="J53">
            <v>18</v>
          </cell>
          <cell r="K53">
            <v>106</v>
          </cell>
          <cell r="L53">
            <v>13186</v>
          </cell>
          <cell r="M53">
            <v>3849</v>
          </cell>
          <cell r="N53">
            <v>768</v>
          </cell>
          <cell r="O53">
            <v>124</v>
          </cell>
          <cell r="P53">
            <v>2812</v>
          </cell>
          <cell r="Q53">
            <v>25975</v>
          </cell>
        </row>
        <row r="54">
          <cell r="A54" t="str">
            <v>NC0055</v>
          </cell>
          <cell r="B54" t="str">
            <v>Rowan</v>
          </cell>
          <cell r="C54" t="str">
            <v>Yes</v>
          </cell>
          <cell r="D54">
            <v>2313</v>
          </cell>
          <cell r="E54">
            <v>110</v>
          </cell>
          <cell r="F54">
            <v>8265</v>
          </cell>
          <cell r="G54">
            <v>803640</v>
          </cell>
          <cell r="H54">
            <v>50207</v>
          </cell>
          <cell r="I54">
            <v>329</v>
          </cell>
          <cell r="J54">
            <v>22</v>
          </cell>
          <cell r="K54">
            <v>489</v>
          </cell>
          <cell r="L54">
            <v>590160</v>
          </cell>
          <cell r="M54">
            <v>7415</v>
          </cell>
          <cell r="N54">
            <v>2642</v>
          </cell>
          <cell r="O54">
            <v>132</v>
          </cell>
          <cell r="P54">
            <v>8754</v>
          </cell>
          <cell r="Q54">
            <v>57622</v>
          </cell>
        </row>
        <row r="55">
          <cell r="A55" t="str">
            <v>NC0056</v>
          </cell>
          <cell r="B55" t="str">
            <v>Rutherford</v>
          </cell>
          <cell r="C55" t="str">
            <v>Yes</v>
          </cell>
          <cell r="D55">
            <v>220</v>
          </cell>
          <cell r="E55">
            <v>15</v>
          </cell>
          <cell r="F55">
            <v>587</v>
          </cell>
          <cell r="G55">
            <v>95000</v>
          </cell>
          <cell r="H55">
            <v>10482</v>
          </cell>
          <cell r="I55">
            <v>30</v>
          </cell>
          <cell r="J55">
            <v>12</v>
          </cell>
          <cell r="K55">
            <v>61</v>
          </cell>
          <cell r="L55">
            <v>30000</v>
          </cell>
          <cell r="M55">
            <v>1437</v>
          </cell>
          <cell r="N55">
            <v>250</v>
          </cell>
          <cell r="O55">
            <v>27</v>
          </cell>
          <cell r="P55">
            <v>648</v>
          </cell>
          <cell r="Q55">
            <v>11919</v>
          </cell>
        </row>
        <row r="56">
          <cell r="A56" t="str">
            <v>NC0057</v>
          </cell>
          <cell r="B56" t="str">
            <v>Sampson</v>
          </cell>
          <cell r="C56" t="str">
            <v>No</v>
          </cell>
          <cell r="D56">
            <v>303</v>
          </cell>
          <cell r="E56">
            <v>21</v>
          </cell>
          <cell r="F56">
            <v>657</v>
          </cell>
          <cell r="G56">
            <v>0</v>
          </cell>
          <cell r="H56">
            <v>25033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1112</v>
          </cell>
          <cell r="N56">
            <v>303</v>
          </cell>
          <cell r="O56">
            <v>21</v>
          </cell>
          <cell r="P56">
            <v>657</v>
          </cell>
          <cell r="Q56">
            <v>26145</v>
          </cell>
        </row>
        <row r="57">
          <cell r="A57" t="str">
            <v>NC0058</v>
          </cell>
          <cell r="B57" t="str">
            <v>Scotland</v>
          </cell>
          <cell r="C57">
            <v>0</v>
          </cell>
          <cell r="D57">
            <v>131</v>
          </cell>
          <cell r="E57">
            <v>22</v>
          </cell>
          <cell r="F57">
            <v>1760</v>
          </cell>
          <cell r="G57">
            <v>17640</v>
          </cell>
          <cell r="H57">
            <v>4599</v>
          </cell>
          <cell r="I57">
            <v>25</v>
          </cell>
          <cell r="J57">
            <v>22</v>
          </cell>
          <cell r="K57">
            <v>378</v>
          </cell>
          <cell r="L57">
            <v>3360</v>
          </cell>
          <cell r="M57">
            <v>909</v>
          </cell>
          <cell r="N57">
            <v>156</v>
          </cell>
          <cell r="O57">
            <v>44</v>
          </cell>
          <cell r="P57">
            <v>2138</v>
          </cell>
          <cell r="Q57">
            <v>5508</v>
          </cell>
        </row>
        <row r="58">
          <cell r="A58" t="str">
            <v>NC0059</v>
          </cell>
          <cell r="B58" t="str">
            <v>Stanly</v>
          </cell>
          <cell r="C58" t="str">
            <v>Yes</v>
          </cell>
          <cell r="D58">
            <v>346</v>
          </cell>
          <cell r="E58">
            <v>100</v>
          </cell>
          <cell r="F58">
            <v>3246</v>
          </cell>
          <cell r="G58">
            <v>0</v>
          </cell>
          <cell r="H58">
            <v>19628</v>
          </cell>
          <cell r="I58">
            <v>63</v>
          </cell>
          <cell r="J58">
            <v>9</v>
          </cell>
          <cell r="K58">
            <v>394</v>
          </cell>
          <cell r="L58">
            <v>0</v>
          </cell>
          <cell r="M58">
            <v>0</v>
          </cell>
          <cell r="N58">
            <v>409</v>
          </cell>
          <cell r="O58">
            <v>109</v>
          </cell>
          <cell r="P58">
            <v>3640</v>
          </cell>
          <cell r="Q58">
            <v>19628</v>
          </cell>
        </row>
        <row r="59">
          <cell r="A59" t="str">
            <v>NC0060</v>
          </cell>
          <cell r="B59" t="str">
            <v>Transylvania</v>
          </cell>
          <cell r="C59" t="str">
            <v>Yes</v>
          </cell>
          <cell r="D59">
            <v>656</v>
          </cell>
          <cell r="E59">
            <v>91</v>
          </cell>
          <cell r="F59">
            <v>4453</v>
          </cell>
          <cell r="G59">
            <v>368920</v>
          </cell>
          <cell r="H59">
            <v>24047</v>
          </cell>
          <cell r="I59">
            <v>69</v>
          </cell>
          <cell r="J59">
            <v>25</v>
          </cell>
          <cell r="K59">
            <v>189</v>
          </cell>
          <cell r="L59">
            <v>39620</v>
          </cell>
          <cell r="M59">
            <v>3995</v>
          </cell>
          <cell r="N59">
            <v>725</v>
          </cell>
          <cell r="O59">
            <v>116</v>
          </cell>
          <cell r="P59">
            <v>4642</v>
          </cell>
          <cell r="Q59">
            <v>28042</v>
          </cell>
        </row>
        <row r="60">
          <cell r="A60" t="str">
            <v>NC0061</v>
          </cell>
          <cell r="B60" t="str">
            <v>Union</v>
          </cell>
          <cell r="C60" t="str">
            <v>Yes</v>
          </cell>
          <cell r="D60">
            <v>1948</v>
          </cell>
          <cell r="E60">
            <v>260</v>
          </cell>
          <cell r="F60">
            <v>7912</v>
          </cell>
          <cell r="G60">
            <v>493471</v>
          </cell>
          <cell r="H60">
            <v>92260</v>
          </cell>
          <cell r="I60">
            <v>217</v>
          </cell>
          <cell r="J60">
            <v>30</v>
          </cell>
          <cell r="K60">
            <v>199</v>
          </cell>
          <cell r="L60">
            <v>203441</v>
          </cell>
          <cell r="M60">
            <v>10931</v>
          </cell>
          <cell r="N60">
            <v>2165</v>
          </cell>
          <cell r="O60">
            <v>290</v>
          </cell>
          <cell r="P60">
            <v>8111</v>
          </cell>
          <cell r="Q60">
            <v>103191</v>
          </cell>
        </row>
        <row r="61">
          <cell r="A61" t="str">
            <v>NC0062</v>
          </cell>
          <cell r="B61" t="str">
            <v>Vance (Perry)</v>
          </cell>
          <cell r="C61" t="str">
            <v>No</v>
          </cell>
          <cell r="D61">
            <v>412</v>
          </cell>
          <cell r="E61">
            <v>31</v>
          </cell>
          <cell r="F61">
            <v>679</v>
          </cell>
          <cell r="G61">
            <v>0</v>
          </cell>
          <cell r="H61">
            <v>8099</v>
          </cell>
          <cell r="I61">
            <v>91</v>
          </cell>
          <cell r="J61">
            <v>11</v>
          </cell>
          <cell r="K61">
            <v>486</v>
          </cell>
          <cell r="L61">
            <v>0</v>
          </cell>
          <cell r="M61">
            <v>1205</v>
          </cell>
          <cell r="N61">
            <v>503</v>
          </cell>
          <cell r="O61">
            <v>42</v>
          </cell>
          <cell r="P61">
            <v>1165</v>
          </cell>
          <cell r="Q61">
            <v>9304</v>
          </cell>
        </row>
        <row r="62">
          <cell r="A62" t="str">
            <v>NC0063</v>
          </cell>
          <cell r="B62" t="str">
            <v>Wake</v>
          </cell>
          <cell r="C62" t="str">
            <v>No</v>
          </cell>
          <cell r="D62">
            <v>29123</v>
          </cell>
          <cell r="E62">
            <v>2111</v>
          </cell>
          <cell r="F62">
            <v>97716</v>
          </cell>
          <cell r="G62">
            <v>0</v>
          </cell>
          <cell r="H62">
            <v>1639097</v>
          </cell>
          <cell r="I62">
            <v>6009</v>
          </cell>
          <cell r="J62">
            <v>69</v>
          </cell>
          <cell r="K62">
            <v>1335</v>
          </cell>
          <cell r="L62">
            <v>0</v>
          </cell>
          <cell r="M62">
            <v>134622</v>
          </cell>
          <cell r="N62">
            <v>35132</v>
          </cell>
          <cell r="O62">
            <v>2180</v>
          </cell>
          <cell r="P62">
            <v>99051</v>
          </cell>
          <cell r="Q62">
            <v>1773719</v>
          </cell>
        </row>
        <row r="63">
          <cell r="A63" t="str">
            <v>NC0101</v>
          </cell>
          <cell r="B63" t="str">
            <v>Warren</v>
          </cell>
          <cell r="C63" t="str">
            <v>Yes</v>
          </cell>
          <cell r="D63">
            <v>252</v>
          </cell>
          <cell r="E63">
            <v>17</v>
          </cell>
          <cell r="F63">
            <v>597</v>
          </cell>
          <cell r="G63">
            <v>0</v>
          </cell>
          <cell r="H63">
            <v>3924</v>
          </cell>
          <cell r="I63">
            <v>53</v>
          </cell>
          <cell r="J63">
            <v>8</v>
          </cell>
          <cell r="K63">
            <v>157</v>
          </cell>
          <cell r="L63">
            <v>0</v>
          </cell>
          <cell r="M63">
            <v>0</v>
          </cell>
          <cell r="N63">
            <v>305</v>
          </cell>
          <cell r="O63">
            <v>25</v>
          </cell>
          <cell r="P63">
            <v>754</v>
          </cell>
          <cell r="Q63">
            <v>3924</v>
          </cell>
        </row>
        <row r="64">
          <cell r="A64" t="str">
            <v>NC0065</v>
          </cell>
          <cell r="B64" t="str">
            <v>Wayne</v>
          </cell>
          <cell r="C64" t="str">
            <v>Yes</v>
          </cell>
          <cell r="D64">
            <v>798</v>
          </cell>
          <cell r="E64">
            <v>79</v>
          </cell>
          <cell r="F64">
            <v>3146</v>
          </cell>
          <cell r="G64">
            <v>177220</v>
          </cell>
          <cell r="H64">
            <v>25327</v>
          </cell>
          <cell r="I64">
            <v>60</v>
          </cell>
          <cell r="J64">
            <v>22</v>
          </cell>
          <cell r="K64">
            <v>503</v>
          </cell>
          <cell r="L64">
            <v>0</v>
          </cell>
          <cell r="M64">
            <v>3184</v>
          </cell>
          <cell r="N64">
            <v>858</v>
          </cell>
          <cell r="O64">
            <v>101</v>
          </cell>
          <cell r="P64">
            <v>3649</v>
          </cell>
          <cell r="Q64">
            <v>28511</v>
          </cell>
        </row>
        <row r="65">
          <cell r="A65" t="str">
            <v>NC0066</v>
          </cell>
          <cell r="B65" t="str">
            <v>Wilson</v>
          </cell>
          <cell r="C65" t="str">
            <v>Yes</v>
          </cell>
          <cell r="D65">
            <v>642</v>
          </cell>
          <cell r="E65">
            <v>122</v>
          </cell>
          <cell r="F65">
            <v>3420</v>
          </cell>
          <cell r="G65">
            <v>0</v>
          </cell>
          <cell r="H65">
            <v>28418</v>
          </cell>
          <cell r="I65">
            <v>37</v>
          </cell>
          <cell r="J65">
            <v>18</v>
          </cell>
          <cell r="K65">
            <v>112</v>
          </cell>
          <cell r="L65">
            <v>0</v>
          </cell>
          <cell r="M65">
            <v>0</v>
          </cell>
          <cell r="N65">
            <v>679</v>
          </cell>
          <cell r="O65">
            <v>140</v>
          </cell>
          <cell r="P65">
            <v>3532</v>
          </cell>
          <cell r="Q65">
            <v>28418</v>
          </cell>
        </row>
        <row r="66">
          <cell r="A66" t="str">
            <v>Totals</v>
          </cell>
          <cell r="D66">
            <v>104712</v>
          </cell>
          <cell r="E66">
            <v>14993</v>
          </cell>
          <cell r="F66">
            <v>478053</v>
          </cell>
          <cell r="G66">
            <v>46062989</v>
          </cell>
          <cell r="H66">
            <v>4673407</v>
          </cell>
          <cell r="I66">
            <v>21354</v>
          </cell>
          <cell r="J66">
            <v>2555</v>
          </cell>
          <cell r="K66">
            <v>33768</v>
          </cell>
          <cell r="L66">
            <v>10472372</v>
          </cell>
          <cell r="M66">
            <v>453468</v>
          </cell>
          <cell r="N66">
            <v>126066</v>
          </cell>
          <cell r="O66">
            <v>17548</v>
          </cell>
          <cell r="P66">
            <v>511821</v>
          </cell>
          <cell r="Q66">
            <v>5126875</v>
          </cell>
        </row>
        <row r="67">
          <cell r="A67" t="str">
            <v>Regional Libraries</v>
          </cell>
        </row>
        <row r="68">
          <cell r="A68" t="str">
            <v>NC0001</v>
          </cell>
          <cell r="B68" t="str">
            <v>Albemarle</v>
          </cell>
          <cell r="C68" t="str">
            <v>Yes</v>
          </cell>
          <cell r="D68">
            <v>851</v>
          </cell>
          <cell r="E68">
            <v>90</v>
          </cell>
          <cell r="F68">
            <v>2196</v>
          </cell>
          <cell r="G68">
            <v>0</v>
          </cell>
          <cell r="H68">
            <v>7018</v>
          </cell>
          <cell r="I68">
            <v>10</v>
          </cell>
          <cell r="J68">
            <v>0</v>
          </cell>
          <cell r="K68">
            <v>65</v>
          </cell>
          <cell r="L68">
            <v>0</v>
          </cell>
          <cell r="M68">
            <v>1002</v>
          </cell>
          <cell r="N68">
            <v>861</v>
          </cell>
          <cell r="O68">
            <v>90</v>
          </cell>
          <cell r="P68">
            <v>2261</v>
          </cell>
          <cell r="Q68">
            <v>8020</v>
          </cell>
        </row>
        <row r="69">
          <cell r="A69" t="str">
            <v>NC0003</v>
          </cell>
          <cell r="B69" t="str">
            <v>AMY</v>
          </cell>
          <cell r="C69" t="str">
            <v>Yes</v>
          </cell>
          <cell r="D69">
            <v>0</v>
          </cell>
          <cell r="E69">
            <v>22</v>
          </cell>
          <cell r="F69">
            <v>516</v>
          </cell>
          <cell r="G69">
            <v>0</v>
          </cell>
          <cell r="H69">
            <v>9183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22</v>
          </cell>
          <cell r="P69">
            <v>516</v>
          </cell>
          <cell r="Q69">
            <v>9183</v>
          </cell>
        </row>
        <row r="70">
          <cell r="A70" t="str">
            <v>NC0002</v>
          </cell>
          <cell r="B70" t="str">
            <v>Appalachian</v>
          </cell>
          <cell r="C70" t="str">
            <v>Yes</v>
          </cell>
          <cell r="D70">
            <v>1625</v>
          </cell>
          <cell r="E70">
            <v>448</v>
          </cell>
          <cell r="F70">
            <v>12515</v>
          </cell>
          <cell r="G70">
            <v>473580</v>
          </cell>
          <cell r="H70">
            <v>72630</v>
          </cell>
          <cell r="I70">
            <v>289</v>
          </cell>
          <cell r="J70">
            <v>37</v>
          </cell>
          <cell r="K70">
            <v>394</v>
          </cell>
          <cell r="L70">
            <v>340810</v>
          </cell>
          <cell r="M70">
            <v>7973</v>
          </cell>
          <cell r="N70">
            <v>1914</v>
          </cell>
          <cell r="O70">
            <v>485</v>
          </cell>
          <cell r="P70">
            <v>12909</v>
          </cell>
          <cell r="Q70">
            <v>80603</v>
          </cell>
        </row>
        <row r="71">
          <cell r="A71" t="str">
            <v>NC0004</v>
          </cell>
          <cell r="B71" t="str">
            <v>BHM</v>
          </cell>
          <cell r="C71" t="str">
            <v>Yes</v>
          </cell>
          <cell r="D71">
            <v>463</v>
          </cell>
          <cell r="E71">
            <v>111</v>
          </cell>
          <cell r="F71">
            <v>2357</v>
          </cell>
          <cell r="G71">
            <v>222547</v>
          </cell>
          <cell r="H71">
            <v>6859</v>
          </cell>
          <cell r="I71">
            <v>30</v>
          </cell>
          <cell r="J71">
            <v>7</v>
          </cell>
          <cell r="K71">
            <v>25</v>
          </cell>
          <cell r="L71">
            <v>20820</v>
          </cell>
          <cell r="M71">
            <v>592</v>
          </cell>
          <cell r="N71">
            <v>493</v>
          </cell>
          <cell r="O71">
            <v>118</v>
          </cell>
          <cell r="P71">
            <v>2382</v>
          </cell>
          <cell r="Q71">
            <v>7451</v>
          </cell>
        </row>
        <row r="72">
          <cell r="A72" t="str">
            <v>NC0006</v>
          </cell>
          <cell r="B72" t="str">
            <v>CPC</v>
          </cell>
          <cell r="C72" t="str">
            <v>Yes</v>
          </cell>
          <cell r="D72">
            <v>2364</v>
          </cell>
          <cell r="E72">
            <v>247</v>
          </cell>
          <cell r="F72">
            <v>8647</v>
          </cell>
          <cell r="G72">
            <v>1352995</v>
          </cell>
          <cell r="H72">
            <v>63910</v>
          </cell>
          <cell r="I72">
            <v>240</v>
          </cell>
          <cell r="J72">
            <v>81</v>
          </cell>
          <cell r="K72">
            <v>612</v>
          </cell>
          <cell r="L72">
            <v>272588</v>
          </cell>
          <cell r="M72">
            <v>7523</v>
          </cell>
          <cell r="N72">
            <v>2604</v>
          </cell>
          <cell r="O72">
            <v>328</v>
          </cell>
          <cell r="P72">
            <v>9259</v>
          </cell>
          <cell r="Q72">
            <v>71433</v>
          </cell>
        </row>
        <row r="73">
          <cell r="A73" t="str">
            <v>NC0007</v>
          </cell>
          <cell r="B73" t="str">
            <v>E. Albemarle</v>
          </cell>
          <cell r="C73" t="str">
            <v>Yes</v>
          </cell>
          <cell r="D73">
            <v>726</v>
          </cell>
          <cell r="E73">
            <v>112</v>
          </cell>
          <cell r="F73">
            <v>4385</v>
          </cell>
          <cell r="G73">
            <v>115201</v>
          </cell>
          <cell r="H73">
            <v>44642</v>
          </cell>
          <cell r="I73">
            <v>87</v>
          </cell>
          <cell r="J73">
            <v>12</v>
          </cell>
          <cell r="K73">
            <v>194</v>
          </cell>
          <cell r="L73">
            <v>10140</v>
          </cell>
          <cell r="M73">
            <v>3255</v>
          </cell>
          <cell r="N73">
            <v>813</v>
          </cell>
          <cell r="O73">
            <v>124</v>
          </cell>
          <cell r="P73">
            <v>4579</v>
          </cell>
          <cell r="Q73">
            <v>47897</v>
          </cell>
        </row>
        <row r="74">
          <cell r="A74" t="str">
            <v>NC0008</v>
          </cell>
          <cell r="B74" t="str">
            <v>Fontana</v>
          </cell>
          <cell r="C74" t="str">
            <v>Yes</v>
          </cell>
          <cell r="D74">
            <v>1871</v>
          </cell>
          <cell r="E74">
            <v>341</v>
          </cell>
          <cell r="F74">
            <v>11241</v>
          </cell>
          <cell r="G74">
            <v>911405</v>
          </cell>
          <cell r="H74">
            <v>34416</v>
          </cell>
          <cell r="I74">
            <v>155</v>
          </cell>
          <cell r="J74">
            <v>38</v>
          </cell>
          <cell r="K74">
            <v>1289</v>
          </cell>
          <cell r="L74">
            <v>281132</v>
          </cell>
          <cell r="M74">
            <v>3254</v>
          </cell>
          <cell r="N74">
            <v>2026</v>
          </cell>
          <cell r="O74">
            <v>379</v>
          </cell>
          <cell r="P74">
            <v>12530</v>
          </cell>
          <cell r="Q74">
            <v>37670</v>
          </cell>
        </row>
        <row r="75">
          <cell r="A75" t="str">
            <v>NC0011</v>
          </cell>
          <cell r="B75" t="str">
            <v>Nantahala</v>
          </cell>
          <cell r="C75" t="str">
            <v>Yes</v>
          </cell>
          <cell r="D75">
            <v>257</v>
          </cell>
          <cell r="E75">
            <v>86</v>
          </cell>
          <cell r="F75">
            <v>2424</v>
          </cell>
          <cell r="G75">
            <v>349520</v>
          </cell>
          <cell r="H75">
            <v>12599</v>
          </cell>
          <cell r="I75">
            <v>52</v>
          </cell>
          <cell r="J75">
            <v>9</v>
          </cell>
          <cell r="K75">
            <v>69</v>
          </cell>
          <cell r="L75">
            <v>136320</v>
          </cell>
          <cell r="M75">
            <v>1753</v>
          </cell>
          <cell r="N75">
            <v>309</v>
          </cell>
          <cell r="O75">
            <v>95</v>
          </cell>
          <cell r="P75">
            <v>2493</v>
          </cell>
          <cell r="Q75">
            <v>14352</v>
          </cell>
        </row>
        <row r="76">
          <cell r="A76" t="str">
            <v>NC0012</v>
          </cell>
          <cell r="B76" t="str">
            <v>Neuse</v>
          </cell>
          <cell r="C76" t="str">
            <v>Yes</v>
          </cell>
          <cell r="D76">
            <v>661</v>
          </cell>
          <cell r="E76">
            <v>125</v>
          </cell>
          <cell r="F76">
            <v>2849</v>
          </cell>
          <cell r="G76">
            <v>247650</v>
          </cell>
          <cell r="H76">
            <v>13192</v>
          </cell>
          <cell r="I76">
            <v>10</v>
          </cell>
          <cell r="J76">
            <v>6</v>
          </cell>
          <cell r="K76">
            <v>93</v>
          </cell>
          <cell r="L76">
            <v>115000</v>
          </cell>
          <cell r="M76">
            <v>2894</v>
          </cell>
          <cell r="N76">
            <v>671</v>
          </cell>
          <cell r="O76">
            <v>131</v>
          </cell>
          <cell r="P76">
            <v>2942</v>
          </cell>
          <cell r="Q76">
            <v>16086</v>
          </cell>
        </row>
        <row r="77">
          <cell r="A77" t="str">
            <v>NC0013</v>
          </cell>
          <cell r="B77" t="str">
            <v>Northwestern</v>
          </cell>
          <cell r="C77" t="str">
            <v>Yes</v>
          </cell>
          <cell r="D77">
            <v>2987</v>
          </cell>
          <cell r="E77">
            <v>346</v>
          </cell>
          <cell r="F77">
            <v>13282</v>
          </cell>
          <cell r="G77">
            <v>420864</v>
          </cell>
          <cell r="H77">
            <v>50523</v>
          </cell>
          <cell r="I77">
            <v>355</v>
          </cell>
          <cell r="J77">
            <v>99</v>
          </cell>
          <cell r="K77">
            <v>1413</v>
          </cell>
          <cell r="L77">
            <v>193474</v>
          </cell>
          <cell r="M77">
            <v>4365</v>
          </cell>
          <cell r="N77">
            <v>3342</v>
          </cell>
          <cell r="O77">
            <v>445</v>
          </cell>
          <cell r="P77">
            <v>14695</v>
          </cell>
          <cell r="Q77">
            <v>54888</v>
          </cell>
        </row>
        <row r="78">
          <cell r="A78" t="str">
            <v>NC0014</v>
          </cell>
          <cell r="B78" t="str">
            <v>Pettigrew</v>
          </cell>
          <cell r="C78" t="str">
            <v>Yes</v>
          </cell>
          <cell r="D78">
            <v>251</v>
          </cell>
          <cell r="E78">
            <v>74</v>
          </cell>
          <cell r="F78">
            <v>1981</v>
          </cell>
          <cell r="G78">
            <v>2207</v>
          </cell>
          <cell r="H78">
            <v>6551</v>
          </cell>
          <cell r="I78">
            <v>47</v>
          </cell>
          <cell r="J78">
            <v>39</v>
          </cell>
          <cell r="K78">
            <v>479</v>
          </cell>
          <cell r="L78">
            <v>12655</v>
          </cell>
          <cell r="M78">
            <v>234</v>
          </cell>
          <cell r="N78">
            <v>298</v>
          </cell>
          <cell r="O78">
            <v>113</v>
          </cell>
          <cell r="P78">
            <v>2460</v>
          </cell>
          <cell r="Q78">
            <v>6785</v>
          </cell>
        </row>
        <row r="79">
          <cell r="A79" t="str">
            <v>NC0015</v>
          </cell>
          <cell r="B79" t="str">
            <v>Sandhill</v>
          </cell>
          <cell r="C79" t="str">
            <v>Yes</v>
          </cell>
          <cell r="D79">
            <v>1158</v>
          </cell>
          <cell r="E79">
            <v>125</v>
          </cell>
          <cell r="F79">
            <v>16024</v>
          </cell>
          <cell r="G79">
            <v>455667</v>
          </cell>
          <cell r="H79">
            <v>40371</v>
          </cell>
          <cell r="I79">
            <v>215</v>
          </cell>
          <cell r="J79">
            <v>26</v>
          </cell>
          <cell r="K79">
            <v>301</v>
          </cell>
          <cell r="L79">
            <v>77984</v>
          </cell>
          <cell r="M79">
            <v>5547</v>
          </cell>
          <cell r="N79">
            <v>1373</v>
          </cell>
          <cell r="O79">
            <v>151</v>
          </cell>
          <cell r="P79">
            <v>16325</v>
          </cell>
          <cell r="Q79">
            <v>45918</v>
          </cell>
        </row>
        <row r="80">
          <cell r="A80" t="str">
            <v>Totals</v>
          </cell>
          <cell r="D80">
            <v>13214</v>
          </cell>
          <cell r="E80">
            <v>2127</v>
          </cell>
          <cell r="F80">
            <v>78417</v>
          </cell>
          <cell r="G80">
            <v>4551636</v>
          </cell>
          <cell r="H80">
            <v>361894</v>
          </cell>
          <cell r="I80">
            <v>1490</v>
          </cell>
          <cell r="J80">
            <v>354</v>
          </cell>
          <cell r="K80">
            <v>4934</v>
          </cell>
          <cell r="L80">
            <v>1460923</v>
          </cell>
          <cell r="M80">
            <v>38392</v>
          </cell>
          <cell r="N80">
            <v>14704</v>
          </cell>
          <cell r="O80">
            <v>2481</v>
          </cell>
          <cell r="P80">
            <v>83351</v>
          </cell>
          <cell r="Q80">
            <v>400286</v>
          </cell>
        </row>
        <row r="81">
          <cell r="B81" t="str">
            <v>Municipal Libraries</v>
          </cell>
        </row>
        <row r="82">
          <cell r="A82" t="str">
            <v>NC0071</v>
          </cell>
          <cell r="B82" t="str">
            <v>Chapel Hill</v>
          </cell>
          <cell r="C82" t="str">
            <v>Yes</v>
          </cell>
          <cell r="D82">
            <v>2445</v>
          </cell>
          <cell r="E82">
            <v>162</v>
          </cell>
          <cell r="F82">
            <v>10108</v>
          </cell>
          <cell r="G82">
            <v>1843646</v>
          </cell>
          <cell r="H82">
            <v>179281</v>
          </cell>
          <cell r="I82">
            <v>549</v>
          </cell>
          <cell r="J82">
            <v>36</v>
          </cell>
          <cell r="K82">
            <v>216</v>
          </cell>
          <cell r="L82">
            <v>413972</v>
          </cell>
          <cell r="M82">
            <v>13710</v>
          </cell>
          <cell r="N82">
            <v>2994</v>
          </cell>
          <cell r="O82">
            <v>198</v>
          </cell>
          <cell r="P82">
            <v>10324</v>
          </cell>
          <cell r="Q82">
            <v>192991</v>
          </cell>
        </row>
        <row r="83">
          <cell r="A83" t="str">
            <v>NC0110</v>
          </cell>
          <cell r="B83" t="str">
            <v>Clayton</v>
          </cell>
          <cell r="C83" t="str">
            <v>Yes</v>
          </cell>
          <cell r="D83">
            <v>0</v>
          </cell>
          <cell r="E83">
            <v>25</v>
          </cell>
          <cell r="F83">
            <v>918</v>
          </cell>
          <cell r="G83">
            <v>24000</v>
          </cell>
          <cell r="H83">
            <v>33768</v>
          </cell>
          <cell r="I83">
            <v>0</v>
          </cell>
          <cell r="J83">
            <v>11</v>
          </cell>
          <cell r="K83">
            <v>375</v>
          </cell>
          <cell r="L83">
            <v>0</v>
          </cell>
          <cell r="M83">
            <v>2609</v>
          </cell>
          <cell r="N83">
            <v>0</v>
          </cell>
          <cell r="O83">
            <v>36</v>
          </cell>
          <cell r="P83">
            <v>1293</v>
          </cell>
          <cell r="Q83">
            <v>36377</v>
          </cell>
        </row>
        <row r="84">
          <cell r="A84" t="str">
            <v>NC0075</v>
          </cell>
          <cell r="B84" t="str">
            <v>Farmville</v>
          </cell>
          <cell r="C84" t="str">
            <v>Yes</v>
          </cell>
          <cell r="D84">
            <v>94</v>
          </cell>
          <cell r="E84">
            <v>55</v>
          </cell>
          <cell r="F84">
            <v>783</v>
          </cell>
          <cell r="G84">
            <v>0</v>
          </cell>
          <cell r="H84">
            <v>1822</v>
          </cell>
          <cell r="I84">
            <v>8</v>
          </cell>
          <cell r="J84">
            <v>5</v>
          </cell>
          <cell r="K84">
            <v>25</v>
          </cell>
          <cell r="L84">
            <v>0</v>
          </cell>
          <cell r="M84">
            <v>332</v>
          </cell>
          <cell r="N84">
            <v>102</v>
          </cell>
          <cell r="O84">
            <v>60</v>
          </cell>
          <cell r="P84">
            <v>808</v>
          </cell>
          <cell r="Q84">
            <v>2154</v>
          </cell>
        </row>
      </sheetData>
      <sheetData sheetId="15">
        <row r="4">
          <cell r="A4" t="str">
            <v>NC0103</v>
          </cell>
          <cell r="B4">
            <v>0</v>
          </cell>
          <cell r="C4">
            <v>1375</v>
          </cell>
          <cell r="D4">
            <v>2017</v>
          </cell>
          <cell r="E4">
            <v>0</v>
          </cell>
          <cell r="F4" t="str">
            <v>NC0103</v>
          </cell>
          <cell r="G4" t="str">
            <v>C-ALAMANCE</v>
          </cell>
          <cell r="H4" t="str">
            <v>NO</v>
          </cell>
          <cell r="I4" t="str">
            <v>CO</v>
          </cell>
          <cell r="J4" t="str">
            <v>MO</v>
          </cell>
          <cell r="K4" t="str">
            <v>Y</v>
          </cell>
          <cell r="L4" t="str">
            <v>CO1</v>
          </cell>
          <cell r="M4" t="str">
            <v>N</v>
          </cell>
          <cell r="N4">
            <v>157522</v>
          </cell>
          <cell r="O4" t="str">
            <v>Yes</v>
          </cell>
          <cell r="P4">
            <v>1580</v>
          </cell>
          <cell r="Q4">
            <v>228</v>
          </cell>
          <cell r="R4">
            <v>185</v>
          </cell>
          <cell r="S4">
            <v>19</v>
          </cell>
          <cell r="T4">
            <v>5327</v>
          </cell>
          <cell r="U4">
            <v>173</v>
          </cell>
          <cell r="V4">
            <v>53695</v>
          </cell>
          <cell r="W4">
            <v>6594</v>
          </cell>
          <cell r="X4">
            <v>187121</v>
          </cell>
          <cell r="Y4">
            <v>31530</v>
          </cell>
          <cell r="Z4" t="str">
            <v>342 S SPRING ST</v>
          </cell>
          <cell r="AA4" t="str">
            <v>BURLINGTON</v>
          </cell>
          <cell r="AB4">
            <v>27215</v>
          </cell>
          <cell r="AC4">
            <v>5863</v>
          </cell>
          <cell r="AD4" t="str">
            <v>342 S SPRING ST</v>
          </cell>
          <cell r="AE4" t="str">
            <v>BURLINGTON</v>
          </cell>
          <cell r="AF4">
            <v>27215</v>
          </cell>
          <cell r="AG4">
            <v>2</v>
          </cell>
          <cell r="AH4" t="str">
            <v>ALAMANCE COUNTY PUBLIC LIBRARIES</v>
          </cell>
          <cell r="AJ4" t="str">
            <v>County</v>
          </cell>
          <cell r="AK4" t="str">
            <v>ALAMANCE</v>
          </cell>
          <cell r="AL4" t="str">
            <v>Mary Wilkerson</v>
          </cell>
          <cell r="AM4" t="str">
            <v>(336) 513-4753</v>
          </cell>
          <cell r="AN4" t="str">
            <v>(336) 229-3592</v>
          </cell>
          <cell r="AO4" t="str">
            <v>mwilkerson@alamancelibraries.org</v>
          </cell>
          <cell r="AP4" t="str">
            <v>Terri Lamm</v>
          </cell>
          <cell r="AQ4" t="str">
            <v>Office Manager</v>
          </cell>
          <cell r="AR4" t="str">
            <v>(336) 513-4755</v>
          </cell>
          <cell r="AS4" t="str">
            <v>(336) 229-3592</v>
          </cell>
          <cell r="AT4" t="str">
            <v>tlamm@alamancelibraries.org</v>
          </cell>
          <cell r="AU4" t="str">
            <v>www.alamancelibraries.org</v>
          </cell>
          <cell r="AV4">
            <v>0</v>
          </cell>
          <cell r="AW4">
            <v>0</v>
          </cell>
          <cell r="AX4">
            <v>0</v>
          </cell>
          <cell r="BC4">
            <v>1</v>
          </cell>
          <cell r="BD4">
            <v>4</v>
          </cell>
          <cell r="BE4">
            <v>0</v>
          </cell>
          <cell r="BF4">
            <v>0</v>
          </cell>
          <cell r="BG4">
            <v>5</v>
          </cell>
          <cell r="BI4">
            <v>11648</v>
          </cell>
          <cell r="BJ4">
            <v>10</v>
          </cell>
          <cell r="BK4">
            <v>0</v>
          </cell>
          <cell r="BL4">
            <v>10</v>
          </cell>
          <cell r="BM4">
            <v>35.380000000000003</v>
          </cell>
          <cell r="BN4">
            <v>45.38</v>
          </cell>
          <cell r="BO4">
            <v>0.22040000000000001</v>
          </cell>
          <cell r="BP4">
            <v>2432</v>
          </cell>
          <cell r="BQ4">
            <v>76404</v>
          </cell>
          <cell r="BU4">
            <v>42657</v>
          </cell>
          <cell r="BV4">
            <v>68253</v>
          </cell>
          <cell r="BW4">
            <v>55455</v>
          </cell>
          <cell r="BY4">
            <v>39062</v>
          </cell>
          <cell r="BZ4">
            <v>62501</v>
          </cell>
          <cell r="CA4">
            <v>50780</v>
          </cell>
          <cell r="CC4">
            <v>39062</v>
          </cell>
          <cell r="CD4">
            <v>62501</v>
          </cell>
          <cell r="CE4">
            <v>50780</v>
          </cell>
          <cell r="CG4">
            <v>46583</v>
          </cell>
          <cell r="CH4">
            <v>79534</v>
          </cell>
          <cell r="CI4">
            <v>60559</v>
          </cell>
          <cell r="DK4">
            <v>32756</v>
          </cell>
          <cell r="DL4">
            <v>52410</v>
          </cell>
          <cell r="DM4">
            <v>42583</v>
          </cell>
          <cell r="DO4">
            <v>25155</v>
          </cell>
          <cell r="DP4">
            <v>46245</v>
          </cell>
          <cell r="DQ4">
            <v>32699</v>
          </cell>
          <cell r="DV4">
            <v>232000</v>
          </cell>
          <cell r="DW4">
            <v>2569447</v>
          </cell>
          <cell r="DX4">
            <v>2801447</v>
          </cell>
          <cell r="DY4">
            <v>180887</v>
          </cell>
          <cell r="DZ4">
            <v>0</v>
          </cell>
          <cell r="EA4">
            <v>180887</v>
          </cell>
          <cell r="EB4">
            <v>27383</v>
          </cell>
          <cell r="EC4">
            <v>9999</v>
          </cell>
          <cell r="ED4">
            <v>37382</v>
          </cell>
          <cell r="EE4">
            <v>101073</v>
          </cell>
          <cell r="EF4">
            <v>3120789</v>
          </cell>
          <cell r="EG4">
            <v>1595405</v>
          </cell>
          <cell r="EH4">
            <v>496319</v>
          </cell>
          <cell r="EI4">
            <v>2091724</v>
          </cell>
          <cell r="EJ4">
            <v>145027</v>
          </cell>
          <cell r="EK4">
            <v>29106</v>
          </cell>
          <cell r="EL4">
            <v>51234</v>
          </cell>
          <cell r="EM4">
            <v>225367</v>
          </cell>
          <cell r="EN4">
            <v>485299</v>
          </cell>
          <cell r="EO4">
            <v>2802390</v>
          </cell>
          <cell r="EP4">
            <v>318399</v>
          </cell>
          <cell r="EQ4">
            <v>0.10199999999999999</v>
          </cell>
          <cell r="ER4">
            <v>52334</v>
          </cell>
          <cell r="ES4">
            <v>0</v>
          </cell>
          <cell r="ET4">
            <v>0</v>
          </cell>
          <cell r="EU4">
            <v>0</v>
          </cell>
          <cell r="EV4">
            <v>52334</v>
          </cell>
          <cell r="EW4">
            <v>52334</v>
          </cell>
          <cell r="EX4">
            <v>50120</v>
          </cell>
          <cell r="EY4">
            <v>292309</v>
          </cell>
          <cell r="EZ4">
            <v>52481</v>
          </cell>
          <cell r="FA4">
            <v>8970</v>
          </cell>
          <cell r="FB4">
            <v>43869</v>
          </cell>
          <cell r="FC4">
            <v>50739</v>
          </cell>
          <cell r="FD4">
            <v>0</v>
          </cell>
          <cell r="FE4">
            <v>20723</v>
          </cell>
          <cell r="FF4">
            <v>103220</v>
          </cell>
          <cell r="FG4">
            <v>8970</v>
          </cell>
          <cell r="FH4">
            <v>64592</v>
          </cell>
          <cell r="FI4">
            <v>176782</v>
          </cell>
          <cell r="FJ4">
            <v>6391</v>
          </cell>
          <cell r="FK4">
            <v>280</v>
          </cell>
          <cell r="FM4">
            <v>176782</v>
          </cell>
          <cell r="FN4">
            <v>14685</v>
          </cell>
          <cell r="FO4">
            <v>26644</v>
          </cell>
          <cell r="FP4">
            <v>2022</v>
          </cell>
          <cell r="FQ4">
            <v>5</v>
          </cell>
          <cell r="FR4">
            <v>88</v>
          </cell>
          <cell r="FS4">
            <v>93</v>
          </cell>
          <cell r="FT4">
            <v>44141</v>
          </cell>
          <cell r="FU4">
            <v>3505</v>
          </cell>
          <cell r="FV4">
            <v>0</v>
          </cell>
          <cell r="FW4">
            <v>0</v>
          </cell>
          <cell r="FX4">
            <v>8544</v>
          </cell>
          <cell r="FY4">
            <v>1573</v>
          </cell>
          <cell r="FZ4">
            <v>322</v>
          </cell>
          <cell r="GA4">
            <v>0</v>
          </cell>
          <cell r="GE4">
            <v>0</v>
          </cell>
          <cell r="GJ4">
            <v>2003</v>
          </cell>
          <cell r="GK4">
            <v>5286</v>
          </cell>
          <cell r="GL4">
            <v>0</v>
          </cell>
          <cell r="GM4">
            <v>38</v>
          </cell>
          <cell r="GN4">
            <v>54688</v>
          </cell>
          <cell r="GO4">
            <v>10364</v>
          </cell>
          <cell r="GP4">
            <v>322</v>
          </cell>
          <cell r="GQ4">
            <v>38</v>
          </cell>
          <cell r="GR4">
            <v>136</v>
          </cell>
          <cell r="GT4">
            <v>174389</v>
          </cell>
          <cell r="GU4">
            <v>20176</v>
          </cell>
          <cell r="GV4">
            <v>165719</v>
          </cell>
          <cell r="GW4">
            <v>50012</v>
          </cell>
          <cell r="GX4">
            <v>0</v>
          </cell>
          <cell r="GY4">
            <v>32071</v>
          </cell>
          <cell r="GZ4">
            <v>224401</v>
          </cell>
          <cell r="HA4">
            <v>20176</v>
          </cell>
          <cell r="HB4">
            <v>197790</v>
          </cell>
          <cell r="HC4">
            <v>442367</v>
          </cell>
          <cell r="HD4">
            <v>6178</v>
          </cell>
          <cell r="HE4">
            <v>448916</v>
          </cell>
          <cell r="HF4">
            <v>53439</v>
          </cell>
          <cell r="HG4">
            <v>295897</v>
          </cell>
          <cell r="HH4">
            <v>371</v>
          </cell>
          <cell r="HI4">
            <v>13415</v>
          </cell>
          <cell r="HJ4">
            <v>362751</v>
          </cell>
          <cell r="HK4">
            <v>811667</v>
          </cell>
          <cell r="HL4">
            <v>217</v>
          </cell>
          <cell r="HM4">
            <v>10872</v>
          </cell>
          <cell r="HN4">
            <v>11089</v>
          </cell>
          <cell r="HO4">
            <v>2095</v>
          </cell>
          <cell r="HP4">
            <v>5992</v>
          </cell>
          <cell r="HQ4">
            <v>8087</v>
          </cell>
          <cell r="HR4">
            <v>0</v>
          </cell>
          <cell r="HS4">
            <v>0</v>
          </cell>
          <cell r="HT4">
            <v>0</v>
          </cell>
          <cell r="HU4">
            <v>3333</v>
          </cell>
          <cell r="HV4">
            <v>22509</v>
          </cell>
          <cell r="HW4">
            <v>64096</v>
          </cell>
          <cell r="HX4">
            <v>90030</v>
          </cell>
          <cell r="HY4">
            <v>154126</v>
          </cell>
          <cell r="HZ4">
            <v>176635</v>
          </cell>
          <cell r="IA4">
            <v>61526</v>
          </cell>
          <cell r="IB4">
            <v>357423</v>
          </cell>
          <cell r="IC4">
            <v>834176</v>
          </cell>
          <cell r="ID4">
            <v>834176</v>
          </cell>
          <cell r="IE4">
            <v>988302</v>
          </cell>
          <cell r="IF4">
            <v>217966</v>
          </cell>
          <cell r="IG4">
            <v>2991</v>
          </cell>
          <cell r="IJ4">
            <v>1</v>
          </cell>
          <cell r="IK4">
            <v>9.2299999999999993E-2</v>
          </cell>
          <cell r="IL4">
            <v>1E-3</v>
          </cell>
          <cell r="IM4">
            <v>0.2238</v>
          </cell>
          <cell r="IN4">
            <v>0</v>
          </cell>
          <cell r="IO4">
            <v>0.18709999999999999</v>
          </cell>
          <cell r="IP4">
            <v>2.9999999999999997E-4</v>
          </cell>
          <cell r="IQ4">
            <v>0.6048</v>
          </cell>
          <cell r="IR4">
            <v>8.5699999999999998E-2</v>
          </cell>
          <cell r="IS4">
            <v>0.26129999999999998</v>
          </cell>
          <cell r="IT4">
            <v>55332</v>
          </cell>
          <cell r="IU4">
            <v>41418</v>
          </cell>
          <cell r="IV4">
            <v>96750</v>
          </cell>
          <cell r="IW4">
            <v>0.61419999999999997</v>
          </cell>
          <cell r="IX4">
            <v>547012</v>
          </cell>
          <cell r="IZ4">
            <v>639</v>
          </cell>
          <cell r="JA4">
            <v>77</v>
          </cell>
          <cell r="JB4">
            <v>805</v>
          </cell>
          <cell r="JC4">
            <v>65</v>
          </cell>
          <cell r="JD4">
            <v>1</v>
          </cell>
          <cell r="JE4">
            <v>90</v>
          </cell>
          <cell r="JF4">
            <v>704</v>
          </cell>
          <cell r="JG4">
            <v>78</v>
          </cell>
          <cell r="JH4">
            <v>895</v>
          </cell>
          <cell r="JI4">
            <v>1677</v>
          </cell>
          <cell r="JJ4">
            <v>1521</v>
          </cell>
          <cell r="JK4">
            <v>156</v>
          </cell>
          <cell r="JL4">
            <v>5052</v>
          </cell>
          <cell r="JM4">
            <v>831</v>
          </cell>
          <cell r="JN4">
            <v>24210</v>
          </cell>
          <cell r="JO4">
            <v>2609</v>
          </cell>
          <cell r="JP4">
            <v>252</v>
          </cell>
          <cell r="JQ4">
            <v>10573</v>
          </cell>
          <cell r="JR4">
            <v>7661</v>
          </cell>
          <cell r="JS4">
            <v>1083</v>
          </cell>
          <cell r="JT4">
            <v>34783</v>
          </cell>
          <cell r="JU4">
            <v>43527</v>
          </cell>
          <cell r="JV4">
            <v>30093</v>
          </cell>
          <cell r="JW4">
            <v>13434</v>
          </cell>
          <cell r="JX4">
            <v>25.96</v>
          </cell>
          <cell r="JY4">
            <v>10.88</v>
          </cell>
          <cell r="JZ4">
            <v>38.86</v>
          </cell>
          <cell r="KA4">
            <v>0.18</v>
          </cell>
          <cell r="KB4">
            <v>0.8</v>
          </cell>
          <cell r="KC4">
            <v>237</v>
          </cell>
          <cell r="KD4">
            <v>1251</v>
          </cell>
          <cell r="KE4">
            <v>124</v>
          </cell>
          <cell r="KF4">
            <v>702</v>
          </cell>
          <cell r="KM4">
            <v>70164</v>
          </cell>
          <cell r="KN4">
            <v>27006</v>
          </cell>
          <cell r="KO4">
            <v>3909</v>
          </cell>
          <cell r="KQ4">
            <v>262</v>
          </cell>
          <cell r="KR4">
            <v>2905</v>
          </cell>
          <cell r="KS4">
            <v>265</v>
          </cell>
          <cell r="KT4">
            <v>237</v>
          </cell>
          <cell r="KU4">
            <v>79</v>
          </cell>
          <cell r="KV4">
            <v>158</v>
          </cell>
          <cell r="KW4">
            <v>110252</v>
          </cell>
          <cell r="KY4">
            <v>319913</v>
          </cell>
          <cell r="LC4" t="str">
            <v>MAY MEMORIAL LIBRARY</v>
          </cell>
          <cell r="LD4" t="str">
            <v>City Owned</v>
          </cell>
          <cell r="LE4" t="str">
            <v>342 S SPRING ST</v>
          </cell>
          <cell r="LF4" t="str">
            <v>BURLINGTON</v>
          </cell>
          <cell r="LG4">
            <v>27215</v>
          </cell>
          <cell r="LH4">
            <v>5863</v>
          </cell>
          <cell r="LI4" t="str">
            <v>342 S SPRING ST</v>
          </cell>
          <cell r="LJ4" t="str">
            <v>BURLINGTON</v>
          </cell>
          <cell r="LK4">
            <v>27215</v>
          </cell>
          <cell r="LL4">
            <v>5863</v>
          </cell>
          <cell r="LM4" t="str">
            <v>ALAMANCE</v>
          </cell>
          <cell r="LN4">
            <v>3362293588</v>
          </cell>
          <cell r="LP4">
            <v>56056</v>
          </cell>
          <cell r="LQ4">
            <v>45.37</v>
          </cell>
          <cell r="LS4">
            <v>11648</v>
          </cell>
          <cell r="LT4">
            <v>52</v>
          </cell>
          <cell r="LW4">
            <v>2</v>
          </cell>
          <cell r="LX4" t="str">
            <v>C-ALAMANCE-MA</v>
          </cell>
          <cell r="LY4">
            <v>0</v>
          </cell>
          <cell r="LZ4" t="str">
            <v>CE</v>
          </cell>
          <cell r="MA4">
            <v>284.77999999999997</v>
          </cell>
          <cell r="MB4">
            <v>258.87</v>
          </cell>
        </row>
        <row r="5">
          <cell r="A5" t="str">
            <v>NC0001</v>
          </cell>
          <cell r="B5">
            <v>0</v>
          </cell>
          <cell r="C5">
            <v>1375</v>
          </cell>
          <cell r="D5">
            <v>2017</v>
          </cell>
          <cell r="E5">
            <v>0</v>
          </cell>
          <cell r="F5" t="str">
            <v>NC0001</v>
          </cell>
          <cell r="G5" t="str">
            <v>R-ALBEMARLE</v>
          </cell>
          <cell r="H5" t="str">
            <v>NO</v>
          </cell>
          <cell r="I5" t="str">
            <v>MJ</v>
          </cell>
          <cell r="J5" t="str">
            <v>MO</v>
          </cell>
          <cell r="K5" t="str">
            <v>Y</v>
          </cell>
          <cell r="L5" t="str">
            <v>MC1</v>
          </cell>
          <cell r="M5" t="str">
            <v>N</v>
          </cell>
          <cell r="N5">
            <v>77771</v>
          </cell>
          <cell r="O5" t="str">
            <v>Yes</v>
          </cell>
          <cell r="P5">
            <v>851</v>
          </cell>
          <cell r="Q5">
            <v>10</v>
          </cell>
          <cell r="R5">
            <v>90</v>
          </cell>
          <cell r="S5">
            <v>0</v>
          </cell>
          <cell r="T5">
            <v>2196</v>
          </cell>
          <cell r="U5">
            <v>65</v>
          </cell>
          <cell r="V5">
            <v>7018</v>
          </cell>
          <cell r="W5">
            <v>1002</v>
          </cell>
          <cell r="Z5" t="str">
            <v>PO BOX 68</v>
          </cell>
          <cell r="AA5" t="str">
            <v>WINTON</v>
          </cell>
          <cell r="AB5">
            <v>27986</v>
          </cell>
          <cell r="AC5">
            <v>68</v>
          </cell>
          <cell r="AD5" t="str">
            <v>303 W TRYON ST</v>
          </cell>
          <cell r="AE5" t="str">
            <v>WINTON</v>
          </cell>
          <cell r="AF5">
            <v>27986</v>
          </cell>
          <cell r="AG5">
            <v>1</v>
          </cell>
          <cell r="AH5" t="str">
            <v>ALBEMARLE REGIONAL LIBRARY</v>
          </cell>
          <cell r="AJ5" t="str">
            <v>Regional</v>
          </cell>
          <cell r="AK5" t="str">
            <v>HERTFORD</v>
          </cell>
          <cell r="AL5" t="str">
            <v>Jennifer Patterson</v>
          </cell>
          <cell r="AM5" t="str">
            <v>(252) 358-7832</v>
          </cell>
          <cell r="AN5" t="str">
            <v>(252) 358-7868</v>
          </cell>
          <cell r="AO5" t="str">
            <v>jpatterson@arlnc.org</v>
          </cell>
          <cell r="AP5" t="str">
            <v>Jennifer Patterson</v>
          </cell>
          <cell r="AQ5" t="str">
            <v>Director</v>
          </cell>
          <cell r="AR5" t="str">
            <v>(252) 358-7832</v>
          </cell>
          <cell r="AS5" t="str">
            <v>(252) 358-7868</v>
          </cell>
          <cell r="AT5" t="str">
            <v>jpatterson@arlnc.org</v>
          </cell>
          <cell r="AU5" t="str">
            <v>www.arlnc.org</v>
          </cell>
          <cell r="BC5">
            <v>1</v>
          </cell>
          <cell r="BD5">
            <v>6</v>
          </cell>
          <cell r="BE5">
            <v>0</v>
          </cell>
          <cell r="BF5">
            <v>2</v>
          </cell>
          <cell r="BG5">
            <v>9</v>
          </cell>
          <cell r="BI5">
            <v>15106</v>
          </cell>
          <cell r="BJ5">
            <v>1</v>
          </cell>
          <cell r="BK5">
            <v>1</v>
          </cell>
          <cell r="BL5">
            <v>2</v>
          </cell>
          <cell r="BM5">
            <v>17</v>
          </cell>
          <cell r="BN5">
            <v>19</v>
          </cell>
          <cell r="BO5">
            <v>5.2600000000000001E-2</v>
          </cell>
          <cell r="BP5">
            <v>175</v>
          </cell>
          <cell r="BQ5">
            <v>59483</v>
          </cell>
          <cell r="BU5">
            <v>19357</v>
          </cell>
          <cell r="BV5">
            <v>45000</v>
          </cell>
          <cell r="BW5">
            <v>25789</v>
          </cell>
          <cell r="DO5">
            <v>18200</v>
          </cell>
          <cell r="DP5">
            <v>25000</v>
          </cell>
          <cell r="DQ5">
            <v>21654</v>
          </cell>
          <cell r="DS5">
            <v>42000</v>
          </cell>
          <cell r="DT5">
            <v>50000</v>
          </cell>
          <cell r="DU5">
            <v>44000</v>
          </cell>
          <cell r="DV5">
            <v>227175</v>
          </cell>
          <cell r="DW5">
            <v>495536</v>
          </cell>
          <cell r="DX5">
            <v>722711</v>
          </cell>
          <cell r="DY5">
            <v>391386</v>
          </cell>
          <cell r="DZ5">
            <v>0</v>
          </cell>
          <cell r="EA5">
            <v>391386</v>
          </cell>
          <cell r="EB5">
            <v>0</v>
          </cell>
          <cell r="EC5">
            <v>0</v>
          </cell>
          <cell r="ED5">
            <v>0</v>
          </cell>
          <cell r="EE5">
            <v>140655</v>
          </cell>
          <cell r="EF5">
            <v>1254752</v>
          </cell>
          <cell r="EG5">
            <v>589968</v>
          </cell>
          <cell r="EH5">
            <v>157082</v>
          </cell>
          <cell r="EI5">
            <v>747050</v>
          </cell>
          <cell r="EJ5">
            <v>84260</v>
          </cell>
          <cell r="EK5">
            <v>5000</v>
          </cell>
          <cell r="EL5">
            <v>4614</v>
          </cell>
          <cell r="EM5">
            <v>93874</v>
          </cell>
          <cell r="EN5">
            <v>198378</v>
          </cell>
          <cell r="EO5">
            <v>1039302</v>
          </cell>
          <cell r="EP5">
            <v>215450</v>
          </cell>
          <cell r="EQ5">
            <v>0.17169999999999999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23526</v>
          </cell>
          <cell r="EY5">
            <v>252784</v>
          </cell>
          <cell r="EZ5">
            <v>55148</v>
          </cell>
          <cell r="FA5">
            <v>4452</v>
          </cell>
          <cell r="FB5">
            <v>39295</v>
          </cell>
          <cell r="FC5">
            <v>44197</v>
          </cell>
          <cell r="FD5">
            <v>1921</v>
          </cell>
          <cell r="FE5">
            <v>21477</v>
          </cell>
          <cell r="FF5">
            <v>99345</v>
          </cell>
          <cell r="FG5">
            <v>6373</v>
          </cell>
          <cell r="FH5">
            <v>60772</v>
          </cell>
          <cell r="FI5">
            <v>166490</v>
          </cell>
          <cell r="FJ5">
            <v>5980</v>
          </cell>
          <cell r="FK5">
            <v>119</v>
          </cell>
          <cell r="FM5">
            <v>166490</v>
          </cell>
          <cell r="FN5">
            <v>7467</v>
          </cell>
          <cell r="FO5">
            <v>12554</v>
          </cell>
          <cell r="FP5">
            <v>1997</v>
          </cell>
          <cell r="FQ5">
            <v>4</v>
          </cell>
          <cell r="FR5">
            <v>88</v>
          </cell>
          <cell r="FS5">
            <v>92</v>
          </cell>
          <cell r="FT5">
            <v>44141</v>
          </cell>
          <cell r="FU5">
            <v>3505</v>
          </cell>
          <cell r="FV5">
            <v>0</v>
          </cell>
          <cell r="FW5">
            <v>0</v>
          </cell>
          <cell r="FX5">
            <v>8544</v>
          </cell>
          <cell r="FY5">
            <v>1573</v>
          </cell>
          <cell r="FZ5">
            <v>322</v>
          </cell>
          <cell r="GA5">
            <v>0</v>
          </cell>
          <cell r="GE5">
            <v>0</v>
          </cell>
          <cell r="GJ5">
            <v>0</v>
          </cell>
          <cell r="GK5">
            <v>0</v>
          </cell>
          <cell r="GL5">
            <v>0</v>
          </cell>
          <cell r="GM5">
            <v>0</v>
          </cell>
          <cell r="GN5">
            <v>52685</v>
          </cell>
          <cell r="GO5">
            <v>5078</v>
          </cell>
          <cell r="GP5">
            <v>322</v>
          </cell>
          <cell r="GQ5">
            <v>0</v>
          </cell>
          <cell r="GR5">
            <v>7</v>
          </cell>
          <cell r="GT5">
            <v>28398</v>
          </cell>
          <cell r="GU5">
            <v>2823</v>
          </cell>
          <cell r="GV5">
            <v>19932</v>
          </cell>
          <cell r="GW5">
            <v>8013</v>
          </cell>
          <cell r="GX5">
            <v>266</v>
          </cell>
          <cell r="GY5">
            <v>4682</v>
          </cell>
          <cell r="GZ5">
            <v>36411</v>
          </cell>
          <cell r="HA5">
            <v>3089</v>
          </cell>
          <cell r="HB5">
            <v>24614</v>
          </cell>
          <cell r="HC5">
            <v>64114</v>
          </cell>
          <cell r="HD5">
            <v>380</v>
          </cell>
          <cell r="HE5">
            <v>64494</v>
          </cell>
          <cell r="HF5">
            <v>3308</v>
          </cell>
          <cell r="HG5">
            <v>12311</v>
          </cell>
          <cell r="HH5">
            <v>0</v>
          </cell>
          <cell r="HI5">
            <v>13</v>
          </cell>
          <cell r="HJ5">
            <v>15632</v>
          </cell>
          <cell r="HK5">
            <v>80126</v>
          </cell>
          <cell r="HL5">
            <v>70</v>
          </cell>
          <cell r="HM5">
            <v>0</v>
          </cell>
          <cell r="HN5">
            <v>70</v>
          </cell>
          <cell r="HO5">
            <v>22</v>
          </cell>
          <cell r="HP5">
            <v>0</v>
          </cell>
          <cell r="HQ5">
            <v>22</v>
          </cell>
          <cell r="HR5">
            <v>0</v>
          </cell>
          <cell r="HS5">
            <v>0</v>
          </cell>
          <cell r="HT5">
            <v>0</v>
          </cell>
          <cell r="HU5">
            <v>0</v>
          </cell>
          <cell r="HV5">
            <v>92</v>
          </cell>
          <cell r="HW5">
            <v>1439</v>
          </cell>
          <cell r="HX5">
            <v>0</v>
          </cell>
          <cell r="HY5">
            <v>1439</v>
          </cell>
          <cell r="HZ5">
            <v>1531</v>
          </cell>
          <cell r="IA5">
            <v>3330</v>
          </cell>
          <cell r="IB5">
            <v>15641</v>
          </cell>
          <cell r="IC5">
            <v>80218</v>
          </cell>
          <cell r="ID5">
            <v>80218</v>
          </cell>
          <cell r="IE5">
            <v>81657</v>
          </cell>
          <cell r="IF5">
            <v>27703</v>
          </cell>
          <cell r="IJ5">
            <v>3</v>
          </cell>
          <cell r="IK5">
            <v>5.0900000000000001E-2</v>
          </cell>
          <cell r="IL5">
            <v>5.0000000000000001E-4</v>
          </cell>
          <cell r="IM5">
            <v>0.2298</v>
          </cell>
          <cell r="IN5">
            <v>0</v>
          </cell>
          <cell r="IO5">
            <v>0.2084</v>
          </cell>
          <cell r="IP5">
            <v>4.0000000000000002E-4</v>
          </cell>
          <cell r="IQ5">
            <v>0.65859999999999996</v>
          </cell>
          <cell r="IR5">
            <v>4.9599999999999998E-2</v>
          </cell>
          <cell r="IS5">
            <v>0.3453</v>
          </cell>
          <cell r="IT5">
            <v>27031</v>
          </cell>
          <cell r="IU5">
            <v>6728</v>
          </cell>
          <cell r="IV5">
            <v>33759</v>
          </cell>
          <cell r="IW5">
            <v>0.43409999999999999</v>
          </cell>
          <cell r="IX5">
            <v>93214</v>
          </cell>
          <cell r="IZ5">
            <v>85</v>
          </cell>
          <cell r="JA5">
            <v>6</v>
          </cell>
          <cell r="JB5">
            <v>271</v>
          </cell>
          <cell r="JC5">
            <v>24</v>
          </cell>
          <cell r="JD5">
            <v>14</v>
          </cell>
          <cell r="JE5">
            <v>69</v>
          </cell>
          <cell r="JF5">
            <v>109</v>
          </cell>
          <cell r="JG5">
            <v>20</v>
          </cell>
          <cell r="JH5">
            <v>340</v>
          </cell>
          <cell r="JI5">
            <v>469</v>
          </cell>
          <cell r="JJ5">
            <v>362</v>
          </cell>
          <cell r="JK5">
            <v>107</v>
          </cell>
          <cell r="JL5">
            <v>722</v>
          </cell>
          <cell r="JM5">
            <v>55</v>
          </cell>
          <cell r="JN5">
            <v>5658</v>
          </cell>
          <cell r="JO5">
            <v>458</v>
          </cell>
          <cell r="JP5">
            <v>234</v>
          </cell>
          <cell r="JQ5">
            <v>4674</v>
          </cell>
          <cell r="JR5">
            <v>1180</v>
          </cell>
          <cell r="JS5">
            <v>289</v>
          </cell>
          <cell r="JT5">
            <v>10332</v>
          </cell>
          <cell r="JU5">
            <v>11801</v>
          </cell>
          <cell r="JV5">
            <v>6435</v>
          </cell>
          <cell r="JW5">
            <v>5366</v>
          </cell>
          <cell r="JX5">
            <v>25.16</v>
          </cell>
          <cell r="JY5">
            <v>10.83</v>
          </cell>
          <cell r="JZ5">
            <v>30.39</v>
          </cell>
          <cell r="KA5">
            <v>0.1</v>
          </cell>
          <cell r="KB5">
            <v>0.88</v>
          </cell>
          <cell r="KM5">
            <v>15567</v>
          </cell>
          <cell r="KN5">
            <v>3376</v>
          </cell>
          <cell r="KO5">
            <v>1262</v>
          </cell>
          <cell r="KQ5">
            <v>214</v>
          </cell>
          <cell r="KR5">
            <v>836</v>
          </cell>
          <cell r="KS5">
            <v>0</v>
          </cell>
          <cell r="KT5">
            <v>0</v>
          </cell>
          <cell r="KU5">
            <v>37</v>
          </cell>
          <cell r="KV5">
            <v>100</v>
          </cell>
          <cell r="KW5">
            <v>35343</v>
          </cell>
          <cell r="KY5">
            <v>85453</v>
          </cell>
          <cell r="KZ5">
            <v>34632</v>
          </cell>
          <cell r="LC5" t="str">
            <v>HERTFORD COUNTY LIBRARY</v>
          </cell>
          <cell r="LD5" t="str">
            <v>County Owned</v>
          </cell>
          <cell r="LE5" t="str">
            <v>PO BOX 68</v>
          </cell>
          <cell r="LF5" t="str">
            <v>WINTON</v>
          </cell>
          <cell r="LG5">
            <v>27986</v>
          </cell>
          <cell r="LH5">
            <v>68</v>
          </cell>
          <cell r="LI5" t="str">
            <v>303 W TRYON ST</v>
          </cell>
          <cell r="LJ5" t="str">
            <v>WINTON</v>
          </cell>
          <cell r="LK5">
            <v>27986</v>
          </cell>
          <cell r="LL5">
            <v>68</v>
          </cell>
          <cell r="LM5" t="str">
            <v>HERTFORD</v>
          </cell>
          <cell r="LN5">
            <v>2523587855</v>
          </cell>
          <cell r="LO5">
            <v>2523580368</v>
          </cell>
          <cell r="LP5">
            <v>32361</v>
          </cell>
          <cell r="LQ5">
            <v>13.45</v>
          </cell>
          <cell r="LS5">
            <v>15106</v>
          </cell>
          <cell r="LT5">
            <v>364</v>
          </cell>
          <cell r="LW5">
            <v>13</v>
          </cell>
          <cell r="LX5" t="str">
            <v>R-ALBEMARLE-H</v>
          </cell>
          <cell r="LY5">
            <v>0</v>
          </cell>
          <cell r="LZ5" t="str">
            <v>CE</v>
          </cell>
          <cell r="MA5">
            <v>8.23</v>
          </cell>
          <cell r="MB5">
            <v>13.52</v>
          </cell>
        </row>
        <row r="6">
          <cell r="A6" t="str">
            <v>NC0016</v>
          </cell>
          <cell r="B6">
            <v>0</v>
          </cell>
          <cell r="C6">
            <v>1375</v>
          </cell>
          <cell r="D6">
            <v>2017</v>
          </cell>
          <cell r="E6">
            <v>0</v>
          </cell>
          <cell r="F6" t="str">
            <v>NC0016</v>
          </cell>
          <cell r="G6" t="str">
            <v>C-ALEXANDER</v>
          </cell>
          <cell r="H6" t="str">
            <v>NO</v>
          </cell>
          <cell r="I6" t="str">
            <v>CO</v>
          </cell>
          <cell r="J6" t="str">
            <v>MO</v>
          </cell>
          <cell r="K6" t="str">
            <v>Y</v>
          </cell>
          <cell r="L6" t="str">
            <v>CO1</v>
          </cell>
          <cell r="M6" t="str">
            <v>N</v>
          </cell>
          <cell r="N6">
            <v>37952</v>
          </cell>
          <cell r="O6" t="str">
            <v>Yes</v>
          </cell>
          <cell r="P6">
            <v>567</v>
          </cell>
          <cell r="Q6">
            <v>97</v>
          </cell>
          <cell r="R6">
            <v>39</v>
          </cell>
          <cell r="S6">
            <v>2</v>
          </cell>
          <cell r="T6">
            <v>1443</v>
          </cell>
          <cell r="U6">
            <v>41</v>
          </cell>
          <cell r="V6">
            <v>9294</v>
          </cell>
          <cell r="W6">
            <v>1655</v>
          </cell>
          <cell r="X6">
            <v>718455</v>
          </cell>
          <cell r="Y6">
            <v>233437</v>
          </cell>
          <cell r="Z6" t="str">
            <v>77 1ST AVE SW</v>
          </cell>
          <cell r="AA6" t="str">
            <v>TAYLORSVILLE</v>
          </cell>
          <cell r="AB6">
            <v>28681</v>
          </cell>
          <cell r="AC6">
            <v>2698</v>
          </cell>
          <cell r="AD6" t="str">
            <v>77 1ST AVE SW</v>
          </cell>
          <cell r="AE6" t="str">
            <v>TAYLORSVILLE</v>
          </cell>
          <cell r="AF6">
            <v>28681</v>
          </cell>
          <cell r="AG6">
            <v>2</v>
          </cell>
          <cell r="AH6" t="str">
            <v>ALEXANDER COUNTY LIBRARY</v>
          </cell>
          <cell r="AJ6" t="str">
            <v>County</v>
          </cell>
          <cell r="AK6" t="str">
            <v>ALEXANDER</v>
          </cell>
          <cell r="AL6" t="str">
            <v>Laura Crooks</v>
          </cell>
          <cell r="AM6" t="str">
            <v>(828) 632-4058</v>
          </cell>
          <cell r="AN6" t="str">
            <v>(828) 632-1094</v>
          </cell>
          <cell r="AO6" t="str">
            <v>lcrooks@alexandercountync.gov</v>
          </cell>
          <cell r="AP6" t="str">
            <v>Laura Crooks</v>
          </cell>
          <cell r="AQ6" t="str">
            <v>Director</v>
          </cell>
          <cell r="AR6" t="str">
            <v>(828) 632-4058</v>
          </cell>
          <cell r="AS6" t="str">
            <v>(828) 632-1094</v>
          </cell>
          <cell r="AT6" t="str">
            <v>lcrooks@alexandercountync.gov</v>
          </cell>
          <cell r="AU6" t="str">
            <v>www.alexanderlibrary.org</v>
          </cell>
          <cell r="BC6">
            <v>1</v>
          </cell>
          <cell r="BD6">
            <v>1</v>
          </cell>
          <cell r="BE6">
            <v>0</v>
          </cell>
          <cell r="BF6">
            <v>0</v>
          </cell>
          <cell r="BG6">
            <v>2</v>
          </cell>
          <cell r="BI6">
            <v>3801</v>
          </cell>
          <cell r="BJ6">
            <v>1</v>
          </cell>
          <cell r="BK6">
            <v>0</v>
          </cell>
          <cell r="BL6">
            <v>1</v>
          </cell>
          <cell r="BM6">
            <v>8.33</v>
          </cell>
          <cell r="BN6">
            <v>9.33</v>
          </cell>
          <cell r="BO6">
            <v>0.1072</v>
          </cell>
          <cell r="BP6">
            <v>753</v>
          </cell>
          <cell r="BQ6">
            <v>47983</v>
          </cell>
          <cell r="BU6">
            <v>27872</v>
          </cell>
          <cell r="BV6">
            <v>39383</v>
          </cell>
          <cell r="BW6">
            <v>28568</v>
          </cell>
          <cell r="CR6">
            <v>27872</v>
          </cell>
          <cell r="CS6">
            <v>39383</v>
          </cell>
          <cell r="CT6">
            <v>29284</v>
          </cell>
          <cell r="CZ6">
            <v>24033</v>
          </cell>
          <cell r="DA6">
            <v>33958</v>
          </cell>
          <cell r="DB6">
            <v>24633</v>
          </cell>
          <cell r="DD6">
            <v>19726</v>
          </cell>
          <cell r="DE6">
            <v>27872</v>
          </cell>
          <cell r="DF6">
            <v>24543</v>
          </cell>
          <cell r="DV6">
            <v>0</v>
          </cell>
          <cell r="DW6">
            <v>492390</v>
          </cell>
          <cell r="DX6">
            <v>492390</v>
          </cell>
          <cell r="DY6">
            <v>96220</v>
          </cell>
          <cell r="DZ6">
            <v>0</v>
          </cell>
          <cell r="EA6">
            <v>96220</v>
          </cell>
          <cell r="EB6">
            <v>6609</v>
          </cell>
          <cell r="EC6">
            <v>0</v>
          </cell>
          <cell r="ED6">
            <v>6609</v>
          </cell>
          <cell r="EE6">
            <v>12017</v>
          </cell>
          <cell r="EF6">
            <v>607236</v>
          </cell>
          <cell r="EG6">
            <v>244576</v>
          </cell>
          <cell r="EH6">
            <v>103095</v>
          </cell>
          <cell r="EI6">
            <v>347671</v>
          </cell>
          <cell r="EJ6">
            <v>42087</v>
          </cell>
          <cell r="EK6">
            <v>2901</v>
          </cell>
          <cell r="EL6">
            <v>7192</v>
          </cell>
          <cell r="EM6">
            <v>52180</v>
          </cell>
          <cell r="EN6">
            <v>79394</v>
          </cell>
          <cell r="EO6">
            <v>479245</v>
          </cell>
          <cell r="EP6">
            <v>127991</v>
          </cell>
          <cell r="EQ6">
            <v>0.21079999999999999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10657</v>
          </cell>
          <cell r="EY6">
            <v>120611</v>
          </cell>
          <cell r="EZ6">
            <v>16165</v>
          </cell>
          <cell r="FA6">
            <v>3875</v>
          </cell>
          <cell r="FB6">
            <v>15485</v>
          </cell>
          <cell r="FC6">
            <v>12492</v>
          </cell>
          <cell r="FD6">
            <v>1</v>
          </cell>
          <cell r="FE6">
            <v>6679</v>
          </cell>
          <cell r="FF6">
            <v>28657</v>
          </cell>
          <cell r="FG6">
            <v>3876</v>
          </cell>
          <cell r="FH6">
            <v>22164</v>
          </cell>
          <cell r="FI6">
            <v>54697</v>
          </cell>
          <cell r="FJ6">
            <v>110</v>
          </cell>
          <cell r="FK6">
            <v>69</v>
          </cell>
          <cell r="FM6">
            <v>54697</v>
          </cell>
          <cell r="FN6">
            <v>2649</v>
          </cell>
          <cell r="FO6">
            <v>4295</v>
          </cell>
          <cell r="FP6">
            <v>0</v>
          </cell>
          <cell r="FQ6">
            <v>1</v>
          </cell>
          <cell r="FR6">
            <v>88</v>
          </cell>
          <cell r="FS6">
            <v>89</v>
          </cell>
          <cell r="FT6">
            <v>44141</v>
          </cell>
          <cell r="FU6">
            <v>3505</v>
          </cell>
          <cell r="FV6">
            <v>0</v>
          </cell>
          <cell r="FW6">
            <v>0</v>
          </cell>
          <cell r="FX6">
            <v>8544</v>
          </cell>
          <cell r="FY6">
            <v>1573</v>
          </cell>
          <cell r="FZ6">
            <v>322</v>
          </cell>
          <cell r="GA6">
            <v>0</v>
          </cell>
          <cell r="GE6">
            <v>0</v>
          </cell>
          <cell r="GJ6">
            <v>409</v>
          </cell>
          <cell r="GK6">
            <v>208</v>
          </cell>
          <cell r="GL6">
            <v>0</v>
          </cell>
          <cell r="GM6">
            <v>0</v>
          </cell>
          <cell r="GN6">
            <v>53094</v>
          </cell>
          <cell r="GO6">
            <v>5286</v>
          </cell>
          <cell r="GP6">
            <v>322</v>
          </cell>
          <cell r="GQ6">
            <v>0</v>
          </cell>
          <cell r="GR6">
            <v>20</v>
          </cell>
          <cell r="GT6">
            <v>22362</v>
          </cell>
          <cell r="GU6">
            <v>4633</v>
          </cell>
          <cell r="GV6">
            <v>23028</v>
          </cell>
          <cell r="GW6">
            <v>4841</v>
          </cell>
          <cell r="GX6">
            <v>5</v>
          </cell>
          <cell r="GY6">
            <v>3917</v>
          </cell>
          <cell r="GZ6">
            <v>27203</v>
          </cell>
          <cell r="HA6">
            <v>4638</v>
          </cell>
          <cell r="HB6">
            <v>26945</v>
          </cell>
          <cell r="HC6">
            <v>58786</v>
          </cell>
          <cell r="HD6">
            <v>0</v>
          </cell>
          <cell r="HE6">
            <v>58951</v>
          </cell>
          <cell r="HF6">
            <v>3850</v>
          </cell>
          <cell r="HG6">
            <v>18556</v>
          </cell>
          <cell r="HH6">
            <v>165</v>
          </cell>
          <cell r="HI6">
            <v>2</v>
          </cell>
          <cell r="HJ6">
            <v>22408</v>
          </cell>
          <cell r="HK6">
            <v>81359</v>
          </cell>
          <cell r="HL6">
            <v>60</v>
          </cell>
          <cell r="HM6">
            <v>180</v>
          </cell>
          <cell r="HN6">
            <v>240</v>
          </cell>
          <cell r="HO6">
            <v>728</v>
          </cell>
          <cell r="HP6">
            <v>51</v>
          </cell>
          <cell r="HQ6">
            <v>779</v>
          </cell>
          <cell r="HR6">
            <v>0</v>
          </cell>
          <cell r="HS6">
            <v>0</v>
          </cell>
          <cell r="HT6">
            <v>0</v>
          </cell>
          <cell r="HU6">
            <v>0</v>
          </cell>
          <cell r="HV6">
            <v>1019</v>
          </cell>
          <cell r="HW6">
            <v>5789</v>
          </cell>
          <cell r="HX6">
            <v>1161</v>
          </cell>
          <cell r="HY6">
            <v>6950</v>
          </cell>
          <cell r="HZ6">
            <v>7969</v>
          </cell>
          <cell r="IA6">
            <v>4629</v>
          </cell>
          <cell r="IB6">
            <v>23185</v>
          </cell>
          <cell r="IC6">
            <v>82378</v>
          </cell>
          <cell r="ID6">
            <v>82378</v>
          </cell>
          <cell r="IE6">
            <v>89328</v>
          </cell>
          <cell r="IF6">
            <v>31583</v>
          </cell>
          <cell r="IG6">
            <v>24</v>
          </cell>
          <cell r="IJ6">
            <v>1</v>
          </cell>
          <cell r="IK6">
            <v>3.8300000000000001E-2</v>
          </cell>
          <cell r="IL6">
            <v>5.9999999999999995E-4</v>
          </cell>
          <cell r="IM6">
            <v>0.48670000000000002</v>
          </cell>
          <cell r="IN6">
            <v>0</v>
          </cell>
          <cell r="IO6">
            <v>0.44019999999999998</v>
          </cell>
          <cell r="IP6">
            <v>6.9999999999999999E-4</v>
          </cell>
          <cell r="IQ6">
            <v>0.45350000000000001</v>
          </cell>
          <cell r="IR6">
            <v>6.5799999999999997E-2</v>
          </cell>
          <cell r="IS6">
            <v>0.38340000000000002</v>
          </cell>
          <cell r="IT6">
            <v>11037</v>
          </cell>
          <cell r="IU6">
            <v>3399</v>
          </cell>
          <cell r="IV6">
            <v>14436</v>
          </cell>
          <cell r="IW6">
            <v>0.38040000000000002</v>
          </cell>
          <cell r="IX6">
            <v>61429</v>
          </cell>
          <cell r="IZ6">
            <v>81</v>
          </cell>
          <cell r="JA6">
            <v>21</v>
          </cell>
          <cell r="JB6">
            <v>219</v>
          </cell>
          <cell r="JC6">
            <v>32</v>
          </cell>
          <cell r="JD6">
            <v>8</v>
          </cell>
          <cell r="JE6">
            <v>149</v>
          </cell>
          <cell r="JF6">
            <v>113</v>
          </cell>
          <cell r="JG6">
            <v>29</v>
          </cell>
          <cell r="JH6">
            <v>368</v>
          </cell>
          <cell r="JI6">
            <v>510</v>
          </cell>
          <cell r="JJ6">
            <v>321</v>
          </cell>
          <cell r="JK6">
            <v>189</v>
          </cell>
          <cell r="JL6">
            <v>1595</v>
          </cell>
          <cell r="JM6">
            <v>215</v>
          </cell>
          <cell r="JN6">
            <v>3468</v>
          </cell>
          <cell r="JO6">
            <v>340</v>
          </cell>
          <cell r="JP6">
            <v>886</v>
          </cell>
          <cell r="JQ6">
            <v>3955</v>
          </cell>
          <cell r="JR6">
            <v>1935</v>
          </cell>
          <cell r="JS6">
            <v>1101</v>
          </cell>
          <cell r="JT6">
            <v>7423</v>
          </cell>
          <cell r="JU6">
            <v>10459</v>
          </cell>
          <cell r="JV6">
            <v>5278</v>
          </cell>
          <cell r="JW6">
            <v>5181</v>
          </cell>
          <cell r="JX6">
            <v>20.51</v>
          </cell>
          <cell r="JY6">
            <v>17.12</v>
          </cell>
          <cell r="JZ6">
            <v>20.170000000000002</v>
          </cell>
          <cell r="KA6">
            <v>0.19</v>
          </cell>
          <cell r="KB6">
            <v>0.71</v>
          </cell>
          <cell r="KC6">
            <v>0</v>
          </cell>
          <cell r="KD6">
            <v>0</v>
          </cell>
          <cell r="KE6">
            <v>0</v>
          </cell>
          <cell r="KF6">
            <v>0</v>
          </cell>
          <cell r="KG6">
            <v>0</v>
          </cell>
          <cell r="KH6">
            <v>0</v>
          </cell>
          <cell r="KI6">
            <v>0</v>
          </cell>
          <cell r="KJ6">
            <v>0</v>
          </cell>
          <cell r="KK6">
            <v>0</v>
          </cell>
          <cell r="KL6">
            <v>0</v>
          </cell>
          <cell r="KM6">
            <v>2721</v>
          </cell>
          <cell r="KN6">
            <v>1132</v>
          </cell>
          <cell r="KO6">
            <v>566</v>
          </cell>
          <cell r="KS6">
            <v>3704</v>
          </cell>
          <cell r="KT6">
            <v>3379</v>
          </cell>
          <cell r="KU6">
            <v>12</v>
          </cell>
          <cell r="KV6">
            <v>13</v>
          </cell>
          <cell r="KW6">
            <v>12173</v>
          </cell>
          <cell r="KY6">
            <v>46012</v>
          </cell>
          <cell r="KZ6">
            <v>1966</v>
          </cell>
          <cell r="LC6" t="str">
            <v>ALEXANDER COUNTY LIBRARY</v>
          </cell>
          <cell r="LD6" t="str">
            <v>County Owned</v>
          </cell>
          <cell r="LE6" t="str">
            <v>77 1ST AVE SW</v>
          </cell>
          <cell r="LF6" t="str">
            <v>TAYLORSVILLE</v>
          </cell>
          <cell r="LG6">
            <v>28681</v>
          </cell>
          <cell r="LH6">
            <v>2639</v>
          </cell>
          <cell r="LI6" t="str">
            <v>77 1ST AVE SW</v>
          </cell>
          <cell r="LJ6" t="str">
            <v>TAYLORSVILLE</v>
          </cell>
          <cell r="LK6">
            <v>28681</v>
          </cell>
          <cell r="LL6">
            <v>2639</v>
          </cell>
          <cell r="LM6" t="str">
            <v>ALEXANDER</v>
          </cell>
          <cell r="LN6">
            <v>8286324058</v>
          </cell>
          <cell r="LO6">
            <v>8286321094</v>
          </cell>
          <cell r="LP6">
            <v>10620</v>
          </cell>
          <cell r="LQ6">
            <v>15.33</v>
          </cell>
          <cell r="LS6">
            <v>3801</v>
          </cell>
          <cell r="LT6">
            <v>104</v>
          </cell>
          <cell r="LW6">
            <v>3</v>
          </cell>
          <cell r="LX6" t="str">
            <v>C-ALEXANDER-A</v>
          </cell>
          <cell r="LY6">
            <v>0</v>
          </cell>
          <cell r="LZ6" t="str">
            <v>CE</v>
          </cell>
          <cell r="MA6">
            <v>93.5</v>
          </cell>
          <cell r="MB6">
            <v>93.3</v>
          </cell>
        </row>
        <row r="7">
          <cell r="A7" t="str">
            <v>NC0002</v>
          </cell>
          <cell r="B7">
            <v>0</v>
          </cell>
          <cell r="C7">
            <v>1375</v>
          </cell>
          <cell r="D7">
            <v>2017</v>
          </cell>
          <cell r="E7">
            <v>0</v>
          </cell>
          <cell r="F7" t="str">
            <v>NC0002</v>
          </cell>
          <cell r="G7" t="str">
            <v>R-APPALACHIAN</v>
          </cell>
          <cell r="H7" t="str">
            <v>NO</v>
          </cell>
          <cell r="I7" t="str">
            <v>MJ</v>
          </cell>
          <cell r="J7" t="str">
            <v>MA</v>
          </cell>
          <cell r="K7" t="str">
            <v>Y</v>
          </cell>
          <cell r="L7" t="str">
            <v>MC1</v>
          </cell>
          <cell r="M7" t="str">
            <v>N</v>
          </cell>
          <cell r="N7">
            <v>150732</v>
          </cell>
          <cell r="O7" t="str">
            <v>Yes</v>
          </cell>
          <cell r="P7">
            <v>1625</v>
          </cell>
          <cell r="Q7">
            <v>289</v>
          </cell>
          <cell r="R7">
            <v>448</v>
          </cell>
          <cell r="S7">
            <v>37</v>
          </cell>
          <cell r="T7">
            <v>12515</v>
          </cell>
          <cell r="U7">
            <v>394</v>
          </cell>
          <cell r="V7">
            <v>72630</v>
          </cell>
          <cell r="W7">
            <v>7973</v>
          </cell>
          <cell r="X7">
            <v>473580</v>
          </cell>
          <cell r="Y7">
            <v>340810</v>
          </cell>
          <cell r="Z7" t="str">
            <v>148 LIBRARY DR</v>
          </cell>
          <cell r="AA7" t="str">
            <v>WEST JEFFERSON</v>
          </cell>
          <cell r="AB7">
            <v>28694</v>
          </cell>
          <cell r="AD7" t="str">
            <v>148 LIBRARY DR</v>
          </cell>
          <cell r="AE7" t="str">
            <v>WEST JEFFERSON</v>
          </cell>
          <cell r="AF7">
            <v>28694</v>
          </cell>
          <cell r="AG7">
            <v>2</v>
          </cell>
          <cell r="AH7" t="str">
            <v>APPALACHIAN REGIONAL LIBRARY</v>
          </cell>
          <cell r="AJ7" t="str">
            <v>Regional</v>
          </cell>
          <cell r="AK7" t="str">
            <v>ASHE</v>
          </cell>
          <cell r="AL7" t="str">
            <v>Jane W. Blackburn</v>
          </cell>
          <cell r="AM7" t="str">
            <v>(336) 846-2041</v>
          </cell>
          <cell r="AN7" t="str">
            <v>(336) 846-7503</v>
          </cell>
          <cell r="AO7" t="str">
            <v>jblackburn@arlibrary.org</v>
          </cell>
          <cell r="AP7" t="str">
            <v>Jane W. Blackburn</v>
          </cell>
          <cell r="AQ7" t="str">
            <v>Director of Libraries</v>
          </cell>
          <cell r="AR7" t="str">
            <v>(336) 846-2041</v>
          </cell>
          <cell r="AS7" t="str">
            <v>(336) 846-7503</v>
          </cell>
          <cell r="AT7" t="str">
            <v>jblackburn@arlibrary.org</v>
          </cell>
          <cell r="AU7" t="str">
            <v>www.arlibrary.org</v>
          </cell>
          <cell r="BC7">
            <v>0</v>
          </cell>
          <cell r="BD7">
            <v>5</v>
          </cell>
          <cell r="BE7">
            <v>0</v>
          </cell>
          <cell r="BF7">
            <v>3</v>
          </cell>
          <cell r="BG7">
            <v>8</v>
          </cell>
          <cell r="BI7">
            <v>11300</v>
          </cell>
          <cell r="BJ7">
            <v>4</v>
          </cell>
          <cell r="BK7">
            <v>8.6300000000000008</v>
          </cell>
          <cell r="BL7">
            <v>12.63</v>
          </cell>
          <cell r="BM7">
            <v>33.15</v>
          </cell>
          <cell r="BN7">
            <v>45.78</v>
          </cell>
          <cell r="BO7">
            <v>8.7400000000000005E-2</v>
          </cell>
          <cell r="BP7">
            <v>8663</v>
          </cell>
          <cell r="BQ7">
            <v>68972</v>
          </cell>
          <cell r="BU7">
            <v>24564</v>
          </cell>
          <cell r="BV7">
            <v>55156</v>
          </cell>
          <cell r="BW7">
            <v>42692</v>
          </cell>
          <cell r="BY7">
            <v>32901</v>
          </cell>
          <cell r="BZ7">
            <v>35854</v>
          </cell>
          <cell r="CA7">
            <v>34585</v>
          </cell>
          <cell r="CC7">
            <v>34669</v>
          </cell>
          <cell r="CD7">
            <v>38199</v>
          </cell>
          <cell r="CE7">
            <v>35961</v>
          </cell>
          <cell r="CG7">
            <v>26066</v>
          </cell>
          <cell r="CH7">
            <v>30605</v>
          </cell>
          <cell r="CI7">
            <v>27879</v>
          </cell>
          <cell r="CK7">
            <v>18750</v>
          </cell>
          <cell r="CL7">
            <v>34669</v>
          </cell>
          <cell r="CM7">
            <v>24736</v>
          </cell>
          <cell r="CR7">
            <v>27050</v>
          </cell>
          <cell r="CS7">
            <v>27050</v>
          </cell>
          <cell r="CT7">
            <v>27050</v>
          </cell>
          <cell r="CV7">
            <v>18158</v>
          </cell>
          <cell r="CW7">
            <v>31833</v>
          </cell>
          <cell r="CX7">
            <v>28274</v>
          </cell>
          <cell r="DO7">
            <v>15392</v>
          </cell>
          <cell r="DP7">
            <v>26624</v>
          </cell>
          <cell r="DQ7">
            <v>18202</v>
          </cell>
          <cell r="DS7">
            <v>47475</v>
          </cell>
          <cell r="DT7">
            <v>47475</v>
          </cell>
          <cell r="DU7">
            <v>47475</v>
          </cell>
          <cell r="DV7">
            <v>2000</v>
          </cell>
          <cell r="DW7">
            <v>1561193</v>
          </cell>
          <cell r="DX7">
            <v>1563193</v>
          </cell>
          <cell r="DY7">
            <v>383838</v>
          </cell>
          <cell r="DZ7">
            <v>0</v>
          </cell>
          <cell r="EA7">
            <v>383838</v>
          </cell>
          <cell r="EB7">
            <v>15266</v>
          </cell>
          <cell r="EC7">
            <v>0</v>
          </cell>
          <cell r="ED7">
            <v>15266</v>
          </cell>
          <cell r="EE7">
            <v>936784</v>
          </cell>
          <cell r="EF7">
            <v>2899081</v>
          </cell>
          <cell r="EG7">
            <v>1294797</v>
          </cell>
          <cell r="EH7">
            <v>362592</v>
          </cell>
          <cell r="EI7">
            <v>1657389</v>
          </cell>
          <cell r="EJ7">
            <v>124204</v>
          </cell>
          <cell r="EK7">
            <v>12539</v>
          </cell>
          <cell r="EL7">
            <v>26788</v>
          </cell>
          <cell r="EM7">
            <v>163531</v>
          </cell>
          <cell r="EN7">
            <v>445353</v>
          </cell>
          <cell r="EO7">
            <v>2266273</v>
          </cell>
          <cell r="EP7">
            <v>632808</v>
          </cell>
          <cell r="EQ7">
            <v>0.21829999999999999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24052</v>
          </cell>
          <cell r="EY7">
            <v>288142</v>
          </cell>
          <cell r="EZ7">
            <v>69268</v>
          </cell>
          <cell r="FA7">
            <v>10081</v>
          </cell>
          <cell r="FB7">
            <v>47268</v>
          </cell>
          <cell r="FC7">
            <v>61269</v>
          </cell>
          <cell r="FD7">
            <v>341</v>
          </cell>
          <cell r="FE7">
            <v>16402</v>
          </cell>
          <cell r="FF7">
            <v>130537</v>
          </cell>
          <cell r="FG7">
            <v>10422</v>
          </cell>
          <cell r="FH7">
            <v>63670</v>
          </cell>
          <cell r="FI7">
            <v>204629</v>
          </cell>
          <cell r="FJ7">
            <v>2546</v>
          </cell>
          <cell r="FK7">
            <v>188</v>
          </cell>
          <cell r="FM7">
            <v>204629</v>
          </cell>
          <cell r="FN7">
            <v>9626</v>
          </cell>
          <cell r="FO7">
            <v>10743</v>
          </cell>
          <cell r="FP7">
            <v>244</v>
          </cell>
          <cell r="FQ7">
            <v>1</v>
          </cell>
          <cell r="FR7">
            <v>88</v>
          </cell>
          <cell r="FS7">
            <v>89</v>
          </cell>
          <cell r="FT7">
            <v>44141</v>
          </cell>
          <cell r="FU7">
            <v>3505</v>
          </cell>
          <cell r="FV7">
            <v>0</v>
          </cell>
          <cell r="FW7">
            <v>0</v>
          </cell>
          <cell r="FX7">
            <v>8544</v>
          </cell>
          <cell r="FY7">
            <v>1573</v>
          </cell>
          <cell r="FZ7">
            <v>322</v>
          </cell>
          <cell r="GA7">
            <v>0</v>
          </cell>
          <cell r="GJ7">
            <v>1814</v>
          </cell>
          <cell r="GK7">
            <v>178</v>
          </cell>
          <cell r="GL7">
            <v>0</v>
          </cell>
          <cell r="GM7">
            <v>0</v>
          </cell>
          <cell r="GN7">
            <v>54499</v>
          </cell>
          <cell r="GO7">
            <v>5256</v>
          </cell>
          <cell r="GP7">
            <v>322</v>
          </cell>
          <cell r="GQ7">
            <v>0</v>
          </cell>
          <cell r="GR7">
            <v>114</v>
          </cell>
          <cell r="GT7">
            <v>178416</v>
          </cell>
          <cell r="GU7">
            <v>23351</v>
          </cell>
          <cell r="GV7">
            <v>170149</v>
          </cell>
          <cell r="GW7">
            <v>54956</v>
          </cell>
          <cell r="GX7">
            <v>495</v>
          </cell>
          <cell r="GY7">
            <v>35235</v>
          </cell>
          <cell r="GZ7">
            <v>233372</v>
          </cell>
          <cell r="HA7">
            <v>23846</v>
          </cell>
          <cell r="HB7">
            <v>205384</v>
          </cell>
          <cell r="HC7">
            <v>462602</v>
          </cell>
          <cell r="HD7">
            <v>3634</v>
          </cell>
          <cell r="HE7">
            <v>471634</v>
          </cell>
          <cell r="HF7">
            <v>35161</v>
          </cell>
          <cell r="HG7">
            <v>105025</v>
          </cell>
          <cell r="HH7">
            <v>5398</v>
          </cell>
          <cell r="HI7">
            <v>937</v>
          </cell>
          <cell r="HJ7">
            <v>141123</v>
          </cell>
          <cell r="HK7">
            <v>612757</v>
          </cell>
          <cell r="HL7">
            <v>47</v>
          </cell>
          <cell r="HM7">
            <v>9343</v>
          </cell>
          <cell r="HN7">
            <v>9390</v>
          </cell>
          <cell r="HO7">
            <v>323</v>
          </cell>
          <cell r="HP7">
            <v>1871</v>
          </cell>
          <cell r="HQ7">
            <v>2194</v>
          </cell>
          <cell r="HR7">
            <v>0</v>
          </cell>
          <cell r="HS7">
            <v>0</v>
          </cell>
          <cell r="HT7">
            <v>0</v>
          </cell>
          <cell r="HU7">
            <v>0</v>
          </cell>
          <cell r="HV7">
            <v>11584</v>
          </cell>
          <cell r="HW7">
            <v>50003</v>
          </cell>
          <cell r="HX7">
            <v>67663</v>
          </cell>
          <cell r="HY7">
            <v>117666</v>
          </cell>
          <cell r="HZ7">
            <v>129250</v>
          </cell>
          <cell r="IA7">
            <v>37355</v>
          </cell>
          <cell r="IB7">
            <v>142380</v>
          </cell>
          <cell r="IC7">
            <v>624341</v>
          </cell>
          <cell r="ID7">
            <v>624341</v>
          </cell>
          <cell r="IE7">
            <v>742007</v>
          </cell>
          <cell r="IF7">
            <v>230262</v>
          </cell>
          <cell r="IG7">
            <v>1010</v>
          </cell>
          <cell r="IJ7">
            <v>1</v>
          </cell>
          <cell r="IK7">
            <v>3.8399999999999997E-2</v>
          </cell>
          <cell r="IL7">
            <v>6.9999999999999999E-4</v>
          </cell>
          <cell r="IM7">
            <v>0.20849999999999999</v>
          </cell>
          <cell r="IN7">
            <v>0</v>
          </cell>
          <cell r="IO7">
            <v>0.18909999999999999</v>
          </cell>
          <cell r="IP7">
            <v>2.9999999999999997E-4</v>
          </cell>
          <cell r="IQ7">
            <v>0.71020000000000005</v>
          </cell>
          <cell r="IR7">
            <v>5.16E-2</v>
          </cell>
          <cell r="IS7">
            <v>0.36880000000000002</v>
          </cell>
          <cell r="IT7">
            <v>41401</v>
          </cell>
          <cell r="IU7">
            <v>10027</v>
          </cell>
          <cell r="IV7">
            <v>51428</v>
          </cell>
          <cell r="IW7">
            <v>0.3412</v>
          </cell>
          <cell r="IX7">
            <v>423383</v>
          </cell>
          <cell r="IZ7">
            <v>401</v>
          </cell>
          <cell r="JA7">
            <v>90</v>
          </cell>
          <cell r="JB7">
            <v>931</v>
          </cell>
          <cell r="JC7">
            <v>107</v>
          </cell>
          <cell r="JD7">
            <v>3</v>
          </cell>
          <cell r="JE7">
            <v>101</v>
          </cell>
          <cell r="JF7">
            <v>508</v>
          </cell>
          <cell r="JG7">
            <v>93</v>
          </cell>
          <cell r="JH7">
            <v>1032</v>
          </cell>
          <cell r="JI7">
            <v>1633</v>
          </cell>
          <cell r="JJ7">
            <v>1422</v>
          </cell>
          <cell r="JK7">
            <v>211</v>
          </cell>
          <cell r="JL7">
            <v>4539</v>
          </cell>
          <cell r="JM7">
            <v>726</v>
          </cell>
          <cell r="JN7">
            <v>21003</v>
          </cell>
          <cell r="JO7">
            <v>1479</v>
          </cell>
          <cell r="JP7">
            <v>80</v>
          </cell>
          <cell r="JQ7">
            <v>5025</v>
          </cell>
          <cell r="JR7">
            <v>6018</v>
          </cell>
          <cell r="JS7">
            <v>806</v>
          </cell>
          <cell r="JT7">
            <v>26028</v>
          </cell>
          <cell r="JU7">
            <v>32852</v>
          </cell>
          <cell r="JV7">
            <v>26268</v>
          </cell>
          <cell r="JW7">
            <v>6584</v>
          </cell>
          <cell r="JX7">
            <v>20.12</v>
          </cell>
          <cell r="JY7">
            <v>11.85</v>
          </cell>
          <cell r="JZ7">
            <v>25.22</v>
          </cell>
          <cell r="KA7">
            <v>0.18</v>
          </cell>
          <cell r="KB7">
            <v>0.79</v>
          </cell>
          <cell r="KC7">
            <v>10</v>
          </cell>
          <cell r="KD7">
            <v>17</v>
          </cell>
          <cell r="KE7">
            <v>80</v>
          </cell>
          <cell r="KF7">
            <v>531</v>
          </cell>
          <cell r="KG7">
            <v>824</v>
          </cell>
          <cell r="KH7">
            <v>18315</v>
          </cell>
          <cell r="KI7">
            <v>0</v>
          </cell>
          <cell r="KJ7">
            <v>0</v>
          </cell>
          <cell r="KK7">
            <v>0</v>
          </cell>
          <cell r="KL7">
            <v>0</v>
          </cell>
          <cell r="KM7">
            <v>-1</v>
          </cell>
          <cell r="KN7">
            <v>-1</v>
          </cell>
          <cell r="KO7">
            <v>-1</v>
          </cell>
          <cell r="KQ7">
            <v>1606</v>
          </cell>
          <cell r="KR7">
            <v>12469</v>
          </cell>
          <cell r="KS7">
            <v>15727</v>
          </cell>
          <cell r="KT7">
            <v>29346</v>
          </cell>
          <cell r="KU7">
            <v>66</v>
          </cell>
          <cell r="KV7">
            <v>128</v>
          </cell>
          <cell r="KW7">
            <v>58065</v>
          </cell>
          <cell r="KY7">
            <v>267691</v>
          </cell>
          <cell r="KZ7">
            <v>40855</v>
          </cell>
          <cell r="LC7" t="str">
            <v>ASHE COUNTY LIBRARY</v>
          </cell>
          <cell r="LD7" t="str">
            <v>County Owned</v>
          </cell>
          <cell r="LE7" t="str">
            <v>148 LIBRARY DR</v>
          </cell>
          <cell r="LF7" t="str">
            <v>WEST JEFFERSON</v>
          </cell>
          <cell r="LG7">
            <v>28694</v>
          </cell>
          <cell r="LH7">
            <v>9793</v>
          </cell>
          <cell r="LI7" t="str">
            <v>148 LIBRARY DR</v>
          </cell>
          <cell r="LJ7" t="str">
            <v>WEST JEFFERSON</v>
          </cell>
          <cell r="LK7">
            <v>28694</v>
          </cell>
          <cell r="LM7" t="str">
            <v>ASHE</v>
          </cell>
          <cell r="LN7">
            <v>3368462041</v>
          </cell>
          <cell r="LO7">
            <v>3368467503</v>
          </cell>
          <cell r="LP7">
            <v>71101</v>
          </cell>
          <cell r="LQ7">
            <v>42.53</v>
          </cell>
          <cell r="LS7">
            <v>11300</v>
          </cell>
          <cell r="LT7">
            <v>260</v>
          </cell>
          <cell r="LW7">
            <v>7</v>
          </cell>
          <cell r="LX7" t="str">
            <v>R-APPALACHIAN-A</v>
          </cell>
          <cell r="LY7">
            <v>0</v>
          </cell>
          <cell r="LZ7" t="str">
            <v>BR</v>
          </cell>
          <cell r="MA7">
            <v>100</v>
          </cell>
          <cell r="MB7">
            <v>100</v>
          </cell>
        </row>
        <row r="8">
          <cell r="A8" t="str">
            <v>NC0003</v>
          </cell>
          <cell r="B8">
            <v>0</v>
          </cell>
          <cell r="C8">
            <v>1375</v>
          </cell>
          <cell r="D8">
            <v>2017</v>
          </cell>
          <cell r="E8">
            <v>0</v>
          </cell>
          <cell r="F8" t="str">
            <v>NC0003</v>
          </cell>
          <cell r="G8" t="str">
            <v>R-AVERY-MITCHELL</v>
          </cell>
          <cell r="H8" t="str">
            <v>NO</v>
          </cell>
          <cell r="I8" t="str">
            <v>MJ</v>
          </cell>
          <cell r="J8" t="str">
            <v>MA</v>
          </cell>
          <cell r="K8" t="str">
            <v>Y</v>
          </cell>
          <cell r="L8" t="str">
            <v>MC1</v>
          </cell>
          <cell r="M8" t="str">
            <v>N</v>
          </cell>
          <cell r="N8">
            <v>51110</v>
          </cell>
          <cell r="O8" t="str">
            <v>Yes</v>
          </cell>
          <cell r="P8">
            <v>0</v>
          </cell>
          <cell r="Q8">
            <v>0</v>
          </cell>
          <cell r="R8">
            <v>22</v>
          </cell>
          <cell r="S8">
            <v>0</v>
          </cell>
          <cell r="T8">
            <v>516</v>
          </cell>
          <cell r="U8">
            <v>0</v>
          </cell>
          <cell r="V8">
            <v>9183</v>
          </cell>
          <cell r="W8">
            <v>0</v>
          </cell>
          <cell r="Y8">
            <v>0</v>
          </cell>
          <cell r="Z8" t="str">
            <v>PO DRAWER 310</v>
          </cell>
          <cell r="AA8" t="str">
            <v>BURNSVILLE</v>
          </cell>
          <cell r="AB8">
            <v>28714</v>
          </cell>
          <cell r="AC8">
            <v>310</v>
          </cell>
          <cell r="AD8" t="str">
            <v>289 BURNSVILLE SCHOOL RD</v>
          </cell>
          <cell r="AE8" t="str">
            <v>BURNSVILLE</v>
          </cell>
          <cell r="AF8">
            <v>28714</v>
          </cell>
          <cell r="AG8">
            <v>1</v>
          </cell>
          <cell r="AH8" t="str">
            <v>AVERY-MITCHELL-YANCEY REGIONAL LIBRARY</v>
          </cell>
          <cell r="AJ8" t="str">
            <v>Regional</v>
          </cell>
          <cell r="AK8" t="str">
            <v>YANCEY</v>
          </cell>
          <cell r="AL8" t="str">
            <v>Amber Briggs</v>
          </cell>
          <cell r="AM8" t="str">
            <v>(828) 682-4476</v>
          </cell>
          <cell r="AN8" t="str">
            <v>(828) 682-6277</v>
          </cell>
          <cell r="AO8" t="str">
            <v>director@amyregionallibrary.org</v>
          </cell>
          <cell r="AP8" t="str">
            <v>Rella Dale</v>
          </cell>
          <cell r="AQ8" t="str">
            <v>Administrative Assistant</v>
          </cell>
          <cell r="AR8" t="str">
            <v>(828) 682-4476</v>
          </cell>
          <cell r="AS8" t="str">
            <v>(828) 682-6277</v>
          </cell>
          <cell r="AT8" t="str">
            <v>tech@amyregionallibrary.org</v>
          </cell>
          <cell r="AU8" t="str">
            <v>www.amyregionallibrary.org</v>
          </cell>
          <cell r="BC8">
            <v>0</v>
          </cell>
          <cell r="BD8">
            <v>4</v>
          </cell>
          <cell r="BE8">
            <v>1</v>
          </cell>
          <cell r="BF8">
            <v>1</v>
          </cell>
          <cell r="BG8">
            <v>6</v>
          </cell>
          <cell r="BI8">
            <v>11832</v>
          </cell>
          <cell r="BJ8">
            <v>2</v>
          </cell>
          <cell r="BK8">
            <v>0</v>
          </cell>
          <cell r="BL8">
            <v>2</v>
          </cell>
          <cell r="BM8">
            <v>17</v>
          </cell>
          <cell r="BN8">
            <v>19</v>
          </cell>
          <cell r="BO8">
            <v>0.1053</v>
          </cell>
          <cell r="BP8">
            <v>3700</v>
          </cell>
          <cell r="BQ8">
            <v>41376</v>
          </cell>
          <cell r="BT8">
            <v>0</v>
          </cell>
          <cell r="BU8">
            <v>22215</v>
          </cell>
          <cell r="BV8">
            <v>31928</v>
          </cell>
          <cell r="BW8">
            <v>26812</v>
          </cell>
          <cell r="BY8">
            <v>27000</v>
          </cell>
          <cell r="BZ8">
            <v>31000</v>
          </cell>
          <cell r="CA8">
            <v>29000</v>
          </cell>
          <cell r="CC8">
            <v>0</v>
          </cell>
          <cell r="CD8">
            <v>0</v>
          </cell>
          <cell r="CE8">
            <v>0</v>
          </cell>
          <cell r="CG8">
            <v>0</v>
          </cell>
          <cell r="CH8">
            <v>0</v>
          </cell>
          <cell r="CI8">
            <v>0</v>
          </cell>
          <cell r="CK8">
            <v>0</v>
          </cell>
          <cell r="CL8">
            <v>0</v>
          </cell>
          <cell r="CM8">
            <v>0</v>
          </cell>
          <cell r="CO8">
            <v>18720</v>
          </cell>
          <cell r="CP8">
            <v>23958</v>
          </cell>
          <cell r="CQ8">
            <v>20030</v>
          </cell>
          <cell r="CR8">
            <v>0</v>
          </cell>
          <cell r="CS8">
            <v>0</v>
          </cell>
          <cell r="CT8">
            <v>0</v>
          </cell>
          <cell r="CV8">
            <v>0</v>
          </cell>
          <cell r="CW8">
            <v>0</v>
          </cell>
          <cell r="CX8">
            <v>0</v>
          </cell>
          <cell r="CZ8">
            <v>0</v>
          </cell>
          <cell r="DA8">
            <v>0</v>
          </cell>
          <cell r="DB8">
            <v>0</v>
          </cell>
          <cell r="DD8">
            <v>0</v>
          </cell>
          <cell r="DE8">
            <v>0</v>
          </cell>
          <cell r="DF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O8">
            <v>0</v>
          </cell>
          <cell r="DP8">
            <v>0</v>
          </cell>
          <cell r="DQ8">
            <v>0</v>
          </cell>
          <cell r="DS8">
            <v>0</v>
          </cell>
          <cell r="DT8">
            <v>0</v>
          </cell>
          <cell r="DU8">
            <v>0</v>
          </cell>
          <cell r="DV8">
            <v>80716</v>
          </cell>
          <cell r="DW8">
            <v>314356</v>
          </cell>
          <cell r="DX8">
            <v>395072</v>
          </cell>
          <cell r="DY8">
            <v>295077</v>
          </cell>
          <cell r="DZ8">
            <v>0</v>
          </cell>
          <cell r="EA8">
            <v>295077</v>
          </cell>
          <cell r="EB8">
            <v>0</v>
          </cell>
          <cell r="EC8">
            <v>0</v>
          </cell>
          <cell r="ED8">
            <v>0</v>
          </cell>
          <cell r="EE8">
            <v>153497</v>
          </cell>
          <cell r="EF8">
            <v>843646</v>
          </cell>
          <cell r="EG8">
            <v>382635</v>
          </cell>
          <cell r="EH8">
            <v>157908</v>
          </cell>
          <cell r="EI8">
            <v>540543</v>
          </cell>
          <cell r="EJ8">
            <v>60660</v>
          </cell>
          <cell r="EK8">
            <v>0</v>
          </cell>
          <cell r="EL8">
            <v>0</v>
          </cell>
          <cell r="EM8">
            <v>60660</v>
          </cell>
          <cell r="EN8">
            <v>239340</v>
          </cell>
          <cell r="EO8">
            <v>840543</v>
          </cell>
          <cell r="EP8">
            <v>3103</v>
          </cell>
          <cell r="EQ8">
            <v>3.7000000000000002E-3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12181</v>
          </cell>
          <cell r="EY8">
            <v>245921</v>
          </cell>
          <cell r="EZ8">
            <v>63807</v>
          </cell>
          <cell r="FA8">
            <v>2205</v>
          </cell>
          <cell r="FB8">
            <v>25470</v>
          </cell>
          <cell r="FC8">
            <v>61685</v>
          </cell>
          <cell r="FD8">
            <v>34</v>
          </cell>
          <cell r="FE8">
            <v>7653</v>
          </cell>
          <cell r="FF8">
            <v>125492</v>
          </cell>
          <cell r="FG8">
            <v>2239</v>
          </cell>
          <cell r="FH8">
            <v>33123</v>
          </cell>
          <cell r="FI8">
            <v>160854</v>
          </cell>
          <cell r="FJ8">
            <v>4745</v>
          </cell>
          <cell r="FK8">
            <v>108</v>
          </cell>
          <cell r="FM8">
            <v>160854</v>
          </cell>
          <cell r="FN8">
            <v>3230</v>
          </cell>
          <cell r="FO8">
            <v>3831</v>
          </cell>
          <cell r="FP8">
            <v>2720</v>
          </cell>
          <cell r="FQ8">
            <v>0</v>
          </cell>
          <cell r="FR8">
            <v>88</v>
          </cell>
          <cell r="FS8">
            <v>88</v>
          </cell>
          <cell r="FT8">
            <v>44141</v>
          </cell>
          <cell r="FU8">
            <v>3505</v>
          </cell>
          <cell r="FV8">
            <v>0</v>
          </cell>
          <cell r="FW8">
            <v>0</v>
          </cell>
          <cell r="FX8">
            <v>8544</v>
          </cell>
          <cell r="FY8">
            <v>1573</v>
          </cell>
          <cell r="FZ8">
            <v>322</v>
          </cell>
          <cell r="GA8">
            <v>0</v>
          </cell>
          <cell r="GB8">
            <v>5317</v>
          </cell>
          <cell r="GC8">
            <v>802</v>
          </cell>
          <cell r="GD8">
            <v>11</v>
          </cell>
          <cell r="GE8">
            <v>0</v>
          </cell>
          <cell r="GJ8">
            <v>5317</v>
          </cell>
          <cell r="GK8">
            <v>802</v>
          </cell>
          <cell r="GL8">
            <v>11</v>
          </cell>
          <cell r="GM8">
            <v>0</v>
          </cell>
          <cell r="GN8">
            <v>63319</v>
          </cell>
          <cell r="GO8">
            <v>6682</v>
          </cell>
          <cell r="GP8">
            <v>344</v>
          </cell>
          <cell r="GQ8">
            <v>0</v>
          </cell>
          <cell r="GR8">
            <v>45</v>
          </cell>
          <cell r="GT8">
            <v>83735</v>
          </cell>
          <cell r="GU8">
            <v>8811</v>
          </cell>
          <cell r="GV8">
            <v>113328</v>
          </cell>
          <cell r="GW8">
            <v>13721</v>
          </cell>
          <cell r="GX8">
            <v>15</v>
          </cell>
          <cell r="GY8">
            <v>27697</v>
          </cell>
          <cell r="GZ8">
            <v>97456</v>
          </cell>
          <cell r="HA8">
            <v>8826</v>
          </cell>
          <cell r="HB8">
            <v>141025</v>
          </cell>
          <cell r="HC8">
            <v>247307</v>
          </cell>
          <cell r="HD8">
            <v>4793</v>
          </cell>
          <cell r="HE8">
            <v>253282</v>
          </cell>
          <cell r="HF8">
            <v>4399</v>
          </cell>
          <cell r="HG8">
            <v>9232</v>
          </cell>
          <cell r="HH8">
            <v>1182</v>
          </cell>
          <cell r="HI8">
            <v>607</v>
          </cell>
          <cell r="HJ8">
            <v>14238</v>
          </cell>
          <cell r="HK8">
            <v>267520</v>
          </cell>
          <cell r="HL8">
            <v>27</v>
          </cell>
          <cell r="HM8">
            <v>2554</v>
          </cell>
          <cell r="HN8">
            <v>2581</v>
          </cell>
          <cell r="HO8">
            <v>205</v>
          </cell>
          <cell r="HP8">
            <v>1413</v>
          </cell>
          <cell r="HQ8">
            <v>1618</v>
          </cell>
          <cell r="HR8">
            <v>0</v>
          </cell>
          <cell r="HS8">
            <v>20</v>
          </cell>
          <cell r="HT8">
            <v>20</v>
          </cell>
          <cell r="HU8">
            <v>0</v>
          </cell>
          <cell r="HV8">
            <v>4219</v>
          </cell>
          <cell r="HW8">
            <v>1911</v>
          </cell>
          <cell r="HX8">
            <v>0</v>
          </cell>
          <cell r="HY8">
            <v>1911</v>
          </cell>
          <cell r="HZ8">
            <v>6130</v>
          </cell>
          <cell r="IA8">
            <v>6017</v>
          </cell>
          <cell r="IB8">
            <v>15269</v>
          </cell>
          <cell r="IC8">
            <v>271739</v>
          </cell>
          <cell r="ID8">
            <v>271739</v>
          </cell>
          <cell r="IE8">
            <v>273650</v>
          </cell>
          <cell r="IF8">
            <v>149851</v>
          </cell>
          <cell r="IG8">
            <v>1943</v>
          </cell>
          <cell r="IJ8">
            <v>1</v>
          </cell>
          <cell r="IK8">
            <v>1.7000000000000001E-2</v>
          </cell>
          <cell r="IL8">
            <v>4.0000000000000002E-4</v>
          </cell>
          <cell r="IM8">
            <v>0.28599999999999998</v>
          </cell>
          <cell r="IN8">
            <v>0</v>
          </cell>
          <cell r="IO8">
            <v>0.25750000000000001</v>
          </cell>
          <cell r="IP8">
            <v>4.0000000000000002E-4</v>
          </cell>
          <cell r="IQ8">
            <v>0.65410000000000001</v>
          </cell>
          <cell r="IR8">
            <v>4.0300000000000002E-2</v>
          </cell>
          <cell r="IS8">
            <v>0.55149999999999999</v>
          </cell>
          <cell r="IT8">
            <v>31903</v>
          </cell>
          <cell r="IU8">
            <v>7396</v>
          </cell>
          <cell r="IV8">
            <v>39299</v>
          </cell>
          <cell r="IW8">
            <v>0.76890000000000003</v>
          </cell>
          <cell r="IX8">
            <v>81820</v>
          </cell>
          <cell r="IZ8">
            <v>2651</v>
          </cell>
          <cell r="JA8">
            <v>0</v>
          </cell>
          <cell r="JB8">
            <v>253</v>
          </cell>
          <cell r="JC8">
            <v>20</v>
          </cell>
          <cell r="JD8">
            <v>0</v>
          </cell>
          <cell r="JE8">
            <v>30</v>
          </cell>
          <cell r="JF8">
            <v>2671</v>
          </cell>
          <cell r="JG8">
            <v>0</v>
          </cell>
          <cell r="JH8">
            <v>283</v>
          </cell>
          <cell r="JI8">
            <v>2954</v>
          </cell>
          <cell r="JJ8">
            <v>2904</v>
          </cell>
          <cell r="JK8">
            <v>50</v>
          </cell>
          <cell r="JL8">
            <v>14545</v>
          </cell>
          <cell r="JM8">
            <v>0</v>
          </cell>
          <cell r="JN8">
            <v>3853</v>
          </cell>
          <cell r="JO8">
            <v>800</v>
          </cell>
          <cell r="JP8">
            <v>0</v>
          </cell>
          <cell r="JQ8">
            <v>881</v>
          </cell>
          <cell r="JR8">
            <v>15345</v>
          </cell>
          <cell r="JS8">
            <v>0</v>
          </cell>
          <cell r="JT8">
            <v>4734</v>
          </cell>
          <cell r="JU8">
            <v>20079</v>
          </cell>
          <cell r="JV8">
            <v>18398</v>
          </cell>
          <cell r="JW8">
            <v>1681</v>
          </cell>
          <cell r="JX8">
            <v>6.8</v>
          </cell>
          <cell r="JY8">
            <v>5.75</v>
          </cell>
          <cell r="JZ8">
            <v>16.73</v>
          </cell>
          <cell r="KA8">
            <v>0.76</v>
          </cell>
          <cell r="KB8">
            <v>0.24</v>
          </cell>
          <cell r="KC8">
            <v>3</v>
          </cell>
          <cell r="KD8">
            <v>4</v>
          </cell>
          <cell r="KE8">
            <v>5</v>
          </cell>
          <cell r="KF8">
            <v>25</v>
          </cell>
          <cell r="KG8">
            <v>18</v>
          </cell>
          <cell r="KH8">
            <v>540</v>
          </cell>
          <cell r="KI8">
            <v>0</v>
          </cell>
          <cell r="KJ8">
            <v>0</v>
          </cell>
          <cell r="KK8">
            <v>16</v>
          </cell>
          <cell r="KL8">
            <v>192</v>
          </cell>
          <cell r="KM8">
            <v>31318</v>
          </cell>
          <cell r="KN8">
            <v>12610</v>
          </cell>
          <cell r="KO8">
            <v>850</v>
          </cell>
          <cell r="KQ8">
            <v>2651</v>
          </cell>
          <cell r="KR8">
            <v>20079</v>
          </cell>
          <cell r="KS8">
            <v>0</v>
          </cell>
          <cell r="KT8">
            <v>0</v>
          </cell>
          <cell r="KU8">
            <v>10</v>
          </cell>
          <cell r="KV8">
            <v>108</v>
          </cell>
          <cell r="KW8">
            <v>55764</v>
          </cell>
          <cell r="KY8">
            <v>8782</v>
          </cell>
          <cell r="KZ8">
            <v>20222</v>
          </cell>
          <cell r="LC8" t="str">
            <v>AVERY COUNTY LIBRARY</v>
          </cell>
          <cell r="LD8" t="str">
            <v>County Owned</v>
          </cell>
          <cell r="LE8" t="str">
            <v>PO BOX 250</v>
          </cell>
          <cell r="LF8" t="str">
            <v>NEWLAND</v>
          </cell>
          <cell r="LG8">
            <v>28657</v>
          </cell>
          <cell r="LH8">
            <v>250</v>
          </cell>
          <cell r="LI8" t="str">
            <v>150 LIBRARY PL</v>
          </cell>
          <cell r="LJ8" t="str">
            <v>NEWLAND</v>
          </cell>
          <cell r="LK8">
            <v>28657</v>
          </cell>
          <cell r="LL8">
            <v>250</v>
          </cell>
          <cell r="LM8" t="str">
            <v>AVERY</v>
          </cell>
          <cell r="LN8">
            <v>8287339393</v>
          </cell>
          <cell r="LO8">
            <v>8287339393</v>
          </cell>
          <cell r="LP8">
            <v>28632</v>
          </cell>
          <cell r="LQ8">
            <v>10</v>
          </cell>
          <cell r="LS8">
            <v>11832</v>
          </cell>
          <cell r="LT8">
            <v>260</v>
          </cell>
          <cell r="LW8">
            <v>2</v>
          </cell>
          <cell r="LX8" t="str">
            <v>R-AVERY-MITCHELL-A</v>
          </cell>
          <cell r="LY8">
            <v>0</v>
          </cell>
          <cell r="LZ8" t="str">
            <v>BR</v>
          </cell>
          <cell r="MA8">
            <v>0.81</v>
          </cell>
          <cell r="MB8">
            <v>15.36</v>
          </cell>
        </row>
        <row r="9">
          <cell r="A9" t="str">
            <v>NC0004</v>
          </cell>
          <cell r="B9">
            <v>0</v>
          </cell>
          <cell r="C9">
            <v>1375</v>
          </cell>
          <cell r="D9">
            <v>2017</v>
          </cell>
          <cell r="E9">
            <v>0</v>
          </cell>
          <cell r="F9" t="str">
            <v>NC0004</v>
          </cell>
          <cell r="G9" t="str">
            <v>R-BHM</v>
          </cell>
          <cell r="H9" t="str">
            <v>NO</v>
          </cell>
          <cell r="I9" t="str">
            <v>MJ</v>
          </cell>
          <cell r="J9" t="str">
            <v>MO</v>
          </cell>
          <cell r="K9" t="str">
            <v>Y</v>
          </cell>
          <cell r="L9" t="str">
            <v>MC2</v>
          </cell>
          <cell r="M9" t="str">
            <v>N</v>
          </cell>
          <cell r="N9">
            <v>67567</v>
          </cell>
          <cell r="O9" t="str">
            <v>Yes</v>
          </cell>
          <cell r="P9">
            <v>463</v>
          </cell>
          <cell r="Q9">
            <v>30</v>
          </cell>
          <cell r="R9">
            <v>111</v>
          </cell>
          <cell r="S9">
            <v>7</v>
          </cell>
          <cell r="T9">
            <v>2357</v>
          </cell>
          <cell r="U9">
            <v>25</v>
          </cell>
          <cell r="V9">
            <v>6859</v>
          </cell>
          <cell r="W9">
            <v>592</v>
          </cell>
          <cell r="X9">
            <v>222547</v>
          </cell>
          <cell r="Y9">
            <v>20820</v>
          </cell>
          <cell r="Z9" t="str">
            <v>158 N MARKET ST</v>
          </cell>
          <cell r="AA9" t="str">
            <v>WASHINGTON</v>
          </cell>
          <cell r="AB9">
            <v>27889</v>
          </cell>
          <cell r="AC9">
            <v>4948</v>
          </cell>
          <cell r="AD9" t="str">
            <v>158 N MARKET ST</v>
          </cell>
          <cell r="AE9" t="str">
            <v>WASHINGTON</v>
          </cell>
          <cell r="AF9">
            <v>27889</v>
          </cell>
          <cell r="AG9">
            <v>1</v>
          </cell>
          <cell r="AH9" t="str">
            <v>BEAUFORT-HYDE-MARTIN REGIONAL LIBRARY</v>
          </cell>
          <cell r="AJ9" t="str">
            <v>Regional</v>
          </cell>
          <cell r="AK9" t="str">
            <v>BEAUFORT</v>
          </cell>
          <cell r="AL9" t="str">
            <v>Hannah Easley</v>
          </cell>
          <cell r="AM9" t="str">
            <v>(252) 946-6401</v>
          </cell>
          <cell r="AN9" t="str">
            <v>(252) 946-0352</v>
          </cell>
          <cell r="AO9" t="str">
            <v>heasley@bhmlib.org</v>
          </cell>
          <cell r="AP9" t="str">
            <v>Hannah Easley</v>
          </cell>
          <cell r="AQ9" t="str">
            <v>Director</v>
          </cell>
          <cell r="AR9" t="str">
            <v>(252) 946-6401</v>
          </cell>
          <cell r="AS9" t="str">
            <v>(252) 946-0352</v>
          </cell>
          <cell r="AT9" t="str">
            <v>heasley@bhmlib.org</v>
          </cell>
          <cell r="AU9" t="str">
            <v>www.bhmlib.org</v>
          </cell>
          <cell r="BC9">
            <v>1</v>
          </cell>
          <cell r="BD9">
            <v>7</v>
          </cell>
          <cell r="BE9">
            <v>0</v>
          </cell>
          <cell r="BF9">
            <v>1</v>
          </cell>
          <cell r="BG9">
            <v>9</v>
          </cell>
          <cell r="BI9">
            <v>15496</v>
          </cell>
          <cell r="BJ9">
            <v>2</v>
          </cell>
          <cell r="BK9">
            <v>1</v>
          </cell>
          <cell r="BL9">
            <v>3</v>
          </cell>
          <cell r="BM9">
            <v>15.1</v>
          </cell>
          <cell r="BN9">
            <v>18.100000000000001</v>
          </cell>
          <cell r="BO9">
            <v>0.1105</v>
          </cell>
          <cell r="BP9">
            <v>250</v>
          </cell>
          <cell r="BQ9">
            <v>50551</v>
          </cell>
          <cell r="BU9">
            <v>25000</v>
          </cell>
          <cell r="BV9">
            <v>41600</v>
          </cell>
          <cell r="BW9">
            <v>30533</v>
          </cell>
          <cell r="BY9">
            <v>38125</v>
          </cell>
          <cell r="CA9">
            <v>38125</v>
          </cell>
          <cell r="DK9">
            <v>34034</v>
          </cell>
          <cell r="DM9">
            <v>34034</v>
          </cell>
          <cell r="DO9">
            <v>21694</v>
          </cell>
          <cell r="DP9">
            <v>26000</v>
          </cell>
          <cell r="DQ9">
            <v>23847</v>
          </cell>
          <cell r="DS9">
            <v>30030</v>
          </cell>
          <cell r="DU9">
            <v>30030</v>
          </cell>
          <cell r="DV9">
            <v>124150</v>
          </cell>
          <cell r="DW9">
            <v>344732</v>
          </cell>
          <cell r="DX9">
            <v>468882</v>
          </cell>
          <cell r="DY9">
            <v>302831</v>
          </cell>
          <cell r="DZ9">
            <v>0</v>
          </cell>
          <cell r="EA9">
            <v>302831</v>
          </cell>
          <cell r="EB9">
            <v>40756</v>
          </cell>
          <cell r="EC9">
            <v>0</v>
          </cell>
          <cell r="ED9">
            <v>40756</v>
          </cell>
          <cell r="EE9">
            <v>77175</v>
          </cell>
          <cell r="EF9">
            <v>889644</v>
          </cell>
          <cell r="EG9">
            <v>473001</v>
          </cell>
          <cell r="EH9">
            <v>90831</v>
          </cell>
          <cell r="EI9">
            <v>563832</v>
          </cell>
          <cell r="EJ9">
            <v>49331</v>
          </cell>
          <cell r="EK9">
            <v>8911</v>
          </cell>
          <cell r="EL9">
            <v>10071</v>
          </cell>
          <cell r="EM9">
            <v>68313</v>
          </cell>
          <cell r="EN9">
            <v>257499</v>
          </cell>
          <cell r="EO9">
            <v>889644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19078</v>
          </cell>
          <cell r="EX9">
            <v>11855</v>
          </cell>
          <cell r="EY9">
            <v>176311</v>
          </cell>
          <cell r="EZ9">
            <v>36055</v>
          </cell>
          <cell r="FA9">
            <v>1721</v>
          </cell>
          <cell r="FB9">
            <v>23594</v>
          </cell>
          <cell r="FC9">
            <v>28102</v>
          </cell>
          <cell r="FD9">
            <v>158</v>
          </cell>
          <cell r="FE9">
            <v>12287</v>
          </cell>
          <cell r="FF9">
            <v>64157</v>
          </cell>
          <cell r="FG9">
            <v>1879</v>
          </cell>
          <cell r="FH9">
            <v>35881</v>
          </cell>
          <cell r="FI9">
            <v>101917</v>
          </cell>
          <cell r="FJ9">
            <v>152</v>
          </cell>
          <cell r="FK9">
            <v>56</v>
          </cell>
          <cell r="FM9">
            <v>101917</v>
          </cell>
          <cell r="FN9">
            <v>1885</v>
          </cell>
          <cell r="FO9">
            <v>6151</v>
          </cell>
          <cell r="FP9">
            <v>37</v>
          </cell>
          <cell r="FQ9">
            <v>0</v>
          </cell>
          <cell r="FR9">
            <v>88</v>
          </cell>
          <cell r="FS9">
            <v>88</v>
          </cell>
          <cell r="FT9">
            <v>44141</v>
          </cell>
          <cell r="FU9">
            <v>3505</v>
          </cell>
          <cell r="FV9">
            <v>0</v>
          </cell>
          <cell r="FW9">
            <v>0</v>
          </cell>
          <cell r="FX9">
            <v>8544</v>
          </cell>
          <cell r="FY9">
            <v>1573</v>
          </cell>
          <cell r="FZ9">
            <v>322</v>
          </cell>
          <cell r="GA9">
            <v>0</v>
          </cell>
          <cell r="GE9">
            <v>0</v>
          </cell>
          <cell r="GJ9">
            <v>7576</v>
          </cell>
          <cell r="GK9">
            <v>314</v>
          </cell>
          <cell r="GL9">
            <v>0</v>
          </cell>
          <cell r="GM9">
            <v>50</v>
          </cell>
          <cell r="GN9">
            <v>60261</v>
          </cell>
          <cell r="GO9">
            <v>5392</v>
          </cell>
          <cell r="GP9">
            <v>322</v>
          </cell>
          <cell r="GQ9">
            <v>50</v>
          </cell>
          <cell r="GR9">
            <v>50</v>
          </cell>
          <cell r="GT9">
            <v>40829</v>
          </cell>
          <cell r="GU9">
            <v>1634</v>
          </cell>
          <cell r="GV9">
            <v>26790</v>
          </cell>
          <cell r="GW9">
            <v>4258</v>
          </cell>
          <cell r="GX9">
            <v>112</v>
          </cell>
          <cell r="GY9">
            <v>4223</v>
          </cell>
          <cell r="GZ9">
            <v>45087</v>
          </cell>
          <cell r="HA9">
            <v>1746</v>
          </cell>
          <cell r="HB9">
            <v>31013</v>
          </cell>
          <cell r="HC9">
            <v>77846</v>
          </cell>
          <cell r="HD9">
            <v>471</v>
          </cell>
          <cell r="HE9">
            <v>78472</v>
          </cell>
          <cell r="HF9">
            <v>1157</v>
          </cell>
          <cell r="HG9">
            <v>14256</v>
          </cell>
          <cell r="HH9">
            <v>155</v>
          </cell>
          <cell r="HI9">
            <v>78</v>
          </cell>
          <cell r="HJ9">
            <v>15491</v>
          </cell>
          <cell r="HK9">
            <v>93963</v>
          </cell>
          <cell r="HL9">
            <v>125</v>
          </cell>
          <cell r="HM9">
            <v>1046</v>
          </cell>
          <cell r="HN9">
            <v>1171</v>
          </cell>
          <cell r="HO9">
            <v>477</v>
          </cell>
          <cell r="HP9">
            <v>240</v>
          </cell>
          <cell r="HQ9">
            <v>717</v>
          </cell>
          <cell r="HR9">
            <v>0</v>
          </cell>
          <cell r="HS9">
            <v>0</v>
          </cell>
          <cell r="HT9">
            <v>0</v>
          </cell>
          <cell r="HU9">
            <v>91</v>
          </cell>
          <cell r="HV9">
            <v>1979</v>
          </cell>
          <cell r="HW9">
            <v>5021</v>
          </cell>
          <cell r="HX9">
            <v>0</v>
          </cell>
          <cell r="HY9">
            <v>5021</v>
          </cell>
          <cell r="HZ9">
            <v>7000</v>
          </cell>
          <cell r="IA9">
            <v>1874</v>
          </cell>
          <cell r="IB9">
            <v>16130</v>
          </cell>
          <cell r="IC9">
            <v>95942</v>
          </cell>
          <cell r="ID9">
            <v>95942</v>
          </cell>
          <cell r="IE9">
            <v>100963</v>
          </cell>
          <cell r="IF9">
            <v>31013</v>
          </cell>
          <cell r="IG9">
            <v>77</v>
          </cell>
          <cell r="IJ9">
            <v>1</v>
          </cell>
          <cell r="IK9">
            <v>3.6700000000000003E-2</v>
          </cell>
          <cell r="IL9">
            <v>2.9999999999999997E-4</v>
          </cell>
          <cell r="IM9">
            <v>0.3745</v>
          </cell>
          <cell r="IN9">
            <v>0</v>
          </cell>
          <cell r="IO9">
            <v>0.34179999999999999</v>
          </cell>
          <cell r="IP9">
            <v>5.0000000000000001E-4</v>
          </cell>
          <cell r="IQ9">
            <v>0.57809999999999995</v>
          </cell>
          <cell r="IR9">
            <v>4.1300000000000003E-2</v>
          </cell>
          <cell r="IS9">
            <v>0.32319999999999999</v>
          </cell>
          <cell r="IT9">
            <v>7738</v>
          </cell>
          <cell r="IU9">
            <v>2338</v>
          </cell>
          <cell r="IV9">
            <v>10076</v>
          </cell>
          <cell r="IW9">
            <v>0.14910000000000001</v>
          </cell>
          <cell r="IX9">
            <v>98309</v>
          </cell>
          <cell r="IZ9">
            <v>131</v>
          </cell>
          <cell r="JA9">
            <v>58</v>
          </cell>
          <cell r="JB9">
            <v>288</v>
          </cell>
          <cell r="JC9">
            <v>1</v>
          </cell>
          <cell r="JD9">
            <v>1</v>
          </cell>
          <cell r="JE9">
            <v>95</v>
          </cell>
          <cell r="JF9">
            <v>132</v>
          </cell>
          <cell r="JG9">
            <v>59</v>
          </cell>
          <cell r="JH9">
            <v>383</v>
          </cell>
          <cell r="JI9">
            <v>574</v>
          </cell>
          <cell r="JJ9">
            <v>477</v>
          </cell>
          <cell r="JK9">
            <v>97</v>
          </cell>
          <cell r="JL9">
            <v>1457</v>
          </cell>
          <cell r="JM9">
            <v>132</v>
          </cell>
          <cell r="JN9">
            <v>4295</v>
          </cell>
          <cell r="JO9">
            <v>5</v>
          </cell>
          <cell r="JP9">
            <v>221</v>
          </cell>
          <cell r="JQ9">
            <v>4376</v>
          </cell>
          <cell r="JR9">
            <v>1462</v>
          </cell>
          <cell r="JS9">
            <v>353</v>
          </cell>
          <cell r="JT9">
            <v>8671</v>
          </cell>
          <cell r="JU9">
            <v>10486</v>
          </cell>
          <cell r="JV9">
            <v>5884</v>
          </cell>
          <cell r="JW9">
            <v>4602</v>
          </cell>
          <cell r="JX9">
            <v>18.27</v>
          </cell>
          <cell r="JY9">
            <v>11.08</v>
          </cell>
          <cell r="JZ9">
            <v>22.64</v>
          </cell>
          <cell r="KA9">
            <v>0.14000000000000001</v>
          </cell>
          <cell r="KB9">
            <v>0.83</v>
          </cell>
          <cell r="KC9">
            <v>2</v>
          </cell>
          <cell r="KD9">
            <v>7</v>
          </cell>
          <cell r="KE9">
            <v>8</v>
          </cell>
          <cell r="KF9">
            <v>16</v>
          </cell>
          <cell r="KM9">
            <v>20630</v>
          </cell>
          <cell r="KN9">
            <v>4568</v>
          </cell>
          <cell r="KO9">
            <v>936</v>
          </cell>
          <cell r="KQ9">
            <v>90</v>
          </cell>
          <cell r="KR9">
            <v>922</v>
          </cell>
          <cell r="KS9">
            <v>4034</v>
          </cell>
          <cell r="KT9">
            <v>4095</v>
          </cell>
          <cell r="KU9">
            <v>22</v>
          </cell>
          <cell r="KV9">
            <v>87</v>
          </cell>
          <cell r="KW9">
            <v>32544</v>
          </cell>
          <cell r="KY9">
            <v>59000</v>
          </cell>
          <cell r="KZ9">
            <v>19722</v>
          </cell>
          <cell r="LC9" t="str">
            <v>BHM REGIONAL LIBRARY</v>
          </cell>
          <cell r="LD9" t="str">
            <v>Leased</v>
          </cell>
          <cell r="LE9" t="str">
            <v>158 N MARKET ST</v>
          </cell>
          <cell r="LF9" t="str">
            <v>WASHINGTON</v>
          </cell>
          <cell r="LG9">
            <v>27889</v>
          </cell>
          <cell r="LH9">
            <v>4948</v>
          </cell>
          <cell r="LI9" t="str">
            <v>158 N MARKET ST</v>
          </cell>
          <cell r="LJ9" t="str">
            <v>WASHINGTON</v>
          </cell>
          <cell r="LK9">
            <v>27889</v>
          </cell>
          <cell r="LL9">
            <v>4948</v>
          </cell>
          <cell r="LM9" t="str">
            <v>BEAUFORT</v>
          </cell>
          <cell r="LN9">
            <v>2529466401</v>
          </cell>
          <cell r="LO9">
            <v>2529460352</v>
          </cell>
          <cell r="LP9">
            <v>31962</v>
          </cell>
          <cell r="LQ9">
            <v>18.38</v>
          </cell>
          <cell r="LS9">
            <v>15496</v>
          </cell>
          <cell r="LT9">
            <v>416</v>
          </cell>
          <cell r="LW9">
            <v>10</v>
          </cell>
          <cell r="LX9" t="str">
            <v>R-BHM-BHM</v>
          </cell>
          <cell r="LY9">
            <v>0</v>
          </cell>
          <cell r="LZ9" t="str">
            <v>CE</v>
          </cell>
          <cell r="MA9">
            <v>20</v>
          </cell>
          <cell r="MB9">
            <v>5</v>
          </cell>
        </row>
        <row r="10">
          <cell r="A10" t="str">
            <v>NC0017</v>
          </cell>
          <cell r="B10">
            <v>0</v>
          </cell>
          <cell r="C10">
            <v>1375</v>
          </cell>
          <cell r="D10">
            <v>2017</v>
          </cell>
          <cell r="E10">
            <v>0</v>
          </cell>
          <cell r="F10" t="str">
            <v>NC0017</v>
          </cell>
          <cell r="G10" t="str">
            <v>C-BLADEN</v>
          </cell>
          <cell r="H10" t="str">
            <v>NO</v>
          </cell>
          <cell r="I10" t="str">
            <v>CO</v>
          </cell>
          <cell r="J10" t="str">
            <v>MO</v>
          </cell>
          <cell r="K10" t="str">
            <v>Y</v>
          </cell>
          <cell r="L10" t="str">
            <v>CO1</v>
          </cell>
          <cell r="M10" t="str">
            <v>N</v>
          </cell>
          <cell r="N10">
            <v>35011</v>
          </cell>
          <cell r="O10" t="str">
            <v>Yes</v>
          </cell>
          <cell r="R10">
            <v>27</v>
          </cell>
          <cell r="S10">
            <v>0</v>
          </cell>
          <cell r="T10">
            <v>699</v>
          </cell>
          <cell r="U10">
            <v>0</v>
          </cell>
          <cell r="V10">
            <v>3108</v>
          </cell>
          <cell r="W10">
            <v>53</v>
          </cell>
          <cell r="Z10" t="str">
            <v>PO BOX 1419</v>
          </cell>
          <cell r="AA10" t="str">
            <v>ELIZABETHTOWN</v>
          </cell>
          <cell r="AB10">
            <v>28337</v>
          </cell>
          <cell r="AC10">
            <v>1419</v>
          </cell>
          <cell r="AD10" t="str">
            <v>111 N CYPRESS ST</v>
          </cell>
          <cell r="AE10" t="str">
            <v>ELIZABETHTOWN</v>
          </cell>
          <cell r="AF10">
            <v>28337</v>
          </cell>
          <cell r="AG10">
            <v>1</v>
          </cell>
          <cell r="AH10" t="str">
            <v>BLADEN COUNTY PUBLIC LIBRARY</v>
          </cell>
          <cell r="AJ10" t="str">
            <v>County</v>
          </cell>
          <cell r="AK10" t="str">
            <v>BLADEN</v>
          </cell>
          <cell r="AL10" t="str">
            <v>Kelsey Edwards</v>
          </cell>
          <cell r="AM10" t="str">
            <v>(910) 862-6990</v>
          </cell>
          <cell r="AN10" t="str">
            <v>(910) 862-8777</v>
          </cell>
          <cell r="AO10" t="str">
            <v>kedwards@bladenco.org</v>
          </cell>
          <cell r="AP10" t="str">
            <v>Kelsey Edwards</v>
          </cell>
          <cell r="AQ10" t="str">
            <v>Library Director</v>
          </cell>
          <cell r="AR10" t="str">
            <v>(910) 862-6994</v>
          </cell>
          <cell r="AS10" t="str">
            <v>(910) 862-8777</v>
          </cell>
          <cell r="AT10" t="str">
            <v>kedwards@bladenco.org</v>
          </cell>
          <cell r="AU10" t="str">
            <v>http://bladenco.libguides.com/home</v>
          </cell>
          <cell r="BC10">
            <v>1</v>
          </cell>
          <cell r="BD10">
            <v>2</v>
          </cell>
          <cell r="BE10">
            <v>1</v>
          </cell>
          <cell r="BF10">
            <v>2</v>
          </cell>
          <cell r="BG10">
            <v>6</v>
          </cell>
          <cell r="BI10">
            <v>6494</v>
          </cell>
          <cell r="BJ10">
            <v>1</v>
          </cell>
          <cell r="BK10">
            <v>0</v>
          </cell>
          <cell r="BL10">
            <v>1</v>
          </cell>
          <cell r="BM10">
            <v>9.26</v>
          </cell>
          <cell r="BN10">
            <v>10.26</v>
          </cell>
          <cell r="BO10">
            <v>9.7500000000000003E-2</v>
          </cell>
          <cell r="BP10">
            <v>281</v>
          </cell>
          <cell r="BQ10">
            <v>51192</v>
          </cell>
          <cell r="BT10">
            <v>43999</v>
          </cell>
          <cell r="BU10">
            <v>23508</v>
          </cell>
          <cell r="BV10">
            <v>30296</v>
          </cell>
          <cell r="BW10">
            <v>26902</v>
          </cell>
          <cell r="CG10">
            <v>34136</v>
          </cell>
          <cell r="CH10">
            <v>43894</v>
          </cell>
          <cell r="CI10">
            <v>39015</v>
          </cell>
          <cell r="CR10">
            <v>26165</v>
          </cell>
          <cell r="CS10">
            <v>33723</v>
          </cell>
          <cell r="CT10">
            <v>29944</v>
          </cell>
          <cell r="DO10">
            <v>23508</v>
          </cell>
          <cell r="DP10">
            <v>30296</v>
          </cell>
          <cell r="DQ10">
            <v>26902</v>
          </cell>
          <cell r="DS10">
            <v>28822</v>
          </cell>
          <cell r="DT10">
            <v>37149</v>
          </cell>
          <cell r="DU10">
            <v>32986</v>
          </cell>
          <cell r="DV10">
            <v>15000</v>
          </cell>
          <cell r="DW10">
            <v>405071</v>
          </cell>
          <cell r="DX10">
            <v>420071</v>
          </cell>
          <cell r="DY10">
            <v>95350</v>
          </cell>
          <cell r="DZ10">
            <v>0</v>
          </cell>
          <cell r="EA10">
            <v>95350</v>
          </cell>
          <cell r="EB10">
            <v>26049</v>
          </cell>
          <cell r="EC10">
            <v>0</v>
          </cell>
          <cell r="ED10">
            <v>26049</v>
          </cell>
          <cell r="EE10">
            <v>8000</v>
          </cell>
          <cell r="EF10">
            <v>549470</v>
          </cell>
          <cell r="EG10">
            <v>315020</v>
          </cell>
          <cell r="EH10">
            <v>119864</v>
          </cell>
          <cell r="EI10">
            <v>434884</v>
          </cell>
          <cell r="EJ10">
            <v>18340</v>
          </cell>
          <cell r="EK10">
            <v>3173</v>
          </cell>
          <cell r="EL10">
            <v>2984</v>
          </cell>
          <cell r="EM10">
            <v>24497</v>
          </cell>
          <cell r="EN10">
            <v>70795</v>
          </cell>
          <cell r="EO10">
            <v>530176</v>
          </cell>
          <cell r="EP10">
            <v>19294</v>
          </cell>
          <cell r="EQ10">
            <v>3.5099999999999999E-2</v>
          </cell>
          <cell r="ER10">
            <v>30428</v>
          </cell>
          <cell r="ES10">
            <v>0</v>
          </cell>
          <cell r="ET10">
            <v>0</v>
          </cell>
          <cell r="EU10">
            <v>0</v>
          </cell>
          <cell r="EV10">
            <v>30428</v>
          </cell>
          <cell r="EW10">
            <v>28791</v>
          </cell>
          <cell r="EX10">
            <v>8760</v>
          </cell>
          <cell r="EY10">
            <v>115926</v>
          </cell>
          <cell r="EZ10">
            <v>22620</v>
          </cell>
          <cell r="FA10">
            <v>33</v>
          </cell>
          <cell r="FB10">
            <v>10564</v>
          </cell>
          <cell r="FC10">
            <v>13728</v>
          </cell>
          <cell r="FD10">
            <v>0</v>
          </cell>
          <cell r="FE10">
            <v>5211</v>
          </cell>
          <cell r="FF10">
            <v>36348</v>
          </cell>
          <cell r="FG10">
            <v>33</v>
          </cell>
          <cell r="FH10">
            <v>15775</v>
          </cell>
          <cell r="FI10">
            <v>52156</v>
          </cell>
          <cell r="FJ10">
            <v>51</v>
          </cell>
          <cell r="FK10">
            <v>38</v>
          </cell>
          <cell r="FM10">
            <v>52156</v>
          </cell>
          <cell r="FN10">
            <v>2415</v>
          </cell>
          <cell r="FO10">
            <v>2491</v>
          </cell>
          <cell r="FP10">
            <v>46</v>
          </cell>
          <cell r="FQ10">
            <v>2</v>
          </cell>
          <cell r="FR10">
            <v>88</v>
          </cell>
          <cell r="FS10">
            <v>90</v>
          </cell>
          <cell r="FT10">
            <v>44141</v>
          </cell>
          <cell r="FU10">
            <v>3505</v>
          </cell>
          <cell r="FV10">
            <v>0</v>
          </cell>
          <cell r="FW10">
            <v>0</v>
          </cell>
          <cell r="FX10">
            <v>8544</v>
          </cell>
          <cell r="FY10">
            <v>1573</v>
          </cell>
          <cell r="FZ10">
            <v>322</v>
          </cell>
          <cell r="GA10">
            <v>0</v>
          </cell>
          <cell r="GJ10">
            <v>205</v>
          </cell>
          <cell r="GK10">
            <v>349</v>
          </cell>
          <cell r="GL10">
            <v>0</v>
          </cell>
          <cell r="GM10">
            <v>0</v>
          </cell>
          <cell r="GN10">
            <v>52890</v>
          </cell>
          <cell r="GO10">
            <v>5427</v>
          </cell>
          <cell r="GP10">
            <v>322</v>
          </cell>
          <cell r="GQ10">
            <v>0</v>
          </cell>
          <cell r="GR10">
            <v>15</v>
          </cell>
          <cell r="GT10">
            <v>10850</v>
          </cell>
          <cell r="GU10">
            <v>17</v>
          </cell>
          <cell r="GV10">
            <v>12352</v>
          </cell>
          <cell r="GW10">
            <v>1930</v>
          </cell>
          <cell r="GX10">
            <v>1</v>
          </cell>
          <cell r="GY10">
            <v>1449</v>
          </cell>
          <cell r="GZ10">
            <v>12780</v>
          </cell>
          <cell r="HA10">
            <v>18</v>
          </cell>
          <cell r="HB10">
            <v>13801</v>
          </cell>
          <cell r="HC10">
            <v>26599</v>
          </cell>
          <cell r="HD10">
            <v>23</v>
          </cell>
          <cell r="HE10">
            <v>26658</v>
          </cell>
          <cell r="HF10">
            <v>1342</v>
          </cell>
          <cell r="HG10">
            <v>4172</v>
          </cell>
          <cell r="HH10">
            <v>36</v>
          </cell>
          <cell r="HI10">
            <v>0</v>
          </cell>
          <cell r="HJ10">
            <v>5514</v>
          </cell>
          <cell r="HK10">
            <v>32172</v>
          </cell>
          <cell r="HL10">
            <v>19</v>
          </cell>
          <cell r="HM10">
            <v>27</v>
          </cell>
          <cell r="HN10">
            <v>46</v>
          </cell>
          <cell r="HO10">
            <v>189</v>
          </cell>
          <cell r="HP10">
            <v>196</v>
          </cell>
          <cell r="HQ10">
            <v>385</v>
          </cell>
          <cell r="HR10">
            <v>0</v>
          </cell>
          <cell r="HS10">
            <v>0</v>
          </cell>
          <cell r="HT10">
            <v>0</v>
          </cell>
          <cell r="HU10">
            <v>0</v>
          </cell>
          <cell r="HV10">
            <v>431</v>
          </cell>
          <cell r="HW10">
            <v>688</v>
          </cell>
          <cell r="HX10">
            <v>939</v>
          </cell>
          <cell r="HY10">
            <v>1627</v>
          </cell>
          <cell r="HZ10">
            <v>2058</v>
          </cell>
          <cell r="IA10">
            <v>1727</v>
          </cell>
          <cell r="IB10">
            <v>5899</v>
          </cell>
          <cell r="IC10">
            <v>32603</v>
          </cell>
          <cell r="ID10">
            <v>32603</v>
          </cell>
          <cell r="IE10">
            <v>34230</v>
          </cell>
          <cell r="IF10">
            <v>13819</v>
          </cell>
          <cell r="IG10">
            <v>0</v>
          </cell>
          <cell r="IK10">
            <v>2.4299999999999999E-2</v>
          </cell>
          <cell r="IL10">
            <v>2.9999999999999997E-4</v>
          </cell>
          <cell r="IM10">
            <v>0.50580000000000003</v>
          </cell>
          <cell r="IN10">
            <v>0</v>
          </cell>
          <cell r="IO10">
            <v>0.45619999999999999</v>
          </cell>
          <cell r="IP10">
            <v>8.0000000000000004E-4</v>
          </cell>
          <cell r="IQ10">
            <v>0.44990000000000002</v>
          </cell>
          <cell r="IR10">
            <v>6.7599999999999993E-2</v>
          </cell>
          <cell r="IS10">
            <v>0.4239</v>
          </cell>
          <cell r="IT10">
            <v>9124</v>
          </cell>
          <cell r="IU10">
            <v>2846</v>
          </cell>
          <cell r="IV10">
            <v>11970</v>
          </cell>
          <cell r="IW10">
            <v>0.34189999999999998</v>
          </cell>
          <cell r="IX10">
            <v>32485</v>
          </cell>
          <cell r="IZ10">
            <v>4</v>
          </cell>
          <cell r="JA10">
            <v>0</v>
          </cell>
          <cell r="JB10">
            <v>131</v>
          </cell>
          <cell r="JC10">
            <v>2</v>
          </cell>
          <cell r="JD10">
            <v>0</v>
          </cell>
          <cell r="JE10">
            <v>171</v>
          </cell>
          <cell r="JF10">
            <v>6</v>
          </cell>
          <cell r="JG10">
            <v>0</v>
          </cell>
          <cell r="JH10">
            <v>302</v>
          </cell>
          <cell r="JI10">
            <v>308</v>
          </cell>
          <cell r="JJ10">
            <v>135</v>
          </cell>
          <cell r="JK10">
            <v>173</v>
          </cell>
          <cell r="JL10">
            <v>118</v>
          </cell>
          <cell r="JM10">
            <v>0</v>
          </cell>
          <cell r="JN10">
            <v>2982</v>
          </cell>
          <cell r="JO10">
            <v>93</v>
          </cell>
          <cell r="JP10">
            <v>0</v>
          </cell>
          <cell r="JQ10">
            <v>3025</v>
          </cell>
          <cell r="JR10">
            <v>211</v>
          </cell>
          <cell r="JS10">
            <v>0</v>
          </cell>
          <cell r="JT10">
            <v>6007</v>
          </cell>
          <cell r="JU10">
            <v>6218</v>
          </cell>
          <cell r="JV10">
            <v>3100</v>
          </cell>
          <cell r="JW10">
            <v>3118</v>
          </cell>
          <cell r="JX10">
            <v>20.190000000000001</v>
          </cell>
          <cell r="JY10">
            <v>35.17</v>
          </cell>
          <cell r="JZ10">
            <v>19.89</v>
          </cell>
          <cell r="KA10">
            <v>0.03</v>
          </cell>
          <cell r="KB10">
            <v>0.97</v>
          </cell>
          <cell r="KC10">
            <v>0</v>
          </cell>
          <cell r="KD10">
            <v>0</v>
          </cell>
          <cell r="KE10">
            <v>0</v>
          </cell>
          <cell r="KF10">
            <v>0</v>
          </cell>
          <cell r="KG10">
            <v>302</v>
          </cell>
          <cell r="KH10">
            <v>6007</v>
          </cell>
          <cell r="KI10">
            <v>0</v>
          </cell>
          <cell r="KJ10">
            <v>0</v>
          </cell>
          <cell r="KK10">
            <v>0</v>
          </cell>
          <cell r="KL10">
            <v>0</v>
          </cell>
          <cell r="KM10">
            <v>3342</v>
          </cell>
          <cell r="KN10">
            <v>637</v>
          </cell>
          <cell r="KO10">
            <v>359</v>
          </cell>
          <cell r="KQ10">
            <v>138</v>
          </cell>
          <cell r="KR10">
            <v>1579</v>
          </cell>
          <cell r="KS10">
            <v>649</v>
          </cell>
          <cell r="KT10">
            <v>161</v>
          </cell>
          <cell r="KU10">
            <v>14</v>
          </cell>
          <cell r="KV10">
            <v>13</v>
          </cell>
          <cell r="KW10">
            <v>8272</v>
          </cell>
          <cell r="KY10">
            <v>16280</v>
          </cell>
          <cell r="LC10" t="str">
            <v>BLADEN COUNTY PUBLIC LIBRARY</v>
          </cell>
          <cell r="LD10" t="str">
            <v>County Owned</v>
          </cell>
          <cell r="LE10" t="str">
            <v>PO BOX 1419</v>
          </cell>
          <cell r="LF10" t="str">
            <v>ELIZABETHTOWN</v>
          </cell>
          <cell r="LG10">
            <v>28337</v>
          </cell>
          <cell r="LH10">
            <v>1419</v>
          </cell>
          <cell r="LI10" t="str">
            <v>111 N CYPRESS ST</v>
          </cell>
          <cell r="LJ10" t="str">
            <v>ELIZABETHTOWN</v>
          </cell>
          <cell r="LK10">
            <v>28337</v>
          </cell>
          <cell r="LL10">
            <v>4</v>
          </cell>
          <cell r="LM10" t="str">
            <v>BLADEN</v>
          </cell>
          <cell r="LN10">
            <v>9108626990</v>
          </cell>
          <cell r="LO10">
            <v>9108628777</v>
          </cell>
          <cell r="LP10">
            <v>15132</v>
          </cell>
          <cell r="LQ10">
            <v>10.26</v>
          </cell>
          <cell r="LS10">
            <v>6494</v>
          </cell>
          <cell r="LT10">
            <v>201</v>
          </cell>
          <cell r="LW10">
            <v>2</v>
          </cell>
          <cell r="LX10" t="str">
            <v>C-BLADEN-E</v>
          </cell>
          <cell r="LY10">
            <v>1</v>
          </cell>
          <cell r="LZ10" t="str">
            <v>CE</v>
          </cell>
          <cell r="MA10">
            <v>25</v>
          </cell>
          <cell r="MB10">
            <v>5</v>
          </cell>
        </row>
        <row r="11">
          <cell r="A11" t="str">
            <v>NC0046</v>
          </cell>
          <cell r="B11">
            <v>0</v>
          </cell>
          <cell r="C11">
            <v>1375</v>
          </cell>
          <cell r="D11">
            <v>2017</v>
          </cell>
          <cell r="E11">
            <v>0</v>
          </cell>
          <cell r="F11" t="str">
            <v>NC0046</v>
          </cell>
          <cell r="G11" t="str">
            <v>C-NASH-N</v>
          </cell>
          <cell r="H11" t="str">
            <v>NO</v>
          </cell>
          <cell r="I11" t="str">
            <v>MJ</v>
          </cell>
          <cell r="J11" t="str">
            <v>MO</v>
          </cell>
          <cell r="K11" t="str">
            <v>Y</v>
          </cell>
          <cell r="L11" t="str">
            <v>CO2</v>
          </cell>
          <cell r="M11" t="str">
            <v>N</v>
          </cell>
          <cell r="N11">
            <v>89067</v>
          </cell>
          <cell r="P11">
            <v>1517</v>
          </cell>
          <cell r="Q11">
            <v>60</v>
          </cell>
          <cell r="R11">
            <v>7</v>
          </cell>
          <cell r="S11">
            <v>11</v>
          </cell>
          <cell r="T11">
            <v>1728</v>
          </cell>
          <cell r="U11">
            <v>80</v>
          </cell>
          <cell r="V11">
            <v>25104</v>
          </cell>
          <cell r="W11">
            <v>2641</v>
          </cell>
          <cell r="Z11" t="str">
            <v>727 N GRACE ST</v>
          </cell>
          <cell r="AA11" t="str">
            <v>ROCKY MOUNT</v>
          </cell>
          <cell r="AB11">
            <v>27804</v>
          </cell>
          <cell r="AC11">
            <v>4842</v>
          </cell>
          <cell r="AD11" t="str">
            <v>727 N GRACE ST</v>
          </cell>
          <cell r="AE11" t="str">
            <v>ROCKY MOUNT</v>
          </cell>
          <cell r="AF11">
            <v>27804</v>
          </cell>
          <cell r="AG11">
            <v>2</v>
          </cell>
          <cell r="AH11" t="str">
            <v>BRASWELL MEMORIAL LIBRARY</v>
          </cell>
          <cell r="AJ11" t="str">
            <v>County</v>
          </cell>
          <cell r="AK11" t="str">
            <v>NASH</v>
          </cell>
          <cell r="AL11" t="str">
            <v>Catherine H. Roche</v>
          </cell>
          <cell r="AM11" t="str">
            <v>(252) 442-1951</v>
          </cell>
          <cell r="AN11" t="str">
            <v>(252) 442-7366</v>
          </cell>
          <cell r="AO11" t="str">
            <v>croche@braswell-library.org</v>
          </cell>
          <cell r="AP11" t="str">
            <v>Catherine Roche</v>
          </cell>
          <cell r="AQ11" t="str">
            <v>Director</v>
          </cell>
          <cell r="AR11" t="str">
            <v>(252) 442-1951</v>
          </cell>
          <cell r="AS11" t="str">
            <v>(252) 442-7366</v>
          </cell>
          <cell r="AT11" t="str">
            <v>croche@braswell-library.org</v>
          </cell>
          <cell r="AU11" t="str">
            <v>www.braswell-library.org</v>
          </cell>
          <cell r="BC11">
            <v>1</v>
          </cell>
          <cell r="BD11">
            <v>2</v>
          </cell>
          <cell r="BE11">
            <v>0</v>
          </cell>
          <cell r="BF11">
            <v>3</v>
          </cell>
          <cell r="BG11">
            <v>6</v>
          </cell>
          <cell r="BI11">
            <v>4628</v>
          </cell>
          <cell r="BJ11">
            <v>8.9</v>
          </cell>
          <cell r="BK11">
            <v>0</v>
          </cell>
          <cell r="BL11">
            <v>8.9</v>
          </cell>
          <cell r="BM11">
            <v>17.22</v>
          </cell>
          <cell r="BN11">
            <v>26.12</v>
          </cell>
          <cell r="BO11">
            <v>0.3407</v>
          </cell>
          <cell r="BP11">
            <v>746</v>
          </cell>
          <cell r="BQ11">
            <v>76600</v>
          </cell>
          <cell r="BT11">
            <v>65063</v>
          </cell>
          <cell r="BY11">
            <v>52087</v>
          </cell>
          <cell r="BZ11">
            <v>52087</v>
          </cell>
          <cell r="CA11">
            <v>52087</v>
          </cell>
          <cell r="CC11">
            <v>48853</v>
          </cell>
          <cell r="CD11">
            <v>48853</v>
          </cell>
          <cell r="CE11">
            <v>48853</v>
          </cell>
          <cell r="CG11">
            <v>43860</v>
          </cell>
          <cell r="CH11">
            <v>43860</v>
          </cell>
          <cell r="CI11">
            <v>43860</v>
          </cell>
          <cell r="CO11">
            <v>60910</v>
          </cell>
          <cell r="CP11">
            <v>62292</v>
          </cell>
          <cell r="CQ11">
            <v>61601</v>
          </cell>
          <cell r="CR11">
            <v>43291</v>
          </cell>
          <cell r="CS11">
            <v>43291</v>
          </cell>
          <cell r="CT11">
            <v>43291</v>
          </cell>
          <cell r="CV11">
            <v>37867</v>
          </cell>
          <cell r="CW11">
            <v>37867</v>
          </cell>
          <cell r="CX11">
            <v>37867</v>
          </cell>
          <cell r="DH11">
            <v>34649</v>
          </cell>
          <cell r="DI11">
            <v>43540</v>
          </cell>
          <cell r="DJ11">
            <v>39095</v>
          </cell>
          <cell r="DO11">
            <v>25459</v>
          </cell>
          <cell r="DP11">
            <v>40270</v>
          </cell>
          <cell r="DQ11">
            <v>33724</v>
          </cell>
          <cell r="DS11">
            <v>39936</v>
          </cell>
          <cell r="DT11">
            <v>39936</v>
          </cell>
          <cell r="DU11">
            <v>39936</v>
          </cell>
          <cell r="DV11">
            <v>613260</v>
          </cell>
          <cell r="DW11">
            <v>1059684</v>
          </cell>
          <cell r="DX11">
            <v>1672944</v>
          </cell>
          <cell r="DY11">
            <v>130598</v>
          </cell>
          <cell r="DZ11">
            <v>0</v>
          </cell>
          <cell r="EA11">
            <v>130598</v>
          </cell>
          <cell r="EB11">
            <v>1807</v>
          </cell>
          <cell r="EC11">
            <v>0</v>
          </cell>
          <cell r="ED11">
            <v>1807</v>
          </cell>
          <cell r="EE11">
            <v>329501</v>
          </cell>
          <cell r="EF11">
            <v>2134850</v>
          </cell>
          <cell r="EG11">
            <v>1018644</v>
          </cell>
          <cell r="EH11">
            <v>320163</v>
          </cell>
          <cell r="EI11">
            <v>1338807</v>
          </cell>
          <cell r="EJ11">
            <v>77446</v>
          </cell>
          <cell r="EK11">
            <v>25855</v>
          </cell>
          <cell r="EL11">
            <v>21603</v>
          </cell>
          <cell r="EM11">
            <v>124904</v>
          </cell>
          <cell r="EN11">
            <v>592092</v>
          </cell>
          <cell r="EO11">
            <v>2055803</v>
          </cell>
          <cell r="EP11">
            <v>79047</v>
          </cell>
          <cell r="EQ11">
            <v>3.6999999999999998E-2</v>
          </cell>
          <cell r="ER11">
            <v>37081</v>
          </cell>
          <cell r="ES11">
            <v>0</v>
          </cell>
          <cell r="ET11">
            <v>0</v>
          </cell>
          <cell r="EU11">
            <v>0</v>
          </cell>
          <cell r="EV11">
            <v>37081</v>
          </cell>
          <cell r="EW11">
            <v>0</v>
          </cell>
          <cell r="EX11">
            <v>10905</v>
          </cell>
          <cell r="EY11">
            <v>183840</v>
          </cell>
          <cell r="EZ11">
            <v>19805</v>
          </cell>
          <cell r="FA11">
            <v>4155</v>
          </cell>
          <cell r="FB11">
            <v>28794</v>
          </cell>
          <cell r="FC11">
            <v>22832</v>
          </cell>
          <cell r="FD11">
            <v>1249</v>
          </cell>
          <cell r="FE11">
            <v>13149</v>
          </cell>
          <cell r="FF11">
            <v>42637</v>
          </cell>
          <cell r="FG11">
            <v>5404</v>
          </cell>
          <cell r="FH11">
            <v>41943</v>
          </cell>
          <cell r="FI11">
            <v>89984</v>
          </cell>
          <cell r="FJ11">
            <v>0</v>
          </cell>
          <cell r="FK11">
            <v>81</v>
          </cell>
          <cell r="FM11">
            <v>89984</v>
          </cell>
          <cell r="FN11">
            <v>3279</v>
          </cell>
          <cell r="FO11">
            <v>2374</v>
          </cell>
          <cell r="FP11">
            <v>1485</v>
          </cell>
          <cell r="FQ11">
            <v>3</v>
          </cell>
          <cell r="FR11">
            <v>88</v>
          </cell>
          <cell r="FS11">
            <v>91</v>
          </cell>
          <cell r="FT11">
            <v>44141</v>
          </cell>
          <cell r="FU11">
            <v>3505</v>
          </cell>
          <cell r="FV11">
            <v>0</v>
          </cell>
          <cell r="FW11">
            <v>0</v>
          </cell>
          <cell r="FX11">
            <v>8544</v>
          </cell>
          <cell r="FY11">
            <v>1573</v>
          </cell>
          <cell r="FZ11">
            <v>322</v>
          </cell>
          <cell r="GA11">
            <v>0</v>
          </cell>
          <cell r="GB11">
            <v>26436</v>
          </cell>
          <cell r="GC11">
            <v>1747</v>
          </cell>
          <cell r="GD11">
            <v>278</v>
          </cell>
          <cell r="GE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79121</v>
          </cell>
          <cell r="GO11">
            <v>6825</v>
          </cell>
          <cell r="GP11">
            <v>600</v>
          </cell>
          <cell r="GQ11">
            <v>0</v>
          </cell>
          <cell r="GR11">
            <v>45</v>
          </cell>
          <cell r="GT11">
            <v>50812</v>
          </cell>
          <cell r="GU11">
            <v>8471</v>
          </cell>
          <cell r="GV11">
            <v>68238</v>
          </cell>
          <cell r="GW11">
            <v>17196</v>
          </cell>
          <cell r="GX11">
            <v>718</v>
          </cell>
          <cell r="GY11">
            <v>12666</v>
          </cell>
          <cell r="GZ11">
            <v>68008</v>
          </cell>
          <cell r="HA11">
            <v>9189</v>
          </cell>
          <cell r="HB11">
            <v>80904</v>
          </cell>
          <cell r="HC11">
            <v>158101</v>
          </cell>
          <cell r="HD11">
            <v>475</v>
          </cell>
          <cell r="HE11">
            <v>158576</v>
          </cell>
          <cell r="HF11">
            <v>7756</v>
          </cell>
          <cell r="HG11">
            <v>26070</v>
          </cell>
          <cell r="HH11">
            <v>0</v>
          </cell>
          <cell r="HI11">
            <v>1129</v>
          </cell>
          <cell r="HJ11">
            <v>34955</v>
          </cell>
          <cell r="HK11">
            <v>193531</v>
          </cell>
          <cell r="HL11">
            <v>12</v>
          </cell>
          <cell r="HM11">
            <v>17968</v>
          </cell>
          <cell r="HN11">
            <v>17980</v>
          </cell>
          <cell r="HO11">
            <v>45</v>
          </cell>
          <cell r="HP11">
            <v>2550</v>
          </cell>
          <cell r="HQ11">
            <v>2595</v>
          </cell>
          <cell r="HR11">
            <v>0</v>
          </cell>
          <cell r="HS11">
            <v>32</v>
          </cell>
          <cell r="HT11">
            <v>32</v>
          </cell>
          <cell r="HU11">
            <v>523</v>
          </cell>
          <cell r="HV11">
            <v>21130</v>
          </cell>
          <cell r="HW11">
            <v>467</v>
          </cell>
          <cell r="HX11">
            <v>8263</v>
          </cell>
          <cell r="HY11">
            <v>8730</v>
          </cell>
          <cell r="HZ11">
            <v>29860</v>
          </cell>
          <cell r="IA11">
            <v>10351</v>
          </cell>
          <cell r="IB11">
            <v>36453</v>
          </cell>
          <cell r="IC11">
            <v>214661</v>
          </cell>
          <cell r="ID11">
            <v>214661</v>
          </cell>
          <cell r="IE11">
            <v>223391</v>
          </cell>
          <cell r="IF11">
            <v>101798</v>
          </cell>
          <cell r="IG11">
            <v>4939</v>
          </cell>
          <cell r="IJ11">
            <v>1</v>
          </cell>
          <cell r="IK11">
            <v>1.6199999999999999E-2</v>
          </cell>
          <cell r="IL11">
            <v>4.0000000000000002E-4</v>
          </cell>
          <cell r="IM11">
            <v>0.4708</v>
          </cell>
          <cell r="IN11">
            <v>0</v>
          </cell>
          <cell r="IO11">
            <v>0.4304</v>
          </cell>
          <cell r="IP11">
            <v>5.0000000000000001E-4</v>
          </cell>
          <cell r="IQ11">
            <v>0.48949999999999999</v>
          </cell>
          <cell r="IR11">
            <v>5.5E-2</v>
          </cell>
          <cell r="IS11">
            <v>0.47420000000000001</v>
          </cell>
          <cell r="IT11">
            <v>34381</v>
          </cell>
          <cell r="IU11">
            <v>10507</v>
          </cell>
          <cell r="IV11">
            <v>44888</v>
          </cell>
          <cell r="IW11">
            <v>0.504</v>
          </cell>
          <cell r="IX11">
            <v>184379</v>
          </cell>
          <cell r="IZ11">
            <v>657</v>
          </cell>
          <cell r="JA11">
            <v>70</v>
          </cell>
          <cell r="JB11">
            <v>251</v>
          </cell>
          <cell r="JC11">
            <v>22</v>
          </cell>
          <cell r="JD11">
            <v>2</v>
          </cell>
          <cell r="JE11">
            <v>936</v>
          </cell>
          <cell r="JF11">
            <v>679</v>
          </cell>
          <cell r="JG11">
            <v>72</v>
          </cell>
          <cell r="JH11">
            <v>1187</v>
          </cell>
          <cell r="JI11">
            <v>1938</v>
          </cell>
          <cell r="JJ11">
            <v>978</v>
          </cell>
          <cell r="JK11">
            <v>960</v>
          </cell>
          <cell r="JL11">
            <v>2238</v>
          </cell>
          <cell r="JM11">
            <v>712</v>
          </cell>
          <cell r="JN11">
            <v>10239</v>
          </cell>
          <cell r="JO11">
            <v>178</v>
          </cell>
          <cell r="JP11">
            <v>171</v>
          </cell>
          <cell r="JQ11">
            <v>29330</v>
          </cell>
          <cell r="JR11">
            <v>2416</v>
          </cell>
          <cell r="JS11">
            <v>883</v>
          </cell>
          <cell r="JT11">
            <v>39569</v>
          </cell>
          <cell r="JU11">
            <v>42868</v>
          </cell>
          <cell r="JV11">
            <v>13189</v>
          </cell>
          <cell r="JW11">
            <v>29679</v>
          </cell>
          <cell r="JX11">
            <v>22.12</v>
          </cell>
          <cell r="JY11">
            <v>3.56</v>
          </cell>
          <cell r="JZ11">
            <v>33.340000000000003</v>
          </cell>
          <cell r="KA11">
            <v>0.06</v>
          </cell>
          <cell r="KB11">
            <v>0.92</v>
          </cell>
          <cell r="KC11">
            <v>137</v>
          </cell>
          <cell r="KD11">
            <v>422</v>
          </cell>
          <cell r="KE11">
            <v>143</v>
          </cell>
          <cell r="KF11">
            <v>702</v>
          </cell>
          <cell r="KM11">
            <v>33983</v>
          </cell>
          <cell r="KN11">
            <v>12642</v>
          </cell>
          <cell r="KO11">
            <v>4126</v>
          </cell>
          <cell r="KQ11">
            <v>365</v>
          </cell>
          <cell r="KR11">
            <v>9848</v>
          </cell>
          <cell r="KS11">
            <v>4340</v>
          </cell>
          <cell r="KT11">
            <v>5758</v>
          </cell>
          <cell r="KU11">
            <v>36</v>
          </cell>
          <cell r="KV11">
            <v>86</v>
          </cell>
          <cell r="KW11">
            <v>120741</v>
          </cell>
          <cell r="KY11">
            <v>134037</v>
          </cell>
          <cell r="KZ11">
            <v>69696</v>
          </cell>
          <cell r="LC11" t="str">
            <v>BRASWELL MEMORIAL PUBLIC LIBRARY</v>
          </cell>
          <cell r="LD11" t="str">
            <v>Other</v>
          </cell>
          <cell r="LE11" t="str">
            <v>727 N GRACE ST</v>
          </cell>
          <cell r="LF11" t="str">
            <v>ROCKY MOUNT</v>
          </cell>
          <cell r="LG11">
            <v>27804</v>
          </cell>
          <cell r="LH11">
            <v>4842</v>
          </cell>
          <cell r="LI11" t="str">
            <v>727 N GRACE ST</v>
          </cell>
          <cell r="LJ11" t="str">
            <v>ROCKY MOUNT</v>
          </cell>
          <cell r="LK11">
            <v>27804</v>
          </cell>
          <cell r="LL11">
            <v>4842</v>
          </cell>
          <cell r="LM11" t="str">
            <v>NASH</v>
          </cell>
          <cell r="LN11">
            <v>2524421951</v>
          </cell>
          <cell r="LO11">
            <v>2524427366</v>
          </cell>
          <cell r="LP11">
            <v>60756</v>
          </cell>
          <cell r="LQ11">
            <v>26.3</v>
          </cell>
          <cell r="LS11">
            <v>4628</v>
          </cell>
          <cell r="LT11">
            <v>156</v>
          </cell>
          <cell r="LW11">
            <v>2</v>
          </cell>
          <cell r="LX11" t="str">
            <v>C-NASH-N</v>
          </cell>
          <cell r="LY11">
            <v>0</v>
          </cell>
          <cell r="LZ11" t="str">
            <v>CE</v>
          </cell>
          <cell r="MA11">
            <v>50</v>
          </cell>
          <cell r="MB11">
            <v>50</v>
          </cell>
        </row>
        <row r="12">
          <cell r="A12" t="str">
            <v>NC0018</v>
          </cell>
          <cell r="B12">
            <v>0</v>
          </cell>
          <cell r="C12">
            <v>1375</v>
          </cell>
          <cell r="D12">
            <v>2017</v>
          </cell>
          <cell r="E12">
            <v>0</v>
          </cell>
          <cell r="F12" t="str">
            <v>NC0018</v>
          </cell>
          <cell r="G12" t="str">
            <v>C-BRUNSWICK</v>
          </cell>
          <cell r="H12" t="str">
            <v>NO</v>
          </cell>
          <cell r="I12" t="str">
            <v>CO</v>
          </cell>
          <cell r="J12" t="str">
            <v>MO</v>
          </cell>
          <cell r="K12" t="str">
            <v>Y</v>
          </cell>
          <cell r="L12" t="str">
            <v>CO1</v>
          </cell>
          <cell r="M12" t="str">
            <v>N</v>
          </cell>
          <cell r="N12">
            <v>123535</v>
          </cell>
          <cell r="O12" t="str">
            <v>No</v>
          </cell>
          <cell r="P12">
            <v>659</v>
          </cell>
          <cell r="R12">
            <v>50</v>
          </cell>
          <cell r="S12">
            <v>0</v>
          </cell>
          <cell r="T12">
            <v>2876</v>
          </cell>
          <cell r="V12">
            <v>21004</v>
          </cell>
          <cell r="X12">
            <v>286734</v>
          </cell>
          <cell r="Z12" t="str">
            <v>109 W MOORE ST</v>
          </cell>
          <cell r="AA12" t="str">
            <v>SOUTHPORT</v>
          </cell>
          <cell r="AB12">
            <v>28461</v>
          </cell>
          <cell r="AC12">
            <v>3827</v>
          </cell>
          <cell r="AD12" t="str">
            <v>109 W MOORE ST</v>
          </cell>
          <cell r="AE12" t="str">
            <v>SOUTHPORT</v>
          </cell>
          <cell r="AF12">
            <v>28461</v>
          </cell>
          <cell r="AG12">
            <v>3</v>
          </cell>
          <cell r="AH12" t="str">
            <v>BRUNSWICK COUNTY LIBRARY</v>
          </cell>
          <cell r="AJ12" t="str">
            <v>County</v>
          </cell>
          <cell r="AK12" t="str">
            <v>BRUNSWICK</v>
          </cell>
          <cell r="AL12" t="str">
            <v>Maurice Tate</v>
          </cell>
          <cell r="AM12" t="str">
            <v>(910) 278-4283</v>
          </cell>
          <cell r="AN12" t="str">
            <v>(910) 278-4049</v>
          </cell>
          <cell r="AO12" t="str">
            <v>maurice.tate@brunswickcountync.gov</v>
          </cell>
          <cell r="AP12" t="str">
            <v>Maurice Tate</v>
          </cell>
          <cell r="AQ12" t="str">
            <v>Director</v>
          </cell>
          <cell r="AR12" t="str">
            <v>(910) 278-4283</v>
          </cell>
          <cell r="AS12" t="str">
            <v>(910) 278-4049</v>
          </cell>
          <cell r="AT12" t="str">
            <v>maurice.tate@brunswickcountync.gov</v>
          </cell>
          <cell r="AU12" t="str">
            <v>www.brunswickcountync.gov/library</v>
          </cell>
          <cell r="BC12">
            <v>0</v>
          </cell>
          <cell r="BD12">
            <v>5</v>
          </cell>
          <cell r="BE12">
            <v>0</v>
          </cell>
          <cell r="BF12">
            <v>0</v>
          </cell>
          <cell r="BG12">
            <v>5</v>
          </cell>
          <cell r="BI12">
            <v>11850</v>
          </cell>
          <cell r="BJ12">
            <v>1</v>
          </cell>
          <cell r="BK12">
            <v>0</v>
          </cell>
          <cell r="BL12">
            <v>1</v>
          </cell>
          <cell r="BM12">
            <v>16</v>
          </cell>
          <cell r="BN12">
            <v>17</v>
          </cell>
          <cell r="BO12">
            <v>5.8799999999999998E-2</v>
          </cell>
          <cell r="BP12">
            <v>3722</v>
          </cell>
          <cell r="BQ12">
            <v>109769</v>
          </cell>
          <cell r="BT12">
            <v>0</v>
          </cell>
          <cell r="BU12">
            <v>44986</v>
          </cell>
          <cell r="BV12">
            <v>71979</v>
          </cell>
          <cell r="BW12">
            <v>58483</v>
          </cell>
          <cell r="DO12">
            <v>28678</v>
          </cell>
          <cell r="DP12">
            <v>45886</v>
          </cell>
          <cell r="DQ12">
            <v>37281</v>
          </cell>
          <cell r="DV12">
            <v>0</v>
          </cell>
          <cell r="DW12">
            <v>1177800</v>
          </cell>
          <cell r="DX12">
            <v>1177800</v>
          </cell>
          <cell r="DY12">
            <v>142232</v>
          </cell>
          <cell r="DZ12">
            <v>0</v>
          </cell>
          <cell r="EA12">
            <v>142232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1320032</v>
          </cell>
          <cell r="EG12">
            <v>682917</v>
          </cell>
          <cell r="EH12">
            <v>305199</v>
          </cell>
          <cell r="EI12">
            <v>988116</v>
          </cell>
          <cell r="EJ12">
            <v>67691</v>
          </cell>
          <cell r="EK12">
            <v>10000</v>
          </cell>
          <cell r="EL12">
            <v>4831</v>
          </cell>
          <cell r="EM12">
            <v>82522</v>
          </cell>
          <cell r="EN12">
            <v>175523</v>
          </cell>
          <cell r="EO12">
            <v>1246161</v>
          </cell>
          <cell r="EP12">
            <v>73871</v>
          </cell>
          <cell r="EQ12">
            <v>5.6000000000000001E-2</v>
          </cell>
          <cell r="ER12">
            <v>24000</v>
          </cell>
          <cell r="ES12">
            <v>0</v>
          </cell>
          <cell r="ET12">
            <v>0</v>
          </cell>
          <cell r="EU12">
            <v>0</v>
          </cell>
          <cell r="EV12">
            <v>24000</v>
          </cell>
          <cell r="EW12">
            <v>19513</v>
          </cell>
          <cell r="EX12">
            <v>14210</v>
          </cell>
          <cell r="EY12">
            <v>234117</v>
          </cell>
          <cell r="EZ12">
            <v>46947</v>
          </cell>
          <cell r="FA12">
            <v>22127</v>
          </cell>
          <cell r="FB12">
            <v>31472</v>
          </cell>
          <cell r="FC12">
            <v>44222</v>
          </cell>
          <cell r="FE12">
            <v>12138</v>
          </cell>
          <cell r="FF12">
            <v>91169</v>
          </cell>
          <cell r="FH12">
            <v>43610</v>
          </cell>
          <cell r="FI12">
            <v>156906</v>
          </cell>
          <cell r="FJ12">
            <v>5000</v>
          </cell>
          <cell r="FK12">
            <v>130</v>
          </cell>
          <cell r="FM12">
            <v>156906</v>
          </cell>
          <cell r="FN12">
            <v>4248</v>
          </cell>
          <cell r="FO12">
            <v>6457</v>
          </cell>
          <cell r="FP12">
            <v>0</v>
          </cell>
          <cell r="FQ12">
            <v>1</v>
          </cell>
          <cell r="FR12">
            <v>88</v>
          </cell>
          <cell r="FS12">
            <v>89</v>
          </cell>
          <cell r="FT12">
            <v>44141</v>
          </cell>
          <cell r="FU12">
            <v>3505</v>
          </cell>
          <cell r="FV12">
            <v>0</v>
          </cell>
          <cell r="FW12">
            <v>0</v>
          </cell>
          <cell r="FX12">
            <v>8544</v>
          </cell>
          <cell r="FY12">
            <v>1573</v>
          </cell>
          <cell r="FZ12">
            <v>322</v>
          </cell>
          <cell r="GA12">
            <v>0</v>
          </cell>
          <cell r="GE12">
            <v>0</v>
          </cell>
          <cell r="GJ12">
            <v>3202</v>
          </cell>
          <cell r="GK12">
            <v>0</v>
          </cell>
          <cell r="GL12">
            <v>0</v>
          </cell>
          <cell r="GM12">
            <v>0</v>
          </cell>
          <cell r="GN12">
            <v>55887</v>
          </cell>
          <cell r="GO12">
            <v>5078</v>
          </cell>
          <cell r="GP12">
            <v>322</v>
          </cell>
          <cell r="GQ12">
            <v>0</v>
          </cell>
          <cell r="GR12">
            <v>55</v>
          </cell>
          <cell r="GT12">
            <v>188875</v>
          </cell>
          <cell r="GV12">
            <v>61830</v>
          </cell>
          <cell r="GW12">
            <v>36900</v>
          </cell>
          <cell r="GY12">
            <v>9170</v>
          </cell>
          <cell r="GZ12">
            <v>225775</v>
          </cell>
          <cell r="HB12">
            <v>71000</v>
          </cell>
          <cell r="HC12">
            <v>296775</v>
          </cell>
          <cell r="HD12">
            <v>500</v>
          </cell>
          <cell r="HE12">
            <v>302275</v>
          </cell>
          <cell r="HF12">
            <v>15223</v>
          </cell>
          <cell r="HG12">
            <v>40479</v>
          </cell>
          <cell r="HH12">
            <v>5000</v>
          </cell>
          <cell r="HI12">
            <v>0</v>
          </cell>
          <cell r="HJ12">
            <v>55702</v>
          </cell>
          <cell r="HK12">
            <v>357977</v>
          </cell>
          <cell r="HL12">
            <v>128</v>
          </cell>
          <cell r="HM12">
            <v>17118</v>
          </cell>
          <cell r="HN12">
            <v>17246</v>
          </cell>
          <cell r="HO12">
            <v>1309</v>
          </cell>
          <cell r="HP12">
            <v>0</v>
          </cell>
          <cell r="HQ12">
            <v>1309</v>
          </cell>
          <cell r="HR12">
            <v>0</v>
          </cell>
          <cell r="HS12">
            <v>1</v>
          </cell>
          <cell r="HT12">
            <v>1</v>
          </cell>
          <cell r="HU12">
            <v>0</v>
          </cell>
          <cell r="HV12">
            <v>18556</v>
          </cell>
          <cell r="HW12">
            <v>29045</v>
          </cell>
          <cell r="HX12">
            <v>0</v>
          </cell>
          <cell r="HY12">
            <v>29045</v>
          </cell>
          <cell r="HZ12">
            <v>47601</v>
          </cell>
          <cell r="IA12">
            <v>16532</v>
          </cell>
          <cell r="IB12">
            <v>57012</v>
          </cell>
          <cell r="IC12">
            <v>376533</v>
          </cell>
          <cell r="ID12">
            <v>376533</v>
          </cell>
          <cell r="IE12">
            <v>405578</v>
          </cell>
          <cell r="IF12">
            <v>71000</v>
          </cell>
          <cell r="IG12">
            <v>0</v>
          </cell>
          <cell r="IK12">
            <v>2.9000000000000001E-2</v>
          </cell>
          <cell r="IL12">
            <v>5.9999999999999995E-4</v>
          </cell>
          <cell r="IM12">
            <v>0.26179999999999998</v>
          </cell>
          <cell r="IN12">
            <v>0</v>
          </cell>
          <cell r="IO12">
            <v>0.2387</v>
          </cell>
          <cell r="IP12">
            <v>4.0000000000000002E-4</v>
          </cell>
          <cell r="IQ12">
            <v>0.67020000000000002</v>
          </cell>
          <cell r="IR12">
            <v>3.9800000000000002E-2</v>
          </cell>
          <cell r="IS12">
            <v>0.18859999999999999</v>
          </cell>
          <cell r="IT12">
            <v>45707</v>
          </cell>
          <cell r="IU12">
            <v>10328</v>
          </cell>
          <cell r="IV12">
            <v>56035</v>
          </cell>
          <cell r="IW12">
            <v>0.4536</v>
          </cell>
          <cell r="IX12">
            <v>261917</v>
          </cell>
          <cell r="IZ12">
            <v>1172</v>
          </cell>
          <cell r="JA12">
            <v>0</v>
          </cell>
          <cell r="JB12">
            <v>235</v>
          </cell>
          <cell r="JC12">
            <v>0</v>
          </cell>
          <cell r="JD12">
            <v>0</v>
          </cell>
          <cell r="JE12">
            <v>1</v>
          </cell>
          <cell r="JF12">
            <v>1172</v>
          </cell>
          <cell r="JG12">
            <v>0</v>
          </cell>
          <cell r="JH12">
            <v>236</v>
          </cell>
          <cell r="JI12">
            <v>1408</v>
          </cell>
          <cell r="JJ12">
            <v>1407</v>
          </cell>
          <cell r="JK12">
            <v>1</v>
          </cell>
          <cell r="JL12">
            <v>19688</v>
          </cell>
          <cell r="JM12">
            <v>0</v>
          </cell>
          <cell r="JN12">
            <v>4893</v>
          </cell>
          <cell r="JO12">
            <v>0</v>
          </cell>
          <cell r="JP12">
            <v>0</v>
          </cell>
          <cell r="JQ12">
            <v>42</v>
          </cell>
          <cell r="JR12">
            <v>19688</v>
          </cell>
          <cell r="JS12">
            <v>0</v>
          </cell>
          <cell r="JT12">
            <v>4935</v>
          </cell>
          <cell r="JU12">
            <v>24623</v>
          </cell>
          <cell r="JV12">
            <v>24581</v>
          </cell>
          <cell r="JW12">
            <v>42</v>
          </cell>
          <cell r="JX12">
            <v>17.489999999999998</v>
          </cell>
          <cell r="JY12">
            <v>16.8</v>
          </cell>
          <cell r="JZ12">
            <v>20.91</v>
          </cell>
          <cell r="KA12">
            <v>0.8</v>
          </cell>
          <cell r="KB12">
            <v>0.2</v>
          </cell>
          <cell r="KC12">
            <v>0</v>
          </cell>
          <cell r="KD12">
            <v>0</v>
          </cell>
          <cell r="KE12">
            <v>20</v>
          </cell>
          <cell r="KF12">
            <v>137</v>
          </cell>
          <cell r="KG12">
            <v>0</v>
          </cell>
          <cell r="KH12">
            <v>0</v>
          </cell>
          <cell r="KI12">
            <v>0</v>
          </cell>
          <cell r="KJ12">
            <v>0</v>
          </cell>
          <cell r="KK12">
            <v>0</v>
          </cell>
          <cell r="KL12">
            <v>0</v>
          </cell>
          <cell r="KM12">
            <v>55048</v>
          </cell>
          <cell r="KN12">
            <v>10175</v>
          </cell>
          <cell r="KO12">
            <v>2442</v>
          </cell>
          <cell r="KS12">
            <v>28</v>
          </cell>
          <cell r="KT12">
            <v>289</v>
          </cell>
          <cell r="KU12">
            <v>16</v>
          </cell>
          <cell r="KV12">
            <v>65</v>
          </cell>
          <cell r="KW12">
            <v>76173</v>
          </cell>
          <cell r="KZ12">
            <v>14071</v>
          </cell>
          <cell r="LC12" t="str">
            <v>HARPER LIBRARY</v>
          </cell>
          <cell r="LD12" t="str">
            <v>County Owned</v>
          </cell>
          <cell r="LE12" t="str">
            <v>109 W MOORE ST</v>
          </cell>
          <cell r="LF12" t="str">
            <v>SOUTHPORT</v>
          </cell>
          <cell r="LG12">
            <v>28461</v>
          </cell>
          <cell r="LH12">
            <v>3827</v>
          </cell>
          <cell r="LI12" t="str">
            <v>109 W MOORE ST</v>
          </cell>
          <cell r="LJ12" t="str">
            <v>SOUTHPORT</v>
          </cell>
          <cell r="LK12">
            <v>28461</v>
          </cell>
          <cell r="LL12">
            <v>3827</v>
          </cell>
          <cell r="LM12" t="str">
            <v>BRUNSWICK</v>
          </cell>
          <cell r="LN12">
            <v>9104576237</v>
          </cell>
          <cell r="LO12">
            <v>9104576977</v>
          </cell>
          <cell r="LP12">
            <v>33856</v>
          </cell>
          <cell r="LQ12">
            <v>16</v>
          </cell>
          <cell r="LS12">
            <v>11850</v>
          </cell>
          <cell r="LT12">
            <v>260</v>
          </cell>
          <cell r="LW12">
            <v>2</v>
          </cell>
          <cell r="LX12" t="str">
            <v>C-BRUNSWICK-S</v>
          </cell>
          <cell r="LY12">
            <v>0</v>
          </cell>
          <cell r="LZ12" t="str">
            <v>BR</v>
          </cell>
          <cell r="MA12">
            <v>23.83</v>
          </cell>
          <cell r="MB12">
            <v>63.92</v>
          </cell>
        </row>
        <row r="13">
          <cell r="A13" t="str">
            <v>NC0019</v>
          </cell>
          <cell r="B13">
            <v>0</v>
          </cell>
          <cell r="C13">
            <v>1375</v>
          </cell>
          <cell r="D13">
            <v>2017</v>
          </cell>
          <cell r="E13">
            <v>0</v>
          </cell>
          <cell r="F13" t="str">
            <v>NC0019</v>
          </cell>
          <cell r="G13" t="str">
            <v>C-BUNCOMBE</v>
          </cell>
          <cell r="H13" t="str">
            <v>NO</v>
          </cell>
          <cell r="I13" t="str">
            <v>CO</v>
          </cell>
          <cell r="J13" t="str">
            <v>MO</v>
          </cell>
          <cell r="K13" t="str">
            <v>Y</v>
          </cell>
          <cell r="L13" t="str">
            <v>CO1</v>
          </cell>
          <cell r="M13" t="str">
            <v>N</v>
          </cell>
          <cell r="N13">
            <v>254836</v>
          </cell>
          <cell r="O13" t="str">
            <v>Yes</v>
          </cell>
          <cell r="P13">
            <v>5869</v>
          </cell>
          <cell r="Q13">
            <v>409</v>
          </cell>
          <cell r="R13">
            <v>573</v>
          </cell>
          <cell r="S13">
            <v>21</v>
          </cell>
          <cell r="T13">
            <v>22499</v>
          </cell>
          <cell r="U13">
            <v>479</v>
          </cell>
          <cell r="V13">
            <v>163454</v>
          </cell>
          <cell r="W13">
            <v>13532</v>
          </cell>
          <cell r="X13">
            <v>10787964</v>
          </cell>
          <cell r="Y13">
            <v>3653640</v>
          </cell>
          <cell r="Z13" t="str">
            <v>67 HAYWOOD ST</v>
          </cell>
          <cell r="AA13" t="str">
            <v>ASHEVILLE</v>
          </cell>
          <cell r="AB13">
            <v>28801</v>
          </cell>
          <cell r="AC13">
            <v>2834</v>
          </cell>
          <cell r="AD13" t="str">
            <v>67 HAYWOOD ST</v>
          </cell>
          <cell r="AE13" t="str">
            <v>ASHEVILLE</v>
          </cell>
          <cell r="AF13">
            <v>28801</v>
          </cell>
          <cell r="AG13">
            <v>3</v>
          </cell>
          <cell r="AH13" t="str">
            <v>BUNCOMBE COUNTY PUBLIC LIBRARIES</v>
          </cell>
          <cell r="AJ13" t="str">
            <v>County</v>
          </cell>
          <cell r="AK13" t="str">
            <v>BUNCOMBE</v>
          </cell>
          <cell r="AL13" t="str">
            <v>Georgianna J. Francis</v>
          </cell>
          <cell r="AM13" t="str">
            <v>(828) 250-4714</v>
          </cell>
          <cell r="AO13" t="str">
            <v>gigi.francis@buncombecounty.org</v>
          </cell>
          <cell r="AP13" t="str">
            <v>Georgianna Francis</v>
          </cell>
          <cell r="AQ13" t="str">
            <v>Library Director</v>
          </cell>
          <cell r="AR13" t="str">
            <v>(828) 250-4714</v>
          </cell>
          <cell r="AT13" t="str">
            <v>gigi.francis@buncombecounty.org</v>
          </cell>
          <cell r="AU13" t="str">
            <v>www.buncombecounty.org/library</v>
          </cell>
          <cell r="BC13">
            <v>1</v>
          </cell>
          <cell r="BD13">
            <v>12</v>
          </cell>
          <cell r="BE13">
            <v>0</v>
          </cell>
          <cell r="BF13">
            <v>0</v>
          </cell>
          <cell r="BG13">
            <v>13</v>
          </cell>
          <cell r="BI13">
            <v>32084</v>
          </cell>
          <cell r="BJ13">
            <v>11</v>
          </cell>
          <cell r="BK13">
            <v>1</v>
          </cell>
          <cell r="BL13">
            <v>12</v>
          </cell>
          <cell r="BM13">
            <v>46</v>
          </cell>
          <cell r="BN13">
            <v>58</v>
          </cell>
          <cell r="BO13">
            <v>0.18970000000000001</v>
          </cell>
          <cell r="BP13">
            <v>6500</v>
          </cell>
          <cell r="BQ13">
            <v>110777</v>
          </cell>
          <cell r="BU13">
            <v>38870</v>
          </cell>
          <cell r="BV13">
            <v>59363</v>
          </cell>
          <cell r="BW13">
            <v>43594</v>
          </cell>
          <cell r="BY13">
            <v>46325</v>
          </cell>
          <cell r="BZ13">
            <v>70816</v>
          </cell>
          <cell r="CA13">
            <v>51206</v>
          </cell>
          <cell r="CC13">
            <v>50540</v>
          </cell>
          <cell r="CD13">
            <v>77305</v>
          </cell>
          <cell r="CE13">
            <v>53059</v>
          </cell>
          <cell r="CG13">
            <v>46325</v>
          </cell>
          <cell r="CH13">
            <v>70816</v>
          </cell>
          <cell r="CI13">
            <v>48410</v>
          </cell>
          <cell r="CK13">
            <v>42420</v>
          </cell>
          <cell r="CL13">
            <v>64851</v>
          </cell>
          <cell r="CM13">
            <v>52492</v>
          </cell>
          <cell r="CR13">
            <v>38870</v>
          </cell>
          <cell r="CS13">
            <v>59363</v>
          </cell>
          <cell r="CT13">
            <v>43514</v>
          </cell>
          <cell r="CV13">
            <v>38870</v>
          </cell>
          <cell r="CW13">
            <v>59636</v>
          </cell>
          <cell r="CX13">
            <v>43514</v>
          </cell>
          <cell r="DK13">
            <v>31150</v>
          </cell>
          <cell r="DL13">
            <v>47625</v>
          </cell>
          <cell r="DM13">
            <v>33151</v>
          </cell>
          <cell r="DO13">
            <v>27289</v>
          </cell>
          <cell r="DP13">
            <v>41803</v>
          </cell>
          <cell r="DQ13">
            <v>31266</v>
          </cell>
          <cell r="DV13">
            <v>0</v>
          </cell>
          <cell r="DW13">
            <v>4716312</v>
          </cell>
          <cell r="DX13">
            <v>4716312</v>
          </cell>
          <cell r="DY13">
            <v>228020</v>
          </cell>
          <cell r="DZ13">
            <v>0</v>
          </cell>
          <cell r="EA13">
            <v>228020</v>
          </cell>
          <cell r="EB13">
            <v>0</v>
          </cell>
          <cell r="EC13">
            <v>0</v>
          </cell>
          <cell r="ED13">
            <v>0</v>
          </cell>
          <cell r="EE13">
            <v>227500</v>
          </cell>
          <cell r="EF13">
            <v>5171832</v>
          </cell>
          <cell r="EG13">
            <v>2578210</v>
          </cell>
          <cell r="EH13">
            <v>1249207</v>
          </cell>
          <cell r="EI13">
            <v>3827417</v>
          </cell>
          <cell r="EJ13">
            <v>528129</v>
          </cell>
          <cell r="EK13">
            <v>138703</v>
          </cell>
          <cell r="EL13">
            <v>0</v>
          </cell>
          <cell r="EM13">
            <v>666832</v>
          </cell>
          <cell r="EN13">
            <v>677583</v>
          </cell>
          <cell r="EO13">
            <v>5171832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80652</v>
          </cell>
          <cell r="EY13">
            <v>677713</v>
          </cell>
          <cell r="EZ13">
            <v>150569</v>
          </cell>
          <cell r="FA13">
            <v>18767</v>
          </cell>
          <cell r="FB13">
            <v>125930</v>
          </cell>
          <cell r="FC13">
            <v>141498</v>
          </cell>
          <cell r="FD13">
            <v>7552</v>
          </cell>
          <cell r="FE13">
            <v>55916</v>
          </cell>
          <cell r="FF13">
            <v>292067</v>
          </cell>
          <cell r="FG13">
            <v>26319</v>
          </cell>
          <cell r="FH13">
            <v>181846</v>
          </cell>
          <cell r="FI13">
            <v>500232</v>
          </cell>
          <cell r="FJ13">
            <v>2730</v>
          </cell>
          <cell r="FK13">
            <v>610</v>
          </cell>
          <cell r="FM13">
            <v>500232</v>
          </cell>
          <cell r="FN13">
            <v>43090</v>
          </cell>
          <cell r="FO13">
            <v>20114</v>
          </cell>
          <cell r="FP13">
            <v>411</v>
          </cell>
          <cell r="FQ13">
            <v>8</v>
          </cell>
          <cell r="FR13">
            <v>88</v>
          </cell>
          <cell r="FS13">
            <v>96</v>
          </cell>
          <cell r="FT13">
            <v>44141</v>
          </cell>
          <cell r="FU13">
            <v>3505</v>
          </cell>
          <cell r="FV13">
            <v>0</v>
          </cell>
          <cell r="FW13">
            <v>0</v>
          </cell>
          <cell r="FX13">
            <v>8544</v>
          </cell>
          <cell r="FY13">
            <v>1573</v>
          </cell>
          <cell r="FZ13">
            <v>322</v>
          </cell>
          <cell r="GA13">
            <v>0</v>
          </cell>
          <cell r="GF13">
            <v>36593</v>
          </cell>
          <cell r="GG13">
            <v>13194</v>
          </cell>
          <cell r="GH13">
            <v>264</v>
          </cell>
          <cell r="GI13">
            <v>12</v>
          </cell>
          <cell r="GJ13">
            <v>1739</v>
          </cell>
          <cell r="GK13">
            <v>485</v>
          </cell>
          <cell r="GL13">
            <v>0</v>
          </cell>
          <cell r="GM13">
            <v>58</v>
          </cell>
          <cell r="GN13">
            <v>91017</v>
          </cell>
          <cell r="GO13">
            <v>18757</v>
          </cell>
          <cell r="GP13">
            <v>586</v>
          </cell>
          <cell r="GQ13">
            <v>70</v>
          </cell>
          <cell r="GR13">
            <v>210</v>
          </cell>
          <cell r="GT13">
            <v>402382</v>
          </cell>
          <cell r="GU13">
            <v>25797</v>
          </cell>
          <cell r="GV13">
            <v>404035</v>
          </cell>
          <cell r="GW13">
            <v>165138</v>
          </cell>
          <cell r="GX13">
            <v>14309</v>
          </cell>
          <cell r="GY13">
            <v>103624</v>
          </cell>
          <cell r="GZ13">
            <v>567520</v>
          </cell>
          <cell r="HA13">
            <v>40106</v>
          </cell>
          <cell r="HB13">
            <v>507659</v>
          </cell>
          <cell r="HC13">
            <v>1115285</v>
          </cell>
          <cell r="HD13">
            <v>24</v>
          </cell>
          <cell r="HE13">
            <v>1133800</v>
          </cell>
          <cell r="HF13">
            <v>150007</v>
          </cell>
          <cell r="HG13">
            <v>144320</v>
          </cell>
          <cell r="HH13">
            <v>18491</v>
          </cell>
          <cell r="HI13">
            <v>2394</v>
          </cell>
          <cell r="HJ13">
            <v>296721</v>
          </cell>
          <cell r="HK13">
            <v>1430521</v>
          </cell>
          <cell r="HL13">
            <v>193</v>
          </cell>
          <cell r="HM13">
            <v>140751</v>
          </cell>
          <cell r="HN13">
            <v>140944</v>
          </cell>
          <cell r="HO13">
            <v>675</v>
          </cell>
          <cell r="HP13">
            <v>86425</v>
          </cell>
          <cell r="HQ13">
            <v>87100</v>
          </cell>
          <cell r="HR13">
            <v>0</v>
          </cell>
          <cell r="HS13">
            <v>823</v>
          </cell>
          <cell r="HT13">
            <v>823</v>
          </cell>
          <cell r="HU13">
            <v>8414</v>
          </cell>
          <cell r="HV13">
            <v>237281</v>
          </cell>
          <cell r="HW13">
            <v>163459</v>
          </cell>
          <cell r="HX13">
            <v>2605</v>
          </cell>
          <cell r="HY13">
            <v>166064</v>
          </cell>
          <cell r="HZ13">
            <v>403345</v>
          </cell>
          <cell r="IA13">
            <v>237107</v>
          </cell>
          <cell r="IB13">
            <v>382250</v>
          </cell>
          <cell r="IC13">
            <v>1667802</v>
          </cell>
          <cell r="ID13">
            <v>1667802</v>
          </cell>
          <cell r="IE13">
            <v>1833866</v>
          </cell>
          <cell r="IF13">
            <v>548076</v>
          </cell>
          <cell r="IG13">
            <v>1134</v>
          </cell>
          <cell r="IJ13">
            <v>1</v>
          </cell>
          <cell r="IK13">
            <v>3.0499999999999999E-2</v>
          </cell>
          <cell r="IL13">
            <v>8.9999999999999998E-4</v>
          </cell>
          <cell r="IM13">
            <v>0.16289999999999999</v>
          </cell>
          <cell r="IN13">
            <v>0</v>
          </cell>
          <cell r="IO13">
            <v>0.1343</v>
          </cell>
          <cell r="IP13">
            <v>1E-4</v>
          </cell>
          <cell r="IQ13">
            <v>0.73809999999999998</v>
          </cell>
          <cell r="IR13">
            <v>9.1300000000000006E-2</v>
          </cell>
          <cell r="IS13">
            <v>0.3286</v>
          </cell>
          <cell r="IT13">
            <v>109022</v>
          </cell>
          <cell r="IU13">
            <v>20302</v>
          </cell>
          <cell r="IV13">
            <v>129324</v>
          </cell>
          <cell r="IW13">
            <v>0.50749999999999995</v>
          </cell>
          <cell r="IX13">
            <v>2004537</v>
          </cell>
          <cell r="IZ13">
            <v>504</v>
          </cell>
          <cell r="JA13">
            <v>53</v>
          </cell>
          <cell r="JB13">
            <v>2033</v>
          </cell>
          <cell r="JC13">
            <v>9</v>
          </cell>
          <cell r="JD13">
            <v>0</v>
          </cell>
          <cell r="JE13">
            <v>2402</v>
          </cell>
          <cell r="JF13">
            <v>513</v>
          </cell>
          <cell r="JG13">
            <v>53</v>
          </cell>
          <cell r="JH13">
            <v>4435</v>
          </cell>
          <cell r="JI13">
            <v>5001</v>
          </cell>
          <cell r="JJ13">
            <v>2590</v>
          </cell>
          <cell r="JK13">
            <v>2411</v>
          </cell>
          <cell r="JL13">
            <v>15134</v>
          </cell>
          <cell r="JM13">
            <v>373</v>
          </cell>
          <cell r="JN13">
            <v>57806</v>
          </cell>
          <cell r="JO13">
            <v>514</v>
          </cell>
          <cell r="JP13">
            <v>0</v>
          </cell>
          <cell r="JQ13">
            <v>47985</v>
          </cell>
          <cell r="JR13">
            <v>15648</v>
          </cell>
          <cell r="JS13">
            <v>373</v>
          </cell>
          <cell r="JT13">
            <v>105791</v>
          </cell>
          <cell r="JU13">
            <v>121812</v>
          </cell>
          <cell r="JV13">
            <v>73313</v>
          </cell>
          <cell r="JW13">
            <v>48499</v>
          </cell>
          <cell r="JX13">
            <v>24.36</v>
          </cell>
          <cell r="JY13">
            <v>30.5</v>
          </cell>
          <cell r="JZ13">
            <v>23.85</v>
          </cell>
          <cell r="KA13">
            <v>0.13</v>
          </cell>
          <cell r="KB13">
            <v>0.87</v>
          </cell>
          <cell r="KC13">
            <v>3</v>
          </cell>
          <cell r="KD13">
            <v>120</v>
          </cell>
          <cell r="KE13">
            <v>146</v>
          </cell>
          <cell r="KF13">
            <v>230</v>
          </cell>
          <cell r="KM13">
            <v>111744</v>
          </cell>
          <cell r="KN13">
            <v>14892</v>
          </cell>
          <cell r="KO13">
            <v>2981</v>
          </cell>
          <cell r="KQ13">
            <v>1055</v>
          </cell>
          <cell r="KR13">
            <v>61801</v>
          </cell>
          <cell r="KS13">
            <v>35699</v>
          </cell>
          <cell r="KT13">
            <v>44554</v>
          </cell>
          <cell r="KU13">
            <v>82</v>
          </cell>
          <cell r="KV13">
            <v>162</v>
          </cell>
          <cell r="KW13">
            <v>92771</v>
          </cell>
          <cell r="KY13">
            <v>220500</v>
          </cell>
          <cell r="KZ13">
            <v>29258</v>
          </cell>
          <cell r="LC13" t="str">
            <v>PACK MEMORIAL LIBRARY</v>
          </cell>
          <cell r="LD13" t="str">
            <v>County Owned</v>
          </cell>
          <cell r="LE13" t="str">
            <v>67 HAYWOOD ST</v>
          </cell>
          <cell r="LF13" t="str">
            <v>ASHEVILLE</v>
          </cell>
          <cell r="LG13">
            <v>28801</v>
          </cell>
          <cell r="LH13">
            <v>2834</v>
          </cell>
          <cell r="LI13" t="str">
            <v>67 HAYWOOD ST</v>
          </cell>
          <cell r="LJ13" t="str">
            <v>ASHEVILLE</v>
          </cell>
          <cell r="LK13">
            <v>28801</v>
          </cell>
          <cell r="LL13">
            <v>2834</v>
          </cell>
          <cell r="LM13" t="str">
            <v>BUNCOMBE</v>
          </cell>
          <cell r="LN13">
            <v>8282504700</v>
          </cell>
          <cell r="LP13">
            <v>118803</v>
          </cell>
          <cell r="LQ13">
            <v>58</v>
          </cell>
          <cell r="LS13">
            <v>32084</v>
          </cell>
          <cell r="LT13">
            <v>676</v>
          </cell>
          <cell r="LW13">
            <v>2</v>
          </cell>
          <cell r="LX13" t="str">
            <v>C-BUNCOMBE-A</v>
          </cell>
          <cell r="LY13">
            <v>0</v>
          </cell>
          <cell r="LZ13" t="str">
            <v>CE</v>
          </cell>
          <cell r="MA13">
            <v>95.55</v>
          </cell>
          <cell r="MB13">
            <v>94</v>
          </cell>
        </row>
        <row r="14">
          <cell r="A14" t="str">
            <v>NC0020</v>
          </cell>
          <cell r="B14">
            <v>0</v>
          </cell>
          <cell r="C14">
            <v>1375</v>
          </cell>
          <cell r="D14">
            <v>2017</v>
          </cell>
          <cell r="E14">
            <v>0</v>
          </cell>
          <cell r="F14" t="str">
            <v>NC0020</v>
          </cell>
          <cell r="G14" t="str">
            <v>C-BURKE</v>
          </cell>
          <cell r="H14" t="str">
            <v>NO</v>
          </cell>
          <cell r="I14" t="str">
            <v>CO</v>
          </cell>
          <cell r="J14" t="str">
            <v>MO</v>
          </cell>
          <cell r="K14" t="str">
            <v>Y</v>
          </cell>
          <cell r="L14" t="str">
            <v>CO1</v>
          </cell>
          <cell r="M14" t="str">
            <v>N</v>
          </cell>
          <cell r="N14">
            <v>89048</v>
          </cell>
          <cell r="O14" t="str">
            <v>Yes</v>
          </cell>
          <cell r="P14">
            <v>640</v>
          </cell>
          <cell r="Q14">
            <v>175</v>
          </cell>
          <cell r="R14">
            <v>185</v>
          </cell>
          <cell r="S14">
            <v>29</v>
          </cell>
          <cell r="T14">
            <v>4398</v>
          </cell>
          <cell r="U14">
            <v>936</v>
          </cell>
          <cell r="V14">
            <v>21942</v>
          </cell>
          <cell r="W14">
            <v>4057</v>
          </cell>
          <cell r="X14">
            <v>233334</v>
          </cell>
          <cell r="Z14" t="str">
            <v>204 S KING ST</v>
          </cell>
          <cell r="AA14" t="str">
            <v>MORGANTON</v>
          </cell>
          <cell r="AB14">
            <v>28655</v>
          </cell>
          <cell r="AC14">
            <v>3535</v>
          </cell>
          <cell r="AD14" t="str">
            <v>204 S KING ST</v>
          </cell>
          <cell r="AE14" t="str">
            <v>MORGANTON</v>
          </cell>
          <cell r="AF14">
            <v>28655</v>
          </cell>
          <cell r="AG14">
            <v>2</v>
          </cell>
          <cell r="AH14" t="str">
            <v>BURKE COUNTY PUBLIC LIBRARY</v>
          </cell>
          <cell r="AJ14" t="str">
            <v>County</v>
          </cell>
          <cell r="AK14" t="str">
            <v>BURKE</v>
          </cell>
          <cell r="AL14" t="str">
            <v>Jim Wilson</v>
          </cell>
          <cell r="AM14" t="str">
            <v>(828) 764-9276</v>
          </cell>
          <cell r="AN14" t="str">
            <v>(828) 433-1914</v>
          </cell>
          <cell r="AO14" t="str">
            <v>jwilson@bcpls.org</v>
          </cell>
          <cell r="AP14" t="str">
            <v>Jim Wilson</v>
          </cell>
          <cell r="AQ14" t="str">
            <v>Director</v>
          </cell>
          <cell r="AR14" t="str">
            <v>(828) 764-9276</v>
          </cell>
          <cell r="AS14" t="str">
            <v>(828) 433-1914</v>
          </cell>
          <cell r="AT14" t="str">
            <v>jwilson@bcpls.org</v>
          </cell>
          <cell r="AU14" t="str">
            <v>www.bcpls.org</v>
          </cell>
          <cell r="BC14">
            <v>1</v>
          </cell>
          <cell r="BD14">
            <v>2</v>
          </cell>
          <cell r="BE14">
            <v>0</v>
          </cell>
          <cell r="BF14">
            <v>1</v>
          </cell>
          <cell r="BG14">
            <v>4</v>
          </cell>
          <cell r="BI14">
            <v>7332</v>
          </cell>
          <cell r="BJ14">
            <v>2</v>
          </cell>
          <cell r="BK14">
            <v>2</v>
          </cell>
          <cell r="BL14">
            <v>4</v>
          </cell>
          <cell r="BM14">
            <v>17.05</v>
          </cell>
          <cell r="BN14">
            <v>21.05</v>
          </cell>
          <cell r="BO14">
            <v>9.5000000000000001E-2</v>
          </cell>
          <cell r="BP14">
            <v>3800</v>
          </cell>
          <cell r="BQ14">
            <v>72400</v>
          </cell>
          <cell r="BT14">
            <v>45125</v>
          </cell>
          <cell r="CV14">
            <v>35501</v>
          </cell>
          <cell r="CW14">
            <v>55026</v>
          </cell>
          <cell r="CX14">
            <v>37120</v>
          </cell>
          <cell r="DH14">
            <v>35501</v>
          </cell>
          <cell r="DI14">
            <v>55026</v>
          </cell>
          <cell r="DJ14">
            <v>36395</v>
          </cell>
          <cell r="DO14">
            <v>22883</v>
          </cell>
          <cell r="DP14">
            <v>35470</v>
          </cell>
          <cell r="DQ14">
            <v>24641</v>
          </cell>
          <cell r="DV14">
            <v>277250</v>
          </cell>
          <cell r="DW14">
            <v>815522</v>
          </cell>
          <cell r="DX14">
            <v>1092772</v>
          </cell>
          <cell r="DY14">
            <v>139533</v>
          </cell>
          <cell r="DZ14">
            <v>0</v>
          </cell>
          <cell r="EA14">
            <v>139533</v>
          </cell>
          <cell r="EB14">
            <v>21547</v>
          </cell>
          <cell r="EC14">
            <v>5316</v>
          </cell>
          <cell r="ED14">
            <v>26863</v>
          </cell>
          <cell r="EE14">
            <v>44834</v>
          </cell>
          <cell r="EF14">
            <v>1304002</v>
          </cell>
          <cell r="EG14">
            <v>705404</v>
          </cell>
          <cell r="EH14">
            <v>272136</v>
          </cell>
          <cell r="EI14">
            <v>977540</v>
          </cell>
          <cell r="EJ14">
            <v>111322</v>
          </cell>
          <cell r="EK14">
            <v>16010</v>
          </cell>
          <cell r="EL14">
            <v>3774</v>
          </cell>
          <cell r="EM14">
            <v>131106</v>
          </cell>
          <cell r="EN14">
            <v>217638</v>
          </cell>
          <cell r="EO14">
            <v>1326284</v>
          </cell>
          <cell r="EP14">
            <v>-22282</v>
          </cell>
          <cell r="EQ14">
            <v>-1.7100000000000001E-2</v>
          </cell>
          <cell r="ER14">
            <v>50500</v>
          </cell>
          <cell r="ES14">
            <v>0</v>
          </cell>
          <cell r="ET14">
            <v>0</v>
          </cell>
          <cell r="EU14">
            <v>0</v>
          </cell>
          <cell r="EV14">
            <v>50500</v>
          </cell>
          <cell r="EW14">
            <v>36418</v>
          </cell>
          <cell r="EX14">
            <v>11269</v>
          </cell>
          <cell r="EY14">
            <v>222042</v>
          </cell>
          <cell r="EZ14">
            <v>37385</v>
          </cell>
          <cell r="FA14">
            <v>7155</v>
          </cell>
          <cell r="FB14">
            <v>28375</v>
          </cell>
          <cell r="FC14">
            <v>36749</v>
          </cell>
          <cell r="FD14">
            <v>2205</v>
          </cell>
          <cell r="FE14">
            <v>14068</v>
          </cell>
          <cell r="FF14">
            <v>74134</v>
          </cell>
          <cell r="FG14">
            <v>9360</v>
          </cell>
          <cell r="FH14">
            <v>42443</v>
          </cell>
          <cell r="FI14">
            <v>125937</v>
          </cell>
          <cell r="FJ14">
            <v>1789</v>
          </cell>
          <cell r="FK14">
            <v>90</v>
          </cell>
          <cell r="FM14">
            <v>125937</v>
          </cell>
          <cell r="FN14">
            <v>4027</v>
          </cell>
          <cell r="FO14">
            <v>1837</v>
          </cell>
          <cell r="FP14">
            <v>801</v>
          </cell>
          <cell r="FQ14">
            <v>1</v>
          </cell>
          <cell r="FR14">
            <v>88</v>
          </cell>
          <cell r="FS14">
            <v>89</v>
          </cell>
          <cell r="FT14">
            <v>44141</v>
          </cell>
          <cell r="FU14">
            <v>3505</v>
          </cell>
          <cell r="FV14">
            <v>0</v>
          </cell>
          <cell r="FW14">
            <v>0</v>
          </cell>
          <cell r="FX14">
            <v>8544</v>
          </cell>
          <cell r="FY14">
            <v>1573</v>
          </cell>
          <cell r="FZ14">
            <v>322</v>
          </cell>
          <cell r="GA14">
            <v>0</v>
          </cell>
          <cell r="GB14">
            <v>26436</v>
          </cell>
          <cell r="GC14">
            <v>1747</v>
          </cell>
          <cell r="GD14">
            <v>278</v>
          </cell>
          <cell r="GJ14">
            <v>773</v>
          </cell>
          <cell r="GK14">
            <v>85</v>
          </cell>
          <cell r="GL14">
            <v>68</v>
          </cell>
          <cell r="GM14">
            <v>0</v>
          </cell>
          <cell r="GN14">
            <v>79894</v>
          </cell>
          <cell r="GO14">
            <v>6910</v>
          </cell>
          <cell r="GP14">
            <v>668</v>
          </cell>
          <cell r="GQ14">
            <v>0</v>
          </cell>
          <cell r="GR14">
            <v>92</v>
          </cell>
          <cell r="GT14">
            <v>59154</v>
          </cell>
          <cell r="GU14">
            <v>8868</v>
          </cell>
          <cell r="GV14">
            <v>48359</v>
          </cell>
          <cell r="GW14">
            <v>23151</v>
          </cell>
          <cell r="GX14">
            <v>2573</v>
          </cell>
          <cell r="GY14">
            <v>11330</v>
          </cell>
          <cell r="GZ14">
            <v>82305</v>
          </cell>
          <cell r="HA14">
            <v>11441</v>
          </cell>
          <cell r="HB14">
            <v>59689</v>
          </cell>
          <cell r="HC14">
            <v>153435</v>
          </cell>
          <cell r="HD14">
            <v>207</v>
          </cell>
          <cell r="HE14">
            <v>153699</v>
          </cell>
          <cell r="HF14">
            <v>4974</v>
          </cell>
          <cell r="HG14">
            <v>1969</v>
          </cell>
          <cell r="HH14">
            <v>57</v>
          </cell>
          <cell r="HI14">
            <v>6493</v>
          </cell>
          <cell r="HJ14">
            <v>13436</v>
          </cell>
          <cell r="HK14">
            <v>167135</v>
          </cell>
          <cell r="HL14">
            <v>43</v>
          </cell>
          <cell r="HM14">
            <v>15464</v>
          </cell>
          <cell r="HN14">
            <v>15507</v>
          </cell>
          <cell r="HO14">
            <v>374</v>
          </cell>
          <cell r="HP14">
            <v>3550</v>
          </cell>
          <cell r="HQ14">
            <v>3924</v>
          </cell>
          <cell r="HR14">
            <v>0</v>
          </cell>
          <cell r="HS14">
            <v>53</v>
          </cell>
          <cell r="HT14">
            <v>53</v>
          </cell>
          <cell r="HU14">
            <v>637</v>
          </cell>
          <cell r="HV14">
            <v>20121</v>
          </cell>
          <cell r="HW14">
            <v>21790</v>
          </cell>
          <cell r="HX14">
            <v>15072</v>
          </cell>
          <cell r="HY14">
            <v>36862</v>
          </cell>
          <cell r="HZ14">
            <v>56983</v>
          </cell>
          <cell r="IA14">
            <v>8898</v>
          </cell>
          <cell r="IB14">
            <v>10920</v>
          </cell>
          <cell r="IC14">
            <v>187256</v>
          </cell>
          <cell r="ID14">
            <v>187256</v>
          </cell>
          <cell r="IE14">
            <v>224118</v>
          </cell>
          <cell r="IF14">
            <v>72023</v>
          </cell>
          <cell r="IG14">
            <v>-1</v>
          </cell>
          <cell r="IK14">
            <v>1.1299999999999999E-2</v>
          </cell>
          <cell r="IL14">
            <v>4.0000000000000002E-4</v>
          </cell>
          <cell r="IM14">
            <v>0.39389999999999997</v>
          </cell>
          <cell r="IN14">
            <v>0</v>
          </cell>
          <cell r="IO14">
            <v>0.35980000000000001</v>
          </cell>
          <cell r="IP14">
            <v>4.0000000000000002E-4</v>
          </cell>
          <cell r="IQ14">
            <v>0.56720000000000004</v>
          </cell>
          <cell r="IR14">
            <v>4.9299999999999997E-2</v>
          </cell>
          <cell r="IS14">
            <v>0.3846</v>
          </cell>
          <cell r="IT14">
            <v>46583</v>
          </cell>
          <cell r="IU14">
            <v>17427</v>
          </cell>
          <cell r="IV14">
            <v>64010</v>
          </cell>
          <cell r="IW14">
            <v>0.71879999999999999</v>
          </cell>
          <cell r="IX14">
            <v>133680</v>
          </cell>
          <cell r="IZ14">
            <v>153</v>
          </cell>
          <cell r="JA14">
            <v>126</v>
          </cell>
          <cell r="JB14">
            <v>754</v>
          </cell>
          <cell r="JC14">
            <v>78</v>
          </cell>
          <cell r="JD14">
            <v>33</v>
          </cell>
          <cell r="JE14">
            <v>95</v>
          </cell>
          <cell r="JF14">
            <v>231</v>
          </cell>
          <cell r="JG14">
            <v>159</v>
          </cell>
          <cell r="JH14">
            <v>849</v>
          </cell>
          <cell r="JI14">
            <v>1239</v>
          </cell>
          <cell r="JJ14">
            <v>1033</v>
          </cell>
          <cell r="JK14">
            <v>206</v>
          </cell>
          <cell r="JL14">
            <v>2647</v>
          </cell>
          <cell r="JM14">
            <v>1872</v>
          </cell>
          <cell r="JN14">
            <v>16877</v>
          </cell>
          <cell r="JO14">
            <v>1312</v>
          </cell>
          <cell r="JP14">
            <v>2433</v>
          </cell>
          <cell r="JQ14">
            <v>2921</v>
          </cell>
          <cell r="JR14">
            <v>3959</v>
          </cell>
          <cell r="JS14">
            <v>4305</v>
          </cell>
          <cell r="JT14">
            <v>19798</v>
          </cell>
          <cell r="JU14">
            <v>28062</v>
          </cell>
          <cell r="JV14">
            <v>21396</v>
          </cell>
          <cell r="JW14">
            <v>6666</v>
          </cell>
          <cell r="JX14">
            <v>22.65</v>
          </cell>
          <cell r="JY14">
            <v>17.14</v>
          </cell>
          <cell r="JZ14">
            <v>23.32</v>
          </cell>
          <cell r="KA14">
            <v>0.14000000000000001</v>
          </cell>
          <cell r="KB14">
            <v>0.71</v>
          </cell>
          <cell r="KC14">
            <v>25</v>
          </cell>
          <cell r="KD14">
            <v>438</v>
          </cell>
          <cell r="KE14">
            <v>252</v>
          </cell>
          <cell r="KF14">
            <v>431</v>
          </cell>
          <cell r="KG14">
            <v>190</v>
          </cell>
          <cell r="KH14">
            <v>4682</v>
          </cell>
          <cell r="KI14">
            <v>44</v>
          </cell>
          <cell r="KJ14">
            <v>1850</v>
          </cell>
          <cell r="KK14">
            <v>196</v>
          </cell>
          <cell r="KL14">
            <v>2710</v>
          </cell>
          <cell r="KM14">
            <v>23556</v>
          </cell>
          <cell r="KN14">
            <v>10504</v>
          </cell>
          <cell r="KO14">
            <v>1404</v>
          </cell>
          <cell r="KQ14">
            <v>94</v>
          </cell>
          <cell r="KR14">
            <v>651</v>
          </cell>
          <cell r="KS14">
            <v>161</v>
          </cell>
          <cell r="KT14">
            <v>322</v>
          </cell>
          <cell r="KU14">
            <v>35</v>
          </cell>
          <cell r="KV14">
            <v>37</v>
          </cell>
          <cell r="KW14">
            <v>32742</v>
          </cell>
          <cell r="KY14">
            <v>161622</v>
          </cell>
          <cell r="LC14" t="str">
            <v>BURKE COUNTY PUBLIC LIBRARY</v>
          </cell>
          <cell r="LD14" t="str">
            <v>County Owned</v>
          </cell>
          <cell r="LE14" t="str">
            <v>204 S KING ST</v>
          </cell>
          <cell r="LF14" t="str">
            <v>MORGANTON</v>
          </cell>
          <cell r="LG14">
            <v>28655</v>
          </cell>
          <cell r="LH14">
            <v>3535</v>
          </cell>
          <cell r="LI14" t="str">
            <v>204 S KING ST</v>
          </cell>
          <cell r="LJ14" t="str">
            <v>MORGANTON</v>
          </cell>
          <cell r="LK14">
            <v>28655</v>
          </cell>
          <cell r="LL14">
            <v>3535</v>
          </cell>
          <cell r="LM14" t="str">
            <v>BURKE</v>
          </cell>
          <cell r="LN14">
            <v>8287649260</v>
          </cell>
          <cell r="LO14">
            <v>8284331914</v>
          </cell>
          <cell r="LP14">
            <v>26200</v>
          </cell>
          <cell r="LQ14">
            <v>21.05</v>
          </cell>
          <cell r="LS14">
            <v>7332</v>
          </cell>
          <cell r="LT14">
            <v>156</v>
          </cell>
          <cell r="LW14">
            <v>2</v>
          </cell>
          <cell r="LX14" t="str">
            <v>C-BURKE-M</v>
          </cell>
          <cell r="LY14">
            <v>0</v>
          </cell>
          <cell r="LZ14" t="str">
            <v>CE</v>
          </cell>
          <cell r="MA14">
            <v>12.75</v>
          </cell>
          <cell r="MB14">
            <v>94.38</v>
          </cell>
        </row>
        <row r="15">
          <cell r="A15" t="str">
            <v>NC0021</v>
          </cell>
          <cell r="B15">
            <v>0</v>
          </cell>
          <cell r="C15">
            <v>1375</v>
          </cell>
          <cell r="D15">
            <v>2017</v>
          </cell>
          <cell r="E15">
            <v>0</v>
          </cell>
          <cell r="F15" t="str">
            <v>NC0021</v>
          </cell>
          <cell r="G15" t="str">
            <v>C-CABARRUS</v>
          </cell>
          <cell r="H15" t="str">
            <v>NO</v>
          </cell>
          <cell r="I15" t="str">
            <v>CO</v>
          </cell>
          <cell r="J15" t="str">
            <v>MO</v>
          </cell>
          <cell r="K15" t="str">
            <v>Y</v>
          </cell>
          <cell r="L15" t="str">
            <v>CO1</v>
          </cell>
          <cell r="M15" t="str">
            <v>N</v>
          </cell>
          <cell r="N15">
            <v>195714</v>
          </cell>
          <cell r="O15" t="str">
            <v>Yes</v>
          </cell>
          <cell r="P15">
            <v>3242</v>
          </cell>
          <cell r="Q15">
            <v>509</v>
          </cell>
          <cell r="R15">
            <v>365</v>
          </cell>
          <cell r="S15">
            <v>107</v>
          </cell>
          <cell r="T15">
            <v>11883</v>
          </cell>
          <cell r="U15">
            <v>1833</v>
          </cell>
          <cell r="V15">
            <v>121885</v>
          </cell>
          <cell r="W15">
            <v>11961</v>
          </cell>
          <cell r="Z15" t="str">
            <v>27 UNION ST N</v>
          </cell>
          <cell r="AA15" t="str">
            <v>CONCORD</v>
          </cell>
          <cell r="AB15">
            <v>28025</v>
          </cell>
          <cell r="AC15">
            <v>4793</v>
          </cell>
          <cell r="AD15" t="str">
            <v>27 UNION ST N</v>
          </cell>
          <cell r="AE15" t="str">
            <v>CONCORD</v>
          </cell>
          <cell r="AF15">
            <v>28025</v>
          </cell>
          <cell r="AG15">
            <v>3</v>
          </cell>
          <cell r="AH15" t="str">
            <v>CABARRUS COUNTY PUBLIC LIBRARY</v>
          </cell>
          <cell r="AJ15" t="str">
            <v>County</v>
          </cell>
          <cell r="AK15" t="str">
            <v>CABARRUS</v>
          </cell>
          <cell r="AL15" t="str">
            <v>Emery Ortiz</v>
          </cell>
          <cell r="AM15" t="str">
            <v>(704) 920-2063</v>
          </cell>
          <cell r="AN15" t="str">
            <v>(704) 784-3822</v>
          </cell>
          <cell r="AO15" t="str">
            <v>emortiz@cabarruscounty.us</v>
          </cell>
          <cell r="AP15" t="str">
            <v>Emery Ortiz</v>
          </cell>
          <cell r="AQ15" t="str">
            <v>Library Director</v>
          </cell>
          <cell r="AR15" t="str">
            <v>(704) 920-2063</v>
          </cell>
          <cell r="AS15" t="str">
            <v>(704) 784-3822</v>
          </cell>
          <cell r="AT15" t="str">
            <v>emortiz@cabarruscounty.us</v>
          </cell>
          <cell r="AU15" t="str">
            <v>www.cabarruscounty.us/library</v>
          </cell>
          <cell r="BC15">
            <v>1</v>
          </cell>
          <cell r="BD15">
            <v>3</v>
          </cell>
          <cell r="BE15">
            <v>0</v>
          </cell>
          <cell r="BF15">
            <v>1</v>
          </cell>
          <cell r="BG15">
            <v>5</v>
          </cell>
          <cell r="BI15">
            <v>11354</v>
          </cell>
          <cell r="BJ15">
            <v>10</v>
          </cell>
          <cell r="BK15">
            <v>0</v>
          </cell>
          <cell r="BL15">
            <v>10</v>
          </cell>
          <cell r="BM15">
            <v>38</v>
          </cell>
          <cell r="BN15">
            <v>48</v>
          </cell>
          <cell r="BO15">
            <v>0.20830000000000001</v>
          </cell>
          <cell r="BP15">
            <v>6275</v>
          </cell>
          <cell r="BQ15">
            <v>82326</v>
          </cell>
          <cell r="BT15">
            <v>0</v>
          </cell>
          <cell r="BU15">
            <v>52478</v>
          </cell>
          <cell r="BV15">
            <v>81827</v>
          </cell>
          <cell r="BW15">
            <v>54028</v>
          </cell>
          <cell r="BY15">
            <v>43181</v>
          </cell>
          <cell r="BZ15">
            <v>67267</v>
          </cell>
          <cell r="CA15">
            <v>45042</v>
          </cell>
          <cell r="CC15">
            <v>43181</v>
          </cell>
          <cell r="CD15">
            <v>67267</v>
          </cell>
          <cell r="CE15">
            <v>46051</v>
          </cell>
          <cell r="CG15">
            <v>49962</v>
          </cell>
          <cell r="CH15">
            <v>77854</v>
          </cell>
          <cell r="CI15">
            <v>49962</v>
          </cell>
          <cell r="CK15">
            <v>43181</v>
          </cell>
          <cell r="CL15">
            <v>67267</v>
          </cell>
          <cell r="CM15">
            <v>48630</v>
          </cell>
          <cell r="CO15">
            <v>43181</v>
          </cell>
          <cell r="CP15">
            <v>67267</v>
          </cell>
          <cell r="CQ15">
            <v>46987</v>
          </cell>
          <cell r="CR15">
            <v>43181</v>
          </cell>
          <cell r="CS15">
            <v>67267</v>
          </cell>
          <cell r="CT15">
            <v>45042</v>
          </cell>
          <cell r="CV15">
            <v>43181</v>
          </cell>
          <cell r="CW15">
            <v>67267</v>
          </cell>
          <cell r="CX15">
            <v>46051</v>
          </cell>
          <cell r="CZ15">
            <v>49962</v>
          </cell>
          <cell r="DA15">
            <v>77854</v>
          </cell>
          <cell r="DB15">
            <v>49962</v>
          </cell>
          <cell r="DD15">
            <v>43181</v>
          </cell>
          <cell r="DE15">
            <v>67267</v>
          </cell>
          <cell r="DF15">
            <v>48630</v>
          </cell>
          <cell r="DH15">
            <v>43181</v>
          </cell>
          <cell r="DI15">
            <v>67267</v>
          </cell>
          <cell r="DJ15">
            <v>46987</v>
          </cell>
          <cell r="DK15">
            <v>35485</v>
          </cell>
          <cell r="DL15">
            <v>55349</v>
          </cell>
          <cell r="DM15">
            <v>37036</v>
          </cell>
          <cell r="DO15">
            <v>30680</v>
          </cell>
          <cell r="DP15">
            <v>47778</v>
          </cell>
          <cell r="DQ15">
            <v>24591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3114661</v>
          </cell>
          <cell r="DX15">
            <v>3114661</v>
          </cell>
          <cell r="DY15">
            <v>196686</v>
          </cell>
          <cell r="DZ15">
            <v>0</v>
          </cell>
          <cell r="EA15">
            <v>196686</v>
          </cell>
          <cell r="EB15">
            <v>26608</v>
          </cell>
          <cell r="EC15">
            <v>0</v>
          </cell>
          <cell r="ED15">
            <v>26608</v>
          </cell>
          <cell r="EE15">
            <v>0</v>
          </cell>
          <cell r="EF15">
            <v>3337955</v>
          </cell>
          <cell r="EG15">
            <v>1799229</v>
          </cell>
          <cell r="EH15">
            <v>683581</v>
          </cell>
          <cell r="EI15">
            <v>2482810</v>
          </cell>
          <cell r="EJ15">
            <v>287345</v>
          </cell>
          <cell r="EK15">
            <v>141980</v>
          </cell>
          <cell r="EL15">
            <v>23095</v>
          </cell>
          <cell r="EM15">
            <v>452420</v>
          </cell>
          <cell r="EN15">
            <v>392069</v>
          </cell>
          <cell r="EO15">
            <v>3327299</v>
          </cell>
          <cell r="EP15">
            <v>10656</v>
          </cell>
          <cell r="EQ15">
            <v>3.2000000000000002E-3</v>
          </cell>
          <cell r="ER15">
            <v>50000</v>
          </cell>
          <cell r="ES15">
            <v>0</v>
          </cell>
          <cell r="ET15">
            <v>0</v>
          </cell>
          <cell r="EU15">
            <v>0</v>
          </cell>
          <cell r="EV15">
            <v>50000</v>
          </cell>
          <cell r="EW15">
            <v>50000</v>
          </cell>
          <cell r="EX15">
            <v>31544</v>
          </cell>
          <cell r="EY15">
            <v>361686</v>
          </cell>
          <cell r="EZ15">
            <v>62598</v>
          </cell>
          <cell r="FA15">
            <v>11416</v>
          </cell>
          <cell r="FB15">
            <v>59175</v>
          </cell>
          <cell r="FC15">
            <v>49511</v>
          </cell>
          <cell r="FE15">
            <v>84833</v>
          </cell>
          <cell r="FF15">
            <v>112109</v>
          </cell>
          <cell r="FH15">
            <v>144008</v>
          </cell>
          <cell r="FI15">
            <v>267533</v>
          </cell>
          <cell r="FJ15">
            <v>2572</v>
          </cell>
          <cell r="FK15">
            <v>150</v>
          </cell>
          <cell r="FM15">
            <v>267533</v>
          </cell>
          <cell r="FN15">
            <v>7873</v>
          </cell>
          <cell r="FO15">
            <v>9114</v>
          </cell>
          <cell r="FP15">
            <v>1045</v>
          </cell>
          <cell r="FQ15">
            <v>8</v>
          </cell>
          <cell r="FR15">
            <v>88</v>
          </cell>
          <cell r="FS15">
            <v>96</v>
          </cell>
          <cell r="FT15">
            <v>44141</v>
          </cell>
          <cell r="FU15">
            <v>3505</v>
          </cell>
          <cell r="FV15">
            <v>0</v>
          </cell>
          <cell r="FW15">
            <v>0</v>
          </cell>
          <cell r="FX15">
            <v>8544</v>
          </cell>
          <cell r="FY15">
            <v>1573</v>
          </cell>
          <cell r="FZ15">
            <v>322</v>
          </cell>
          <cell r="GA15">
            <v>0</v>
          </cell>
          <cell r="GE15">
            <v>0</v>
          </cell>
          <cell r="GJ15">
            <v>4088</v>
          </cell>
          <cell r="GK15">
            <v>11052</v>
          </cell>
          <cell r="GL15">
            <v>0</v>
          </cell>
          <cell r="GM15">
            <v>78</v>
          </cell>
          <cell r="GN15">
            <v>56773</v>
          </cell>
          <cell r="GO15">
            <v>16130</v>
          </cell>
          <cell r="GP15">
            <v>322</v>
          </cell>
          <cell r="GQ15">
            <v>78</v>
          </cell>
          <cell r="GR15">
            <v>75</v>
          </cell>
          <cell r="GT15">
            <v>166369</v>
          </cell>
          <cell r="GU15">
            <v>32012</v>
          </cell>
          <cell r="GV15">
            <v>310021</v>
          </cell>
          <cell r="GW15">
            <v>64014</v>
          </cell>
          <cell r="GY15">
            <v>69102</v>
          </cell>
          <cell r="GZ15">
            <v>230383</v>
          </cell>
          <cell r="HB15">
            <v>379123</v>
          </cell>
          <cell r="HC15">
            <v>641518</v>
          </cell>
          <cell r="HD15">
            <v>2126</v>
          </cell>
          <cell r="HE15">
            <v>643644</v>
          </cell>
          <cell r="HF15">
            <v>25091</v>
          </cell>
          <cell r="HG15">
            <v>63265</v>
          </cell>
          <cell r="HH15">
            <v>0</v>
          </cell>
          <cell r="HI15">
            <v>0</v>
          </cell>
          <cell r="HJ15">
            <v>88356</v>
          </cell>
          <cell r="HK15">
            <v>732000</v>
          </cell>
          <cell r="HL15">
            <v>902</v>
          </cell>
          <cell r="HM15">
            <v>13699</v>
          </cell>
          <cell r="HN15">
            <v>14601</v>
          </cell>
          <cell r="HO15">
            <v>2833</v>
          </cell>
          <cell r="HP15">
            <v>20800</v>
          </cell>
          <cell r="HQ15">
            <v>23633</v>
          </cell>
          <cell r="HR15">
            <v>0</v>
          </cell>
          <cell r="HS15">
            <v>0</v>
          </cell>
          <cell r="HT15">
            <v>0</v>
          </cell>
          <cell r="HU15">
            <v>4400</v>
          </cell>
          <cell r="HV15">
            <v>42634</v>
          </cell>
          <cell r="HW15">
            <v>26368</v>
          </cell>
          <cell r="HX15">
            <v>193809</v>
          </cell>
          <cell r="HY15">
            <v>220177</v>
          </cell>
          <cell r="HZ15">
            <v>262811</v>
          </cell>
          <cell r="IA15">
            <v>48724</v>
          </cell>
          <cell r="IB15">
            <v>111989</v>
          </cell>
          <cell r="IC15">
            <v>774634</v>
          </cell>
          <cell r="ID15">
            <v>774634</v>
          </cell>
          <cell r="IE15">
            <v>994811</v>
          </cell>
          <cell r="IF15">
            <v>411135</v>
          </cell>
          <cell r="IG15">
            <v>951</v>
          </cell>
          <cell r="IJ15">
            <v>1</v>
          </cell>
          <cell r="IK15">
            <v>2.6100000000000002E-2</v>
          </cell>
          <cell r="IL15">
            <v>4.0000000000000002E-4</v>
          </cell>
          <cell r="IM15">
            <v>0.20269999999999999</v>
          </cell>
          <cell r="IN15">
            <v>0</v>
          </cell>
          <cell r="IO15">
            <v>0.157</v>
          </cell>
          <cell r="IP15">
            <v>2.9999999999999997E-4</v>
          </cell>
          <cell r="IQ15">
            <v>0.73970000000000002</v>
          </cell>
          <cell r="IR15">
            <v>6.6400000000000001E-2</v>
          </cell>
          <cell r="IS15">
            <v>0.53069999999999995</v>
          </cell>
          <cell r="IT15">
            <v>65837</v>
          </cell>
          <cell r="IU15">
            <v>16498</v>
          </cell>
          <cell r="IV15">
            <v>82335</v>
          </cell>
          <cell r="IW15">
            <v>0.42070000000000002</v>
          </cell>
          <cell r="IX15">
            <v>428290</v>
          </cell>
          <cell r="IZ15">
            <v>497</v>
          </cell>
          <cell r="JA15">
            <v>419</v>
          </cell>
          <cell r="JB15">
            <v>1843</v>
          </cell>
          <cell r="JC15">
            <v>182</v>
          </cell>
          <cell r="JD15">
            <v>22</v>
          </cell>
          <cell r="JE15">
            <v>117</v>
          </cell>
          <cell r="JF15">
            <v>679</v>
          </cell>
          <cell r="JG15">
            <v>441</v>
          </cell>
          <cell r="JH15">
            <v>1960</v>
          </cell>
          <cell r="JI15">
            <v>3080</v>
          </cell>
          <cell r="JJ15">
            <v>2759</v>
          </cell>
          <cell r="JK15">
            <v>321</v>
          </cell>
          <cell r="JL15">
            <v>4677</v>
          </cell>
          <cell r="JM15">
            <v>6890</v>
          </cell>
          <cell r="JN15">
            <v>48435</v>
          </cell>
          <cell r="JO15">
            <v>2957</v>
          </cell>
          <cell r="JP15">
            <v>635</v>
          </cell>
          <cell r="JQ15">
            <v>8299</v>
          </cell>
          <cell r="JR15">
            <v>7634</v>
          </cell>
          <cell r="JS15">
            <v>7525</v>
          </cell>
          <cell r="JT15">
            <v>56734</v>
          </cell>
          <cell r="JU15">
            <v>71893</v>
          </cell>
          <cell r="JV15">
            <v>60002</v>
          </cell>
          <cell r="JW15">
            <v>11891</v>
          </cell>
          <cell r="JX15">
            <v>23.34</v>
          </cell>
          <cell r="JY15">
            <v>11.24</v>
          </cell>
          <cell r="JZ15">
            <v>28.95</v>
          </cell>
          <cell r="KA15">
            <v>0.11</v>
          </cell>
          <cell r="KB15">
            <v>0.79</v>
          </cell>
          <cell r="KC15">
            <v>15</v>
          </cell>
          <cell r="KD15">
            <v>56</v>
          </cell>
          <cell r="KE15">
            <v>289</v>
          </cell>
          <cell r="KF15">
            <v>1950</v>
          </cell>
          <cell r="KG15">
            <v>0</v>
          </cell>
          <cell r="KH15">
            <v>0</v>
          </cell>
          <cell r="KI15">
            <v>0</v>
          </cell>
          <cell r="KJ15">
            <v>0</v>
          </cell>
          <cell r="KK15">
            <v>0</v>
          </cell>
          <cell r="KL15">
            <v>0</v>
          </cell>
          <cell r="KM15">
            <v>82401</v>
          </cell>
          <cell r="KN15">
            <v>30043</v>
          </cell>
          <cell r="KO15">
            <v>4493</v>
          </cell>
          <cell r="KQ15">
            <v>445</v>
          </cell>
          <cell r="KR15">
            <v>15442</v>
          </cell>
          <cell r="KS15">
            <v>303</v>
          </cell>
          <cell r="KT15">
            <v>265</v>
          </cell>
          <cell r="KU15">
            <v>54</v>
          </cell>
          <cell r="KV15">
            <v>62</v>
          </cell>
          <cell r="KW15">
            <v>54970</v>
          </cell>
          <cell r="LC15" t="str">
            <v>CABARRUS COUNTY PUBLIC LIBRARY</v>
          </cell>
          <cell r="LD15" t="str">
            <v>County Owned</v>
          </cell>
          <cell r="LE15" t="str">
            <v>27 UNION ST N</v>
          </cell>
          <cell r="LF15" t="str">
            <v>CONCORD</v>
          </cell>
          <cell r="LG15">
            <v>28025</v>
          </cell>
          <cell r="LH15">
            <v>4793</v>
          </cell>
          <cell r="LI15" t="str">
            <v>27 UNION ST N</v>
          </cell>
          <cell r="LJ15" t="str">
            <v>CONCORD</v>
          </cell>
          <cell r="LK15">
            <v>28025</v>
          </cell>
          <cell r="LL15">
            <v>4793</v>
          </cell>
          <cell r="LM15" t="str">
            <v>CABARRUS</v>
          </cell>
          <cell r="LN15">
            <v>7049202050</v>
          </cell>
          <cell r="LO15">
            <v>7047843822</v>
          </cell>
          <cell r="LP15">
            <v>55060</v>
          </cell>
          <cell r="LQ15">
            <v>49</v>
          </cell>
          <cell r="LS15">
            <v>11354</v>
          </cell>
          <cell r="LT15">
            <v>208</v>
          </cell>
          <cell r="LW15">
            <v>2</v>
          </cell>
          <cell r="LX15" t="str">
            <v>C-CABARRUS-C</v>
          </cell>
          <cell r="LY15">
            <v>0</v>
          </cell>
          <cell r="LZ15" t="str">
            <v>CE</v>
          </cell>
          <cell r="MA15">
            <v>72.739999999999995</v>
          </cell>
          <cell r="MB15">
            <v>86.18</v>
          </cell>
        </row>
        <row r="16">
          <cell r="A16" t="str">
            <v>NC0022</v>
          </cell>
          <cell r="B16">
            <v>0</v>
          </cell>
          <cell r="C16">
            <v>1375</v>
          </cell>
          <cell r="D16">
            <v>2017</v>
          </cell>
          <cell r="E16">
            <v>0</v>
          </cell>
          <cell r="F16" t="str">
            <v>NC0022</v>
          </cell>
          <cell r="G16" t="str">
            <v>C-CALDWELL</v>
          </cell>
          <cell r="H16" t="str">
            <v>NO</v>
          </cell>
          <cell r="I16" t="str">
            <v>CO</v>
          </cell>
          <cell r="J16" t="str">
            <v>MO</v>
          </cell>
          <cell r="K16" t="str">
            <v>Y</v>
          </cell>
          <cell r="L16" t="str">
            <v>CO1</v>
          </cell>
          <cell r="M16" t="str">
            <v>N</v>
          </cell>
          <cell r="N16">
            <v>82556</v>
          </cell>
          <cell r="O16" t="str">
            <v>No</v>
          </cell>
          <cell r="P16">
            <v>775</v>
          </cell>
          <cell r="Q16">
            <v>251</v>
          </cell>
          <cell r="R16">
            <v>71</v>
          </cell>
          <cell r="S16">
            <v>7</v>
          </cell>
          <cell r="T16">
            <v>2389</v>
          </cell>
          <cell r="U16">
            <v>78</v>
          </cell>
          <cell r="V16">
            <v>32582</v>
          </cell>
          <cell r="W16">
            <v>4383</v>
          </cell>
          <cell r="X16">
            <v>265800</v>
          </cell>
          <cell r="Y16">
            <v>115200</v>
          </cell>
          <cell r="Z16" t="str">
            <v>120 HOSPITAL AVE</v>
          </cell>
          <cell r="AA16" t="str">
            <v>LENOIR</v>
          </cell>
          <cell r="AB16">
            <v>28645</v>
          </cell>
          <cell r="AC16">
            <v>4454</v>
          </cell>
          <cell r="AD16" t="str">
            <v>120 HOSPITAL AVE</v>
          </cell>
          <cell r="AE16" t="str">
            <v>LENOIR</v>
          </cell>
          <cell r="AF16">
            <v>28645</v>
          </cell>
          <cell r="AG16">
            <v>1</v>
          </cell>
          <cell r="AH16" t="str">
            <v>CALDWELL COUNTY PUBLIC LIBRARY</v>
          </cell>
          <cell r="AJ16" t="str">
            <v>County</v>
          </cell>
          <cell r="AK16" t="str">
            <v>CALDWELL</v>
          </cell>
          <cell r="AL16" t="str">
            <v>Lesley Mason</v>
          </cell>
          <cell r="AM16" t="str">
            <v>(828) 757-1288</v>
          </cell>
          <cell r="AN16" t="str">
            <v>(828) 757-1413</v>
          </cell>
          <cell r="AO16" t="str">
            <v>lmason@caldwellcountync.org</v>
          </cell>
          <cell r="AP16" t="str">
            <v>Lesley mason</v>
          </cell>
          <cell r="AQ16" t="str">
            <v>Library Director</v>
          </cell>
          <cell r="AR16" t="str">
            <v>(828) 757-1288</v>
          </cell>
          <cell r="AS16" t="str">
            <v>(828) 757-1413</v>
          </cell>
          <cell r="AT16" t="str">
            <v>lmason@caldwellcountync.org</v>
          </cell>
          <cell r="AU16" t="str">
            <v>www.ccpl.us</v>
          </cell>
          <cell r="BC16">
            <v>1</v>
          </cell>
          <cell r="BD16">
            <v>2</v>
          </cell>
          <cell r="BE16">
            <v>0</v>
          </cell>
          <cell r="BF16">
            <v>0</v>
          </cell>
          <cell r="BG16">
            <v>3</v>
          </cell>
          <cell r="BI16">
            <v>7228</v>
          </cell>
          <cell r="BJ16">
            <v>4</v>
          </cell>
          <cell r="BK16">
            <v>1</v>
          </cell>
          <cell r="BL16">
            <v>5</v>
          </cell>
          <cell r="BM16">
            <v>18</v>
          </cell>
          <cell r="BN16">
            <v>23</v>
          </cell>
          <cell r="BO16">
            <v>0.1739</v>
          </cell>
          <cell r="BP16">
            <v>0</v>
          </cell>
          <cell r="BQ16">
            <v>60000</v>
          </cell>
          <cell r="BU16">
            <v>38041</v>
          </cell>
          <cell r="BV16">
            <v>57061</v>
          </cell>
          <cell r="BW16">
            <v>40000</v>
          </cell>
          <cell r="BY16">
            <v>38041</v>
          </cell>
          <cell r="BZ16">
            <v>57061</v>
          </cell>
          <cell r="CA16">
            <v>40000</v>
          </cell>
          <cell r="CC16">
            <v>38041</v>
          </cell>
          <cell r="CD16">
            <v>57061</v>
          </cell>
          <cell r="CE16">
            <v>40000</v>
          </cell>
          <cell r="CG16">
            <v>38041</v>
          </cell>
          <cell r="CH16">
            <v>57061</v>
          </cell>
          <cell r="CI16">
            <v>40000</v>
          </cell>
          <cell r="CR16">
            <v>38041</v>
          </cell>
          <cell r="CS16">
            <v>57061</v>
          </cell>
          <cell r="CT16">
            <v>40000</v>
          </cell>
          <cell r="CV16">
            <v>38041</v>
          </cell>
          <cell r="CW16">
            <v>57061</v>
          </cell>
          <cell r="CX16">
            <v>40000</v>
          </cell>
          <cell r="CZ16">
            <v>38041</v>
          </cell>
          <cell r="DA16">
            <v>57061</v>
          </cell>
          <cell r="DB16">
            <v>40000</v>
          </cell>
          <cell r="DK16">
            <v>29211</v>
          </cell>
          <cell r="DL16">
            <v>43817</v>
          </cell>
          <cell r="DM16">
            <v>32000</v>
          </cell>
          <cell r="DO16">
            <v>26750</v>
          </cell>
          <cell r="DP16">
            <v>40124</v>
          </cell>
          <cell r="DQ16">
            <v>30000</v>
          </cell>
          <cell r="DV16">
            <v>0</v>
          </cell>
          <cell r="DW16">
            <v>976852</v>
          </cell>
          <cell r="DX16">
            <v>976852</v>
          </cell>
          <cell r="DY16">
            <v>137437</v>
          </cell>
          <cell r="DZ16">
            <v>0</v>
          </cell>
          <cell r="EA16">
            <v>137437</v>
          </cell>
          <cell r="EB16">
            <v>1373</v>
          </cell>
          <cell r="EC16">
            <v>0</v>
          </cell>
          <cell r="ED16">
            <v>1373</v>
          </cell>
          <cell r="EE16">
            <v>32587</v>
          </cell>
          <cell r="EF16">
            <v>1148249</v>
          </cell>
          <cell r="EG16">
            <v>665624</v>
          </cell>
          <cell r="EH16">
            <v>222230</v>
          </cell>
          <cell r="EI16">
            <v>887854</v>
          </cell>
          <cell r="EJ16">
            <v>100335</v>
          </cell>
          <cell r="EK16">
            <v>15243</v>
          </cell>
          <cell r="EL16">
            <v>26663</v>
          </cell>
          <cell r="EM16">
            <v>142241</v>
          </cell>
          <cell r="EN16">
            <v>73948</v>
          </cell>
          <cell r="EO16">
            <v>1104043</v>
          </cell>
          <cell r="EP16">
            <v>44206</v>
          </cell>
          <cell r="EQ16">
            <v>3.85E-2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35597</v>
          </cell>
          <cell r="EY16">
            <v>240209</v>
          </cell>
          <cell r="EZ16">
            <v>38529</v>
          </cell>
          <cell r="FA16">
            <v>7255</v>
          </cell>
          <cell r="FB16">
            <v>22949</v>
          </cell>
          <cell r="FC16">
            <v>33992</v>
          </cell>
          <cell r="FD16">
            <v>1101</v>
          </cell>
          <cell r="FE16">
            <v>9158</v>
          </cell>
          <cell r="FF16">
            <v>72521</v>
          </cell>
          <cell r="FG16">
            <v>8356</v>
          </cell>
          <cell r="FH16">
            <v>32107</v>
          </cell>
          <cell r="FI16">
            <v>112984</v>
          </cell>
          <cell r="FJ16">
            <v>200</v>
          </cell>
          <cell r="FK16">
            <v>131</v>
          </cell>
          <cell r="FM16">
            <v>112984</v>
          </cell>
          <cell r="FN16">
            <v>6901</v>
          </cell>
          <cell r="FO16">
            <v>11733</v>
          </cell>
          <cell r="FP16">
            <v>0</v>
          </cell>
          <cell r="FQ16">
            <v>4</v>
          </cell>
          <cell r="FR16">
            <v>88</v>
          </cell>
          <cell r="FS16">
            <v>92</v>
          </cell>
          <cell r="FT16">
            <v>44141</v>
          </cell>
          <cell r="FU16">
            <v>3505</v>
          </cell>
          <cell r="FV16">
            <v>0</v>
          </cell>
          <cell r="FW16">
            <v>0</v>
          </cell>
          <cell r="FX16">
            <v>8544</v>
          </cell>
          <cell r="FY16">
            <v>1573</v>
          </cell>
          <cell r="FZ16">
            <v>322</v>
          </cell>
          <cell r="GA16">
            <v>0</v>
          </cell>
          <cell r="GE16">
            <v>0</v>
          </cell>
          <cell r="GF16">
            <v>36593</v>
          </cell>
          <cell r="GG16">
            <v>13194</v>
          </cell>
          <cell r="GH16">
            <v>264</v>
          </cell>
          <cell r="GI16">
            <v>12</v>
          </cell>
          <cell r="GJ16">
            <v>0</v>
          </cell>
          <cell r="GK16">
            <v>0</v>
          </cell>
          <cell r="GL16">
            <v>0</v>
          </cell>
          <cell r="GM16">
            <v>20</v>
          </cell>
          <cell r="GN16">
            <v>89278</v>
          </cell>
          <cell r="GO16">
            <v>18272</v>
          </cell>
          <cell r="GP16">
            <v>586</v>
          </cell>
          <cell r="GQ16">
            <v>32</v>
          </cell>
          <cell r="GR16">
            <v>6</v>
          </cell>
          <cell r="GT16">
            <v>69390</v>
          </cell>
          <cell r="GU16">
            <v>12453</v>
          </cell>
          <cell r="GV16">
            <v>54418</v>
          </cell>
          <cell r="GW16">
            <v>24702</v>
          </cell>
          <cell r="GX16">
            <v>472</v>
          </cell>
          <cell r="GY16">
            <v>10809</v>
          </cell>
          <cell r="GZ16">
            <v>94092</v>
          </cell>
          <cell r="HA16">
            <v>12925</v>
          </cell>
          <cell r="HB16">
            <v>65227</v>
          </cell>
          <cell r="HC16">
            <v>172244</v>
          </cell>
          <cell r="HD16">
            <v>3842</v>
          </cell>
          <cell r="HE16">
            <v>176323</v>
          </cell>
          <cell r="HF16">
            <v>8017</v>
          </cell>
          <cell r="HG16">
            <v>52959</v>
          </cell>
          <cell r="HH16">
            <v>237</v>
          </cell>
          <cell r="HI16">
            <v>2</v>
          </cell>
          <cell r="HJ16">
            <v>60978</v>
          </cell>
          <cell r="HK16">
            <v>237301</v>
          </cell>
          <cell r="HL16">
            <v>137</v>
          </cell>
          <cell r="HM16">
            <v>14997</v>
          </cell>
          <cell r="HN16">
            <v>15134</v>
          </cell>
          <cell r="HO16">
            <v>24</v>
          </cell>
          <cell r="HP16">
            <v>9836</v>
          </cell>
          <cell r="HQ16">
            <v>9860</v>
          </cell>
          <cell r="HR16">
            <v>0</v>
          </cell>
          <cell r="HS16">
            <v>135</v>
          </cell>
          <cell r="HT16">
            <v>135</v>
          </cell>
          <cell r="HU16">
            <v>582</v>
          </cell>
          <cell r="HV16">
            <v>25711</v>
          </cell>
          <cell r="HW16">
            <v>14775</v>
          </cell>
          <cell r="HX16">
            <v>0</v>
          </cell>
          <cell r="HY16">
            <v>14775</v>
          </cell>
          <cell r="HZ16">
            <v>40486</v>
          </cell>
          <cell r="IA16">
            <v>17877</v>
          </cell>
          <cell r="IB16">
            <v>70971</v>
          </cell>
          <cell r="IC16">
            <v>263012</v>
          </cell>
          <cell r="ID16">
            <v>263012</v>
          </cell>
          <cell r="IE16">
            <v>277787</v>
          </cell>
          <cell r="IF16">
            <v>76436</v>
          </cell>
          <cell r="IG16">
            <v>0</v>
          </cell>
          <cell r="IK16">
            <v>5.1299999999999998E-2</v>
          </cell>
          <cell r="IL16">
            <v>5.0000000000000001E-4</v>
          </cell>
          <cell r="IM16">
            <v>0.45029999999999998</v>
          </cell>
          <cell r="IN16">
            <v>0</v>
          </cell>
          <cell r="IO16">
            <v>0.37169999999999997</v>
          </cell>
          <cell r="IP16">
            <v>4.0000000000000002E-4</v>
          </cell>
          <cell r="IQ16">
            <v>0.47039999999999998</v>
          </cell>
          <cell r="IR16">
            <v>0.1048</v>
          </cell>
          <cell r="IS16">
            <v>0.29060000000000002</v>
          </cell>
          <cell r="IT16">
            <v>24638</v>
          </cell>
          <cell r="IU16">
            <v>6269</v>
          </cell>
          <cell r="IV16">
            <v>30907</v>
          </cell>
          <cell r="IW16">
            <v>0.37440000000000001</v>
          </cell>
          <cell r="IX16">
            <v>307405</v>
          </cell>
          <cell r="IZ16">
            <v>158</v>
          </cell>
          <cell r="JA16">
            <v>30</v>
          </cell>
          <cell r="JB16">
            <v>338</v>
          </cell>
          <cell r="JC16">
            <v>21</v>
          </cell>
          <cell r="JD16">
            <v>0</v>
          </cell>
          <cell r="JE16">
            <v>7</v>
          </cell>
          <cell r="JF16">
            <v>179</v>
          </cell>
          <cell r="JG16">
            <v>30</v>
          </cell>
          <cell r="JH16">
            <v>345</v>
          </cell>
          <cell r="JI16">
            <v>554</v>
          </cell>
          <cell r="JJ16">
            <v>526</v>
          </cell>
          <cell r="JK16">
            <v>28</v>
          </cell>
          <cell r="JL16">
            <v>906</v>
          </cell>
          <cell r="JM16">
            <v>242</v>
          </cell>
          <cell r="JN16">
            <v>9468</v>
          </cell>
          <cell r="JO16">
            <v>301</v>
          </cell>
          <cell r="JP16">
            <v>0</v>
          </cell>
          <cell r="JQ16">
            <v>522</v>
          </cell>
          <cell r="JR16">
            <v>1207</v>
          </cell>
          <cell r="JS16">
            <v>242</v>
          </cell>
          <cell r="JT16">
            <v>9990</v>
          </cell>
          <cell r="JU16">
            <v>11439</v>
          </cell>
          <cell r="JV16">
            <v>10616</v>
          </cell>
          <cell r="JW16">
            <v>823</v>
          </cell>
          <cell r="JX16">
            <v>20.65</v>
          </cell>
          <cell r="JY16">
            <v>6.74</v>
          </cell>
          <cell r="JZ16">
            <v>28.96</v>
          </cell>
          <cell r="KA16">
            <v>0.11</v>
          </cell>
          <cell r="KB16">
            <v>0.87</v>
          </cell>
          <cell r="KC16">
            <v>3</v>
          </cell>
          <cell r="KD16">
            <v>17</v>
          </cell>
          <cell r="KE16">
            <v>56</v>
          </cell>
          <cell r="KF16">
            <v>176</v>
          </cell>
          <cell r="KG16">
            <v>240</v>
          </cell>
          <cell r="KH16">
            <v>5100</v>
          </cell>
          <cell r="KI16">
            <v>0</v>
          </cell>
          <cell r="KJ16">
            <v>0</v>
          </cell>
          <cell r="KK16">
            <v>0</v>
          </cell>
          <cell r="KL16">
            <v>0</v>
          </cell>
          <cell r="KM16">
            <v>59956</v>
          </cell>
          <cell r="KN16">
            <v>15444</v>
          </cell>
          <cell r="KO16">
            <v>312</v>
          </cell>
          <cell r="KQ16">
            <v>871</v>
          </cell>
          <cell r="KR16">
            <v>14966</v>
          </cell>
          <cell r="KS16">
            <v>11637</v>
          </cell>
          <cell r="KT16">
            <v>6734</v>
          </cell>
          <cell r="KU16">
            <v>33</v>
          </cell>
          <cell r="KV16">
            <v>43</v>
          </cell>
          <cell r="KW16">
            <v>41243</v>
          </cell>
          <cell r="LC16" t="str">
            <v>CALDWELL COUNTY PUBLIC LIBRARY</v>
          </cell>
          <cell r="LD16" t="str">
            <v>County Owned</v>
          </cell>
          <cell r="LE16" t="str">
            <v>120 HOSPITAL AVE</v>
          </cell>
          <cell r="LF16" t="str">
            <v>LENOIR</v>
          </cell>
          <cell r="LG16">
            <v>28645</v>
          </cell>
          <cell r="LH16">
            <v>4454</v>
          </cell>
          <cell r="LI16" t="str">
            <v>120 HOSPITAL AVE</v>
          </cell>
          <cell r="LJ16" t="str">
            <v>LENOIR</v>
          </cell>
          <cell r="LK16">
            <v>28645</v>
          </cell>
          <cell r="LL16">
            <v>4454</v>
          </cell>
          <cell r="LM16" t="str">
            <v>CALDWELL</v>
          </cell>
          <cell r="LN16">
            <v>8287571270</v>
          </cell>
          <cell r="LO16">
            <v>8287571413</v>
          </cell>
          <cell r="LP16">
            <v>58314</v>
          </cell>
          <cell r="LQ16">
            <v>19</v>
          </cell>
          <cell r="LS16">
            <v>7228</v>
          </cell>
          <cell r="LT16">
            <v>156</v>
          </cell>
          <cell r="LW16">
            <v>2</v>
          </cell>
          <cell r="LX16" t="str">
            <v>C-CALDWELL-C</v>
          </cell>
          <cell r="LY16">
            <v>0</v>
          </cell>
          <cell r="LZ16" t="str">
            <v>CE</v>
          </cell>
          <cell r="MA16">
            <v>20</v>
          </cell>
          <cell r="MB16">
            <v>60</v>
          </cell>
        </row>
        <row r="17">
          <cell r="A17" t="str">
            <v>NC0107</v>
          </cell>
          <cell r="B17">
            <v>0</v>
          </cell>
          <cell r="C17">
            <v>1375</v>
          </cell>
          <cell r="D17">
            <v>2017</v>
          </cell>
          <cell r="E17">
            <v>0</v>
          </cell>
          <cell r="F17" t="str">
            <v>NC0107</v>
          </cell>
          <cell r="G17" t="str">
            <v>C-CASWELL</v>
          </cell>
          <cell r="H17" t="str">
            <v>NO</v>
          </cell>
          <cell r="I17" t="str">
            <v>CO</v>
          </cell>
          <cell r="J17" t="str">
            <v>SO</v>
          </cell>
          <cell r="K17" t="str">
            <v>Y</v>
          </cell>
          <cell r="L17" t="str">
            <v>CO1</v>
          </cell>
          <cell r="M17" t="str">
            <v>N</v>
          </cell>
          <cell r="N17">
            <v>23606</v>
          </cell>
          <cell r="O17" t="str">
            <v>Yes</v>
          </cell>
          <cell r="P17">
            <v>367</v>
          </cell>
          <cell r="Q17">
            <v>17</v>
          </cell>
          <cell r="R17">
            <v>15</v>
          </cell>
          <cell r="S17">
            <v>1</v>
          </cell>
          <cell r="T17">
            <v>842</v>
          </cell>
          <cell r="U17">
            <v>17</v>
          </cell>
          <cell r="V17">
            <v>4093</v>
          </cell>
          <cell r="W17">
            <v>677</v>
          </cell>
          <cell r="X17">
            <v>86988</v>
          </cell>
          <cell r="Y17">
            <v>2945</v>
          </cell>
          <cell r="Z17" t="str">
            <v>161 MAIN STREET EAST</v>
          </cell>
          <cell r="AA17" t="str">
            <v>YANCEYVILLE</v>
          </cell>
          <cell r="AB17">
            <v>27379</v>
          </cell>
          <cell r="AD17" t="str">
            <v>161 MAIN STREET EAST</v>
          </cell>
          <cell r="AE17" t="str">
            <v>YANCEYVILLE</v>
          </cell>
          <cell r="AF17">
            <v>27379</v>
          </cell>
          <cell r="AG17">
            <v>1</v>
          </cell>
          <cell r="AH17" t="str">
            <v>CASWELL COUNTY PUBLIC LIBRARY</v>
          </cell>
          <cell r="AJ17" t="str">
            <v>County</v>
          </cell>
          <cell r="AK17" t="str">
            <v>CASWELL</v>
          </cell>
          <cell r="AL17" t="str">
            <v>Rhonda H. Griffin</v>
          </cell>
          <cell r="AM17" t="str">
            <v>(336) 694-6241</v>
          </cell>
          <cell r="AN17" t="str">
            <v>(336) 694-9846</v>
          </cell>
          <cell r="AO17" t="str">
            <v>rgriffin@caswellcountync.gov</v>
          </cell>
          <cell r="AP17" t="str">
            <v>Rhonda H. Griffin</v>
          </cell>
          <cell r="AQ17" t="str">
            <v>Library Director</v>
          </cell>
          <cell r="AR17" t="str">
            <v>(336) 694-6241</v>
          </cell>
          <cell r="AS17" t="str">
            <v>(336) 694-9846</v>
          </cell>
          <cell r="AT17" t="str">
            <v>rgriffin@caswellcountync.gov</v>
          </cell>
          <cell r="AU17" t="str">
            <v>www.caswellcountync.gov/library/</v>
          </cell>
          <cell r="BC17">
            <v>1</v>
          </cell>
          <cell r="BD17">
            <v>0</v>
          </cell>
          <cell r="BE17">
            <v>0</v>
          </cell>
          <cell r="BF17">
            <v>1</v>
          </cell>
          <cell r="BG17">
            <v>2</v>
          </cell>
          <cell r="BI17">
            <v>2387</v>
          </cell>
          <cell r="BJ17">
            <v>1</v>
          </cell>
          <cell r="BK17">
            <v>0</v>
          </cell>
          <cell r="BL17">
            <v>1</v>
          </cell>
          <cell r="BM17">
            <v>4.92</v>
          </cell>
          <cell r="BN17">
            <v>5.92</v>
          </cell>
          <cell r="BO17">
            <v>0.16889999999999999</v>
          </cell>
          <cell r="BP17">
            <v>429</v>
          </cell>
          <cell r="BQ17">
            <v>57657</v>
          </cell>
          <cell r="DK17">
            <v>27874</v>
          </cell>
          <cell r="DO17">
            <v>24079</v>
          </cell>
          <cell r="DV17">
            <v>0</v>
          </cell>
          <cell r="DW17">
            <v>180679</v>
          </cell>
          <cell r="DX17">
            <v>180679</v>
          </cell>
          <cell r="DY17">
            <v>84941</v>
          </cell>
          <cell r="DZ17">
            <v>0</v>
          </cell>
          <cell r="EA17">
            <v>84941</v>
          </cell>
          <cell r="EB17">
            <v>35186</v>
          </cell>
          <cell r="EC17">
            <v>0</v>
          </cell>
          <cell r="ED17">
            <v>35186</v>
          </cell>
          <cell r="EE17">
            <v>15263</v>
          </cell>
          <cell r="EF17">
            <v>316069</v>
          </cell>
          <cell r="EG17">
            <v>163021</v>
          </cell>
          <cell r="EH17">
            <v>48488</v>
          </cell>
          <cell r="EI17">
            <v>211509</v>
          </cell>
          <cell r="EJ17">
            <v>21949</v>
          </cell>
          <cell r="EK17">
            <v>3100</v>
          </cell>
          <cell r="EL17">
            <v>2762</v>
          </cell>
          <cell r="EM17">
            <v>27811</v>
          </cell>
          <cell r="EN17">
            <v>74475</v>
          </cell>
          <cell r="EO17">
            <v>313795</v>
          </cell>
          <cell r="EP17">
            <v>2274</v>
          </cell>
          <cell r="EQ17">
            <v>7.1999999999999998E-3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8293</v>
          </cell>
          <cell r="EY17">
            <v>127519</v>
          </cell>
          <cell r="EZ17">
            <v>13669</v>
          </cell>
          <cell r="FA17">
            <v>1442</v>
          </cell>
          <cell r="FB17">
            <v>9776</v>
          </cell>
          <cell r="FC17">
            <v>7766</v>
          </cell>
          <cell r="FD17">
            <v>461</v>
          </cell>
          <cell r="FE17">
            <v>4544</v>
          </cell>
          <cell r="FF17">
            <v>21435</v>
          </cell>
          <cell r="FG17">
            <v>1903</v>
          </cell>
          <cell r="FH17">
            <v>14320</v>
          </cell>
          <cell r="FI17">
            <v>37658</v>
          </cell>
          <cell r="FJ17">
            <v>150</v>
          </cell>
          <cell r="FK17">
            <v>31</v>
          </cell>
          <cell r="FM17">
            <v>37658</v>
          </cell>
          <cell r="FN17">
            <v>863</v>
          </cell>
          <cell r="FO17">
            <v>2180</v>
          </cell>
          <cell r="FP17">
            <v>5</v>
          </cell>
          <cell r="FQ17">
            <v>2</v>
          </cell>
          <cell r="FR17">
            <v>88</v>
          </cell>
          <cell r="FS17">
            <v>90</v>
          </cell>
          <cell r="FT17">
            <v>44141</v>
          </cell>
          <cell r="FU17">
            <v>3505</v>
          </cell>
          <cell r="FV17">
            <v>0</v>
          </cell>
          <cell r="FW17">
            <v>0</v>
          </cell>
          <cell r="FX17">
            <v>8544</v>
          </cell>
          <cell r="FY17">
            <v>1573</v>
          </cell>
          <cell r="FZ17">
            <v>322</v>
          </cell>
          <cell r="GA17">
            <v>0</v>
          </cell>
          <cell r="GB17">
            <v>26436</v>
          </cell>
          <cell r="GC17">
            <v>1747</v>
          </cell>
          <cell r="GD17">
            <v>278</v>
          </cell>
          <cell r="GE17">
            <v>0</v>
          </cell>
          <cell r="GJ17">
            <v>-1</v>
          </cell>
          <cell r="GK17">
            <v>-1</v>
          </cell>
          <cell r="GL17">
            <v>-1</v>
          </cell>
          <cell r="GM17">
            <v>-1</v>
          </cell>
          <cell r="GN17">
            <v>79120</v>
          </cell>
          <cell r="GO17">
            <v>6824</v>
          </cell>
          <cell r="GP17">
            <v>599</v>
          </cell>
          <cell r="GQ17">
            <v>-1</v>
          </cell>
          <cell r="GR17">
            <v>29</v>
          </cell>
          <cell r="GT17">
            <v>10423</v>
          </cell>
          <cell r="GU17">
            <v>2210</v>
          </cell>
          <cell r="GV17">
            <v>12320</v>
          </cell>
          <cell r="GW17">
            <v>3933</v>
          </cell>
          <cell r="GX17">
            <v>642</v>
          </cell>
          <cell r="GY17">
            <v>3271</v>
          </cell>
          <cell r="GZ17">
            <v>14356</v>
          </cell>
          <cell r="HA17">
            <v>2852</v>
          </cell>
          <cell r="HB17">
            <v>15591</v>
          </cell>
          <cell r="HC17">
            <v>32799</v>
          </cell>
          <cell r="HD17">
            <v>575</v>
          </cell>
          <cell r="HE17">
            <v>33461</v>
          </cell>
          <cell r="HF17">
            <v>798</v>
          </cell>
          <cell r="HG17">
            <v>5845</v>
          </cell>
          <cell r="HH17">
            <v>87</v>
          </cell>
          <cell r="HI17">
            <v>5</v>
          </cell>
          <cell r="HJ17">
            <v>6648</v>
          </cell>
          <cell r="HK17">
            <v>40109</v>
          </cell>
          <cell r="HL17">
            <v>1</v>
          </cell>
          <cell r="HM17">
            <v>1661</v>
          </cell>
          <cell r="HN17">
            <v>1662</v>
          </cell>
          <cell r="HO17">
            <v>0</v>
          </cell>
          <cell r="HP17">
            <v>271</v>
          </cell>
          <cell r="HQ17">
            <v>271</v>
          </cell>
          <cell r="HR17">
            <v>0</v>
          </cell>
          <cell r="HS17">
            <v>0</v>
          </cell>
          <cell r="HT17">
            <v>0</v>
          </cell>
          <cell r="HU17">
            <v>21</v>
          </cell>
          <cell r="HV17">
            <v>1954</v>
          </cell>
          <cell r="HW17">
            <v>67</v>
          </cell>
          <cell r="HX17">
            <v>-1</v>
          </cell>
          <cell r="HY17">
            <v>66</v>
          </cell>
          <cell r="HZ17">
            <v>2020</v>
          </cell>
          <cell r="IA17">
            <v>1069</v>
          </cell>
          <cell r="IB17">
            <v>6914</v>
          </cell>
          <cell r="IC17">
            <v>42063</v>
          </cell>
          <cell r="ID17">
            <v>42063</v>
          </cell>
          <cell r="IE17">
            <v>42129</v>
          </cell>
          <cell r="IF17">
            <v>20115</v>
          </cell>
          <cell r="IG17">
            <v>1421</v>
          </cell>
          <cell r="IJ17">
            <v>2</v>
          </cell>
          <cell r="IK17">
            <v>2.18E-2</v>
          </cell>
          <cell r="IL17">
            <v>2.0000000000000001E-4</v>
          </cell>
          <cell r="IM17">
            <v>0.67869999999999997</v>
          </cell>
          <cell r="IN17">
            <v>0</v>
          </cell>
          <cell r="IO17">
            <v>0.62050000000000005</v>
          </cell>
          <cell r="IP17">
            <v>6.9999999999999999E-4</v>
          </cell>
          <cell r="IQ17">
            <v>0.29530000000000001</v>
          </cell>
          <cell r="IR17">
            <v>6.0299999999999999E-2</v>
          </cell>
          <cell r="IS17">
            <v>0.47820000000000001</v>
          </cell>
          <cell r="IT17">
            <v>5658</v>
          </cell>
          <cell r="IU17">
            <v>1967</v>
          </cell>
          <cell r="IV17">
            <v>7625</v>
          </cell>
          <cell r="IW17">
            <v>0.32300000000000001</v>
          </cell>
          <cell r="IX17">
            <v>78611</v>
          </cell>
          <cell r="IZ17">
            <v>51</v>
          </cell>
          <cell r="JA17">
            <v>44</v>
          </cell>
          <cell r="JB17">
            <v>116</v>
          </cell>
          <cell r="JC17">
            <v>77</v>
          </cell>
          <cell r="JD17">
            <v>3</v>
          </cell>
          <cell r="JE17">
            <v>7</v>
          </cell>
          <cell r="JF17">
            <v>128</v>
          </cell>
          <cell r="JG17">
            <v>47</v>
          </cell>
          <cell r="JH17">
            <v>123</v>
          </cell>
          <cell r="JI17">
            <v>298</v>
          </cell>
          <cell r="JJ17">
            <v>211</v>
          </cell>
          <cell r="JK17">
            <v>87</v>
          </cell>
          <cell r="JL17">
            <v>705</v>
          </cell>
          <cell r="JM17">
            <v>390</v>
          </cell>
          <cell r="JN17">
            <v>3068</v>
          </cell>
          <cell r="JO17">
            <v>557</v>
          </cell>
          <cell r="JP17">
            <v>21</v>
          </cell>
          <cell r="JQ17">
            <v>147</v>
          </cell>
          <cell r="JR17">
            <v>1262</v>
          </cell>
          <cell r="JS17">
            <v>411</v>
          </cell>
          <cell r="JT17">
            <v>3215</v>
          </cell>
          <cell r="JU17">
            <v>4888</v>
          </cell>
          <cell r="JV17">
            <v>4163</v>
          </cell>
          <cell r="JW17">
            <v>725</v>
          </cell>
          <cell r="JX17">
            <v>16.399999999999999</v>
          </cell>
          <cell r="JY17">
            <v>9.86</v>
          </cell>
          <cell r="JZ17">
            <v>26.14</v>
          </cell>
          <cell r="KA17">
            <v>0.26</v>
          </cell>
          <cell r="KB17">
            <v>0.66</v>
          </cell>
          <cell r="KC17">
            <v>7</v>
          </cell>
          <cell r="KD17">
            <v>53</v>
          </cell>
          <cell r="KE17">
            <v>14</v>
          </cell>
          <cell r="KF17">
            <v>106</v>
          </cell>
          <cell r="KG17">
            <v>37</v>
          </cell>
          <cell r="KH17">
            <v>144</v>
          </cell>
          <cell r="KI17">
            <v>10</v>
          </cell>
          <cell r="KJ17">
            <v>67</v>
          </cell>
          <cell r="KK17">
            <v>4</v>
          </cell>
          <cell r="KL17">
            <v>58</v>
          </cell>
          <cell r="KM17">
            <v>12633</v>
          </cell>
          <cell r="KN17">
            <v>5540</v>
          </cell>
          <cell r="KO17">
            <v>978</v>
          </cell>
          <cell r="KQ17">
            <v>103</v>
          </cell>
          <cell r="KR17">
            <v>690</v>
          </cell>
          <cell r="KS17">
            <v>3010</v>
          </cell>
          <cell r="KT17">
            <v>1220</v>
          </cell>
          <cell r="KU17">
            <v>9</v>
          </cell>
          <cell r="KV17">
            <v>31</v>
          </cell>
          <cell r="KW17">
            <v>10444</v>
          </cell>
          <cell r="KZ17">
            <v>1223</v>
          </cell>
          <cell r="LC17" t="str">
            <v>GUNN MEMORIAL PUBLIC LIBRARY</v>
          </cell>
          <cell r="LD17" t="str">
            <v>County Owned</v>
          </cell>
          <cell r="LE17" t="str">
            <v>161 MAIN STREET EAST</v>
          </cell>
          <cell r="LF17" t="str">
            <v>YANCEYVILLE</v>
          </cell>
          <cell r="LG17">
            <v>27379</v>
          </cell>
          <cell r="LI17" t="str">
            <v>161 MAIN STREET EAST</v>
          </cell>
          <cell r="LJ17" t="str">
            <v>YANCEYVILLE</v>
          </cell>
          <cell r="LK17">
            <v>27379</v>
          </cell>
          <cell r="LM17" t="str">
            <v>CASWELL</v>
          </cell>
          <cell r="LN17">
            <v>3366946241</v>
          </cell>
          <cell r="LO17">
            <v>3366949846</v>
          </cell>
          <cell r="LP17">
            <v>7584</v>
          </cell>
          <cell r="LQ17">
            <v>6.02</v>
          </cell>
          <cell r="LS17">
            <v>2387</v>
          </cell>
          <cell r="LT17">
            <v>52</v>
          </cell>
          <cell r="LW17">
            <v>1</v>
          </cell>
          <cell r="LX17" t="str">
            <v>C-CASWELL</v>
          </cell>
          <cell r="LY17">
            <v>0</v>
          </cell>
          <cell r="LZ17" t="str">
            <v>CE</v>
          </cell>
          <cell r="MA17">
            <v>1.04</v>
          </cell>
          <cell r="MB17">
            <v>11.72</v>
          </cell>
        </row>
        <row r="18">
          <cell r="A18" t="str">
            <v>NC0023</v>
          </cell>
          <cell r="B18">
            <v>0</v>
          </cell>
          <cell r="C18">
            <v>1375</v>
          </cell>
          <cell r="D18">
            <v>2017</v>
          </cell>
          <cell r="E18">
            <v>0</v>
          </cell>
          <cell r="F18" t="str">
            <v>NC0023</v>
          </cell>
          <cell r="G18" t="str">
            <v>C-CATAWBA</v>
          </cell>
          <cell r="H18" t="str">
            <v>NO</v>
          </cell>
          <cell r="I18" t="str">
            <v>CO</v>
          </cell>
          <cell r="J18" t="str">
            <v>MO</v>
          </cell>
          <cell r="K18" t="str">
            <v>Y</v>
          </cell>
          <cell r="L18" t="str">
            <v>CO2</v>
          </cell>
          <cell r="M18" t="str">
            <v>N</v>
          </cell>
          <cell r="N18">
            <v>115564</v>
          </cell>
          <cell r="O18" t="str">
            <v>Yes</v>
          </cell>
          <cell r="P18">
            <v>1453</v>
          </cell>
          <cell r="Q18">
            <v>268</v>
          </cell>
          <cell r="R18">
            <v>322</v>
          </cell>
          <cell r="S18">
            <v>27</v>
          </cell>
          <cell r="T18">
            <v>8379</v>
          </cell>
          <cell r="U18">
            <v>203</v>
          </cell>
          <cell r="V18">
            <v>38467</v>
          </cell>
          <cell r="W18">
            <v>5663</v>
          </cell>
          <cell r="X18">
            <v>267052</v>
          </cell>
          <cell r="Y18">
            <v>58053</v>
          </cell>
          <cell r="Z18" t="str">
            <v>115 W C ST</v>
          </cell>
          <cell r="AA18" t="str">
            <v>NEWTON</v>
          </cell>
          <cell r="AB18">
            <v>28658</v>
          </cell>
          <cell r="AC18">
            <v>3397</v>
          </cell>
          <cell r="AD18" t="str">
            <v>115 W C ST</v>
          </cell>
          <cell r="AE18" t="str">
            <v>NEWTON</v>
          </cell>
          <cell r="AF18">
            <v>28658</v>
          </cell>
          <cell r="AG18">
            <v>2</v>
          </cell>
          <cell r="AH18" t="str">
            <v>CATAWBA COUNTY LIBRARY</v>
          </cell>
          <cell r="AJ18" t="str">
            <v>County</v>
          </cell>
          <cell r="AK18" t="str">
            <v>CATAWBA</v>
          </cell>
          <cell r="AL18" t="str">
            <v>Suzanne M White</v>
          </cell>
          <cell r="AM18" t="str">
            <v>(828) 465-8660</v>
          </cell>
          <cell r="AN18" t="str">
            <v>(828) 465-8983</v>
          </cell>
          <cell r="AO18" t="str">
            <v>suzanne@catawbacountync.gov</v>
          </cell>
          <cell r="AP18" t="str">
            <v>Siobhan Loendorf</v>
          </cell>
          <cell r="AQ18" t="str">
            <v>Assistant Director</v>
          </cell>
          <cell r="AR18" t="str">
            <v>(828) 465-8292</v>
          </cell>
          <cell r="AT18" t="str">
            <v>sloendorf@catawbacountync.gov</v>
          </cell>
          <cell r="AU18" t="str">
            <v>www.catawbacountync.gov/library</v>
          </cell>
          <cell r="BC18">
            <v>1</v>
          </cell>
          <cell r="BD18">
            <v>6</v>
          </cell>
          <cell r="BE18">
            <v>0</v>
          </cell>
          <cell r="BF18">
            <v>0</v>
          </cell>
          <cell r="BG18">
            <v>7</v>
          </cell>
          <cell r="BI18">
            <v>16796</v>
          </cell>
          <cell r="BJ18">
            <v>9</v>
          </cell>
          <cell r="BK18">
            <v>2</v>
          </cell>
          <cell r="BL18">
            <v>11</v>
          </cell>
          <cell r="BM18">
            <v>23.8</v>
          </cell>
          <cell r="BN18">
            <v>34.799999999999997</v>
          </cell>
          <cell r="BO18">
            <v>0.2586</v>
          </cell>
          <cell r="BP18">
            <v>4071</v>
          </cell>
          <cell r="BQ18">
            <v>85000</v>
          </cell>
          <cell r="BT18">
            <v>61500</v>
          </cell>
          <cell r="BU18">
            <v>30004</v>
          </cell>
          <cell r="BV18">
            <v>57331</v>
          </cell>
          <cell r="BW18">
            <v>39781</v>
          </cell>
          <cell r="BY18">
            <v>42221</v>
          </cell>
          <cell r="BZ18">
            <v>69666</v>
          </cell>
          <cell r="CA18">
            <v>49500</v>
          </cell>
          <cell r="CC18">
            <v>42221</v>
          </cell>
          <cell r="CD18">
            <v>69666</v>
          </cell>
          <cell r="CE18">
            <v>43750</v>
          </cell>
          <cell r="CG18">
            <v>46547</v>
          </cell>
          <cell r="CH18">
            <v>76803</v>
          </cell>
          <cell r="CI18">
            <v>48957</v>
          </cell>
          <cell r="CK18">
            <v>42221</v>
          </cell>
          <cell r="CL18">
            <v>69666</v>
          </cell>
          <cell r="CM18">
            <v>0</v>
          </cell>
          <cell r="CO18">
            <v>42221</v>
          </cell>
          <cell r="CP18">
            <v>69666</v>
          </cell>
          <cell r="CQ18">
            <v>46455</v>
          </cell>
          <cell r="CR18">
            <v>42221</v>
          </cell>
          <cell r="CS18">
            <v>69666</v>
          </cell>
          <cell r="CT18">
            <v>0</v>
          </cell>
          <cell r="CV18">
            <v>42221</v>
          </cell>
          <cell r="CW18">
            <v>76803</v>
          </cell>
          <cell r="CX18">
            <v>47000</v>
          </cell>
          <cell r="CZ18">
            <v>42221</v>
          </cell>
          <cell r="DA18">
            <v>69666</v>
          </cell>
          <cell r="DB18">
            <v>0</v>
          </cell>
          <cell r="DD18">
            <v>42221</v>
          </cell>
          <cell r="DE18">
            <v>69666</v>
          </cell>
          <cell r="DF18">
            <v>0</v>
          </cell>
          <cell r="DH18">
            <v>42221</v>
          </cell>
          <cell r="DI18">
            <v>69666</v>
          </cell>
          <cell r="DJ18">
            <v>0</v>
          </cell>
          <cell r="DK18">
            <v>27201</v>
          </cell>
          <cell r="DL18">
            <v>47137</v>
          </cell>
          <cell r="DM18">
            <v>30761</v>
          </cell>
          <cell r="DO18">
            <v>23498</v>
          </cell>
          <cell r="DP18">
            <v>38772</v>
          </cell>
          <cell r="DQ18">
            <v>32885</v>
          </cell>
          <cell r="DS18">
            <v>0</v>
          </cell>
          <cell r="DT18">
            <v>0</v>
          </cell>
          <cell r="DU18">
            <v>0</v>
          </cell>
          <cell r="DV18">
            <v>64302</v>
          </cell>
          <cell r="DW18">
            <v>2386552</v>
          </cell>
          <cell r="DX18">
            <v>2450854</v>
          </cell>
          <cell r="DY18">
            <v>149476</v>
          </cell>
          <cell r="DZ18">
            <v>0</v>
          </cell>
          <cell r="EA18">
            <v>149476</v>
          </cell>
          <cell r="EB18">
            <v>46213</v>
          </cell>
          <cell r="EC18">
            <v>0</v>
          </cell>
          <cell r="ED18">
            <v>46213</v>
          </cell>
          <cell r="EE18">
            <v>66023</v>
          </cell>
          <cell r="EF18">
            <v>2712566</v>
          </cell>
          <cell r="EG18">
            <v>1532169</v>
          </cell>
          <cell r="EH18">
            <v>452535</v>
          </cell>
          <cell r="EI18">
            <v>1984704</v>
          </cell>
          <cell r="EJ18">
            <v>224098</v>
          </cell>
          <cell r="EK18">
            <v>40937</v>
          </cell>
          <cell r="EL18">
            <v>65773</v>
          </cell>
          <cell r="EM18">
            <v>330808</v>
          </cell>
          <cell r="EN18">
            <v>397054</v>
          </cell>
          <cell r="EO18">
            <v>2712566</v>
          </cell>
          <cell r="EP18">
            <v>0</v>
          </cell>
          <cell r="EQ18">
            <v>0</v>
          </cell>
          <cell r="ER18">
            <v>31415</v>
          </cell>
          <cell r="ES18">
            <v>0</v>
          </cell>
          <cell r="ET18">
            <v>0</v>
          </cell>
          <cell r="EU18">
            <v>0</v>
          </cell>
          <cell r="EV18">
            <v>31415</v>
          </cell>
          <cell r="EW18">
            <v>31415</v>
          </cell>
          <cell r="EX18">
            <v>47951</v>
          </cell>
          <cell r="EY18">
            <v>301346</v>
          </cell>
          <cell r="EZ18">
            <v>45542</v>
          </cell>
          <cell r="FA18">
            <v>8804</v>
          </cell>
          <cell r="FB18">
            <v>46880</v>
          </cell>
          <cell r="FC18">
            <v>35641</v>
          </cell>
          <cell r="FD18">
            <v>2388</v>
          </cell>
          <cell r="FE18">
            <v>15064</v>
          </cell>
          <cell r="FF18">
            <v>81183</v>
          </cell>
          <cell r="FG18">
            <v>11192</v>
          </cell>
          <cell r="FH18">
            <v>61944</v>
          </cell>
          <cell r="FI18">
            <v>154319</v>
          </cell>
          <cell r="FJ18">
            <v>0</v>
          </cell>
          <cell r="FK18">
            <v>239</v>
          </cell>
          <cell r="FM18">
            <v>154319</v>
          </cell>
          <cell r="FN18">
            <v>9523</v>
          </cell>
          <cell r="FO18">
            <v>21465</v>
          </cell>
          <cell r="FP18">
            <v>7535</v>
          </cell>
          <cell r="FQ18">
            <v>9</v>
          </cell>
          <cell r="FR18">
            <v>88</v>
          </cell>
          <cell r="FS18">
            <v>97</v>
          </cell>
          <cell r="FT18">
            <v>44141</v>
          </cell>
          <cell r="FU18">
            <v>3505</v>
          </cell>
          <cell r="FV18">
            <v>0</v>
          </cell>
          <cell r="FW18">
            <v>0</v>
          </cell>
          <cell r="FX18">
            <v>8544</v>
          </cell>
          <cell r="FY18">
            <v>1573</v>
          </cell>
          <cell r="FZ18">
            <v>322</v>
          </cell>
          <cell r="GA18">
            <v>0</v>
          </cell>
          <cell r="GE18">
            <v>0</v>
          </cell>
          <cell r="GF18">
            <v>36593</v>
          </cell>
          <cell r="GG18">
            <v>13194</v>
          </cell>
          <cell r="GH18">
            <v>264</v>
          </cell>
          <cell r="GI18">
            <v>12</v>
          </cell>
          <cell r="GJ18">
            <v>20</v>
          </cell>
          <cell r="GK18">
            <v>0</v>
          </cell>
          <cell r="GL18">
            <v>0</v>
          </cell>
          <cell r="GM18">
            <v>0</v>
          </cell>
          <cell r="GN18">
            <v>89298</v>
          </cell>
          <cell r="GO18">
            <v>18272</v>
          </cell>
          <cell r="GP18">
            <v>586</v>
          </cell>
          <cell r="GQ18">
            <v>12</v>
          </cell>
          <cell r="GR18">
            <v>127</v>
          </cell>
          <cell r="GT18">
            <v>118081</v>
          </cell>
          <cell r="GU18">
            <v>16315</v>
          </cell>
          <cell r="GV18">
            <v>117769</v>
          </cell>
          <cell r="GW18">
            <v>30504</v>
          </cell>
          <cell r="GX18">
            <v>1654</v>
          </cell>
          <cell r="GY18">
            <v>18048</v>
          </cell>
          <cell r="GZ18">
            <v>148585</v>
          </cell>
          <cell r="HA18">
            <v>17969</v>
          </cell>
          <cell r="HB18">
            <v>135817</v>
          </cell>
          <cell r="HC18">
            <v>302371</v>
          </cell>
          <cell r="HD18">
            <v>3807</v>
          </cell>
          <cell r="HE18">
            <v>306178</v>
          </cell>
          <cell r="HF18">
            <v>17939</v>
          </cell>
          <cell r="HG18">
            <v>151455</v>
          </cell>
          <cell r="HH18">
            <v>0</v>
          </cell>
          <cell r="HI18">
            <v>0</v>
          </cell>
          <cell r="HJ18">
            <v>169394</v>
          </cell>
          <cell r="HK18">
            <v>475572</v>
          </cell>
          <cell r="HL18">
            <v>95</v>
          </cell>
          <cell r="HM18">
            <v>25514</v>
          </cell>
          <cell r="HN18">
            <v>25609</v>
          </cell>
          <cell r="HO18">
            <v>20</v>
          </cell>
          <cell r="HP18">
            <v>24387</v>
          </cell>
          <cell r="HQ18">
            <v>24407</v>
          </cell>
          <cell r="HR18">
            <v>0</v>
          </cell>
          <cell r="HS18">
            <v>177</v>
          </cell>
          <cell r="HT18">
            <v>177</v>
          </cell>
          <cell r="HU18">
            <v>1243</v>
          </cell>
          <cell r="HV18">
            <v>51436</v>
          </cell>
          <cell r="HW18">
            <v>22820</v>
          </cell>
          <cell r="HX18">
            <v>66135</v>
          </cell>
          <cell r="HY18">
            <v>88955</v>
          </cell>
          <cell r="HZ18">
            <v>140391</v>
          </cell>
          <cell r="IA18">
            <v>42346</v>
          </cell>
          <cell r="IB18">
            <v>193978</v>
          </cell>
          <cell r="IC18">
            <v>527008</v>
          </cell>
          <cell r="ID18">
            <v>527008</v>
          </cell>
          <cell r="IE18">
            <v>615963</v>
          </cell>
          <cell r="IF18">
            <v>184255</v>
          </cell>
          <cell r="IG18">
            <v>65</v>
          </cell>
          <cell r="IJ18">
            <v>1</v>
          </cell>
          <cell r="IK18">
            <v>7.3200000000000001E-2</v>
          </cell>
          <cell r="IL18">
            <v>8.0000000000000004E-4</v>
          </cell>
          <cell r="IM18">
            <v>0.3589</v>
          </cell>
          <cell r="IN18">
            <v>0</v>
          </cell>
          <cell r="IO18">
            <v>0.29630000000000001</v>
          </cell>
          <cell r="IP18">
            <v>2.9999999999999997E-4</v>
          </cell>
          <cell r="IQ18">
            <v>0.5121</v>
          </cell>
          <cell r="IR18">
            <v>9.2200000000000004E-2</v>
          </cell>
          <cell r="IS18">
            <v>0.34960000000000002</v>
          </cell>
          <cell r="IT18">
            <v>72450</v>
          </cell>
          <cell r="IU18">
            <v>14367</v>
          </cell>
          <cell r="IV18">
            <v>86817</v>
          </cell>
          <cell r="IW18">
            <v>0.75119999999999998</v>
          </cell>
          <cell r="IX18">
            <v>412433</v>
          </cell>
          <cell r="IZ18">
            <v>468</v>
          </cell>
          <cell r="JA18">
            <v>36</v>
          </cell>
          <cell r="JB18">
            <v>1032</v>
          </cell>
          <cell r="JC18">
            <v>28</v>
          </cell>
          <cell r="JD18">
            <v>5</v>
          </cell>
          <cell r="JE18">
            <v>85</v>
          </cell>
          <cell r="JF18">
            <v>496</v>
          </cell>
          <cell r="JG18">
            <v>41</v>
          </cell>
          <cell r="JH18">
            <v>1117</v>
          </cell>
          <cell r="JI18">
            <v>1654</v>
          </cell>
          <cell r="JJ18">
            <v>1536</v>
          </cell>
          <cell r="JK18">
            <v>118</v>
          </cell>
          <cell r="JL18">
            <v>2699</v>
          </cell>
          <cell r="JM18">
            <v>303</v>
          </cell>
          <cell r="JN18">
            <v>17426</v>
          </cell>
          <cell r="JO18">
            <v>981</v>
          </cell>
          <cell r="JP18">
            <v>17</v>
          </cell>
          <cell r="JQ18">
            <v>2912</v>
          </cell>
          <cell r="JR18">
            <v>3680</v>
          </cell>
          <cell r="JS18">
            <v>320</v>
          </cell>
          <cell r="JT18">
            <v>20338</v>
          </cell>
          <cell r="JU18">
            <v>24338</v>
          </cell>
          <cell r="JV18">
            <v>20428</v>
          </cell>
          <cell r="JW18">
            <v>3910</v>
          </cell>
          <cell r="JX18">
            <v>14.71</v>
          </cell>
          <cell r="JY18">
            <v>7.42</v>
          </cell>
          <cell r="JZ18">
            <v>18.21</v>
          </cell>
          <cell r="KA18">
            <v>0.15</v>
          </cell>
          <cell r="KB18">
            <v>0.84</v>
          </cell>
          <cell r="KC18">
            <v>9</v>
          </cell>
          <cell r="KD18">
            <v>32</v>
          </cell>
          <cell r="KE18">
            <v>219</v>
          </cell>
          <cell r="KF18">
            <v>536</v>
          </cell>
          <cell r="KG18">
            <v>766</v>
          </cell>
          <cell r="KH18">
            <v>11648</v>
          </cell>
          <cell r="KI18">
            <v>27</v>
          </cell>
          <cell r="KJ18">
            <v>129</v>
          </cell>
          <cell r="KK18">
            <v>145</v>
          </cell>
          <cell r="KL18">
            <v>2498</v>
          </cell>
          <cell r="KM18">
            <v>49574</v>
          </cell>
          <cell r="KN18">
            <v>20752</v>
          </cell>
          <cell r="KO18">
            <v>3764</v>
          </cell>
          <cell r="KQ18">
            <v>431</v>
          </cell>
          <cell r="KR18">
            <v>31665</v>
          </cell>
          <cell r="KS18">
            <v>0</v>
          </cell>
          <cell r="KT18">
            <v>156</v>
          </cell>
          <cell r="KU18">
            <v>60</v>
          </cell>
          <cell r="KV18">
            <v>129</v>
          </cell>
          <cell r="KW18">
            <v>79546</v>
          </cell>
          <cell r="KY18">
            <v>1062236</v>
          </cell>
          <cell r="LC18" t="str">
            <v>CATAWBA COUNTY LIBRARY</v>
          </cell>
          <cell r="LD18" t="str">
            <v>County Owned</v>
          </cell>
          <cell r="LE18" t="str">
            <v>115 W C ST</v>
          </cell>
          <cell r="LF18" t="str">
            <v>NEWTON</v>
          </cell>
          <cell r="LG18">
            <v>28658</v>
          </cell>
          <cell r="LH18">
            <v>3397</v>
          </cell>
          <cell r="LI18" t="str">
            <v>115 W C ST</v>
          </cell>
          <cell r="LJ18" t="str">
            <v>NEWTON</v>
          </cell>
          <cell r="LK18">
            <v>28658</v>
          </cell>
          <cell r="LL18">
            <v>3397</v>
          </cell>
          <cell r="LM18" t="str">
            <v>CATAWBA</v>
          </cell>
          <cell r="LN18">
            <v>8284658664</v>
          </cell>
          <cell r="LO18">
            <v>8284658983</v>
          </cell>
          <cell r="LP18">
            <v>58075</v>
          </cell>
          <cell r="LQ18">
            <v>33.799999999999997</v>
          </cell>
          <cell r="LS18">
            <v>16796</v>
          </cell>
          <cell r="LT18">
            <v>364</v>
          </cell>
          <cell r="LW18">
            <v>6</v>
          </cell>
          <cell r="LX18" t="str">
            <v>C-CATAWBA-C</v>
          </cell>
          <cell r="LY18">
            <v>0</v>
          </cell>
          <cell r="LZ18" t="str">
            <v>CE</v>
          </cell>
          <cell r="MA18">
            <v>64.7</v>
          </cell>
          <cell r="MB18">
            <v>86.6</v>
          </cell>
        </row>
        <row r="19">
          <cell r="A19" t="str">
            <v>NC0071</v>
          </cell>
          <cell r="B19">
            <v>0</v>
          </cell>
          <cell r="C19">
            <v>1375</v>
          </cell>
          <cell r="D19">
            <v>2017</v>
          </cell>
          <cell r="E19">
            <v>0</v>
          </cell>
          <cell r="F19" t="str">
            <v>NC0071</v>
          </cell>
          <cell r="G19" t="str">
            <v>M-CHAPEL HILL</v>
          </cell>
          <cell r="H19" t="str">
            <v>NO</v>
          </cell>
          <cell r="I19" t="str">
            <v>CI</v>
          </cell>
          <cell r="J19" t="str">
            <v>SO</v>
          </cell>
          <cell r="K19" t="str">
            <v>Y</v>
          </cell>
          <cell r="L19" t="str">
            <v>CI1</v>
          </cell>
          <cell r="M19" t="str">
            <v>N</v>
          </cell>
          <cell r="N19">
            <v>59568</v>
          </cell>
          <cell r="O19" t="str">
            <v>Yes</v>
          </cell>
          <cell r="P19">
            <v>2445</v>
          </cell>
          <cell r="Q19">
            <v>549</v>
          </cell>
          <cell r="R19">
            <v>162</v>
          </cell>
          <cell r="S19">
            <v>36</v>
          </cell>
          <cell r="T19">
            <v>10108</v>
          </cell>
          <cell r="U19">
            <v>216</v>
          </cell>
          <cell r="V19">
            <v>179281</v>
          </cell>
          <cell r="W19">
            <v>13710</v>
          </cell>
          <cell r="X19">
            <v>1843646</v>
          </cell>
          <cell r="Y19">
            <v>413972</v>
          </cell>
          <cell r="Z19" t="str">
            <v>100 LIBRARY DR</v>
          </cell>
          <cell r="AA19" t="str">
            <v>CHAPEL HILL</v>
          </cell>
          <cell r="AB19">
            <v>27514</v>
          </cell>
          <cell r="AC19">
            <v>3649</v>
          </cell>
          <cell r="AD19" t="str">
            <v>100 LIBRARY DR</v>
          </cell>
          <cell r="AE19" t="str">
            <v>CHAPEL HILL</v>
          </cell>
          <cell r="AF19">
            <v>27514</v>
          </cell>
          <cell r="AG19">
            <v>3</v>
          </cell>
          <cell r="AH19" t="str">
            <v>CHAPEL HILL PUBLIC LIBRARY</v>
          </cell>
          <cell r="AJ19" t="str">
            <v>Municipal</v>
          </cell>
          <cell r="AK19" t="str">
            <v>ORANGE</v>
          </cell>
          <cell r="AL19" t="str">
            <v>Susan Brown</v>
          </cell>
          <cell r="AM19" t="str">
            <v>(919) 968-2777</v>
          </cell>
          <cell r="AN19" t="str">
            <v>(919) 968-2838</v>
          </cell>
          <cell r="AO19" t="str">
            <v>sbrown2@townofchapelhill.org</v>
          </cell>
          <cell r="AP19" t="str">
            <v>Meeghan Rosen</v>
          </cell>
          <cell r="AQ19" t="str">
            <v>Assistant Director</v>
          </cell>
          <cell r="AR19" t="str">
            <v>(919) 969-2046</v>
          </cell>
          <cell r="AS19" t="str">
            <v>(919) 968-2838</v>
          </cell>
          <cell r="AT19" t="str">
            <v>mrosen@townofchapelhill.org</v>
          </cell>
          <cell r="AU19" t="str">
            <v>http://chapelhillpubliclibrary.org</v>
          </cell>
          <cell r="BC19">
            <v>1</v>
          </cell>
          <cell r="BD19">
            <v>0</v>
          </cell>
          <cell r="BE19">
            <v>0</v>
          </cell>
          <cell r="BF19">
            <v>1</v>
          </cell>
          <cell r="BG19">
            <v>2</v>
          </cell>
          <cell r="BI19">
            <v>3489</v>
          </cell>
          <cell r="BJ19">
            <v>10</v>
          </cell>
          <cell r="BK19">
            <v>0</v>
          </cell>
          <cell r="BL19">
            <v>10</v>
          </cell>
          <cell r="BM19">
            <v>24.03</v>
          </cell>
          <cell r="BN19">
            <v>34.03</v>
          </cell>
          <cell r="BO19">
            <v>0.29389999999999999</v>
          </cell>
          <cell r="BP19">
            <v>1433</v>
          </cell>
          <cell r="BQ19">
            <v>102178</v>
          </cell>
          <cell r="BT19">
            <v>79636</v>
          </cell>
          <cell r="BY19">
            <v>71172</v>
          </cell>
          <cell r="BZ19">
            <v>71172</v>
          </cell>
          <cell r="CA19">
            <v>71172</v>
          </cell>
          <cell r="CC19">
            <v>59029</v>
          </cell>
          <cell r="CD19">
            <v>59029</v>
          </cell>
          <cell r="CE19">
            <v>59029</v>
          </cell>
          <cell r="CG19">
            <v>59029</v>
          </cell>
          <cell r="CH19">
            <v>59029</v>
          </cell>
          <cell r="CI19">
            <v>59029</v>
          </cell>
          <cell r="CO19">
            <v>41461</v>
          </cell>
          <cell r="CP19">
            <v>79636</v>
          </cell>
          <cell r="CQ19">
            <v>60105</v>
          </cell>
          <cell r="CR19">
            <v>50849</v>
          </cell>
          <cell r="CS19">
            <v>58934</v>
          </cell>
          <cell r="CT19">
            <v>54892</v>
          </cell>
          <cell r="CV19">
            <v>53846</v>
          </cell>
          <cell r="CW19">
            <v>55750</v>
          </cell>
          <cell r="CX19">
            <v>54798</v>
          </cell>
          <cell r="DD19">
            <v>61017</v>
          </cell>
          <cell r="DE19">
            <v>61017</v>
          </cell>
          <cell r="DF19">
            <v>61017</v>
          </cell>
          <cell r="DK19">
            <v>38519</v>
          </cell>
          <cell r="DL19">
            <v>46915</v>
          </cell>
          <cell r="DM19">
            <v>42717</v>
          </cell>
          <cell r="DV19">
            <v>2125506</v>
          </cell>
          <cell r="DW19">
            <v>568139</v>
          </cell>
          <cell r="DX19">
            <v>2693645</v>
          </cell>
          <cell r="DY19">
            <v>28064</v>
          </cell>
          <cell r="DZ19">
            <v>0</v>
          </cell>
          <cell r="EA19">
            <v>28064</v>
          </cell>
          <cell r="EB19">
            <v>102459</v>
          </cell>
          <cell r="EC19">
            <v>0</v>
          </cell>
          <cell r="ED19">
            <v>102459</v>
          </cell>
          <cell r="EE19">
            <v>194077</v>
          </cell>
          <cell r="EF19">
            <v>3018245</v>
          </cell>
          <cell r="EG19">
            <v>1579584</v>
          </cell>
          <cell r="EH19">
            <v>538312</v>
          </cell>
          <cell r="EI19">
            <v>2117896</v>
          </cell>
          <cell r="EJ19">
            <v>147771</v>
          </cell>
          <cell r="EK19">
            <v>56284</v>
          </cell>
          <cell r="EL19">
            <v>49561</v>
          </cell>
          <cell r="EM19">
            <v>253616</v>
          </cell>
          <cell r="EN19">
            <v>544291</v>
          </cell>
          <cell r="EO19">
            <v>2915803</v>
          </cell>
          <cell r="EP19">
            <v>102442</v>
          </cell>
          <cell r="EQ19">
            <v>3.39E-2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41696</v>
          </cell>
          <cell r="EY19">
            <v>317619</v>
          </cell>
          <cell r="EZ19">
            <v>47159</v>
          </cell>
          <cell r="FA19">
            <v>8772</v>
          </cell>
          <cell r="FB19">
            <v>62363</v>
          </cell>
          <cell r="FC19">
            <v>44218</v>
          </cell>
          <cell r="FD19">
            <v>1039</v>
          </cell>
          <cell r="FE19">
            <v>20063</v>
          </cell>
          <cell r="FF19">
            <v>91377</v>
          </cell>
          <cell r="FG19">
            <v>9811</v>
          </cell>
          <cell r="FH19">
            <v>82426</v>
          </cell>
          <cell r="FI19">
            <v>183614</v>
          </cell>
          <cell r="FJ19">
            <v>0</v>
          </cell>
          <cell r="FK19">
            <v>160</v>
          </cell>
          <cell r="FM19">
            <v>183614</v>
          </cell>
          <cell r="FN19">
            <v>13028</v>
          </cell>
          <cell r="FO19">
            <v>11487</v>
          </cell>
          <cell r="FP19">
            <v>31</v>
          </cell>
          <cell r="FQ19">
            <v>5</v>
          </cell>
          <cell r="FR19">
            <v>88</v>
          </cell>
          <cell r="FS19">
            <v>93</v>
          </cell>
          <cell r="FT19">
            <v>44141</v>
          </cell>
          <cell r="FU19">
            <v>3505</v>
          </cell>
          <cell r="FV19">
            <v>0</v>
          </cell>
          <cell r="FW19">
            <v>0</v>
          </cell>
          <cell r="FX19">
            <v>8544</v>
          </cell>
          <cell r="FY19">
            <v>1573</v>
          </cell>
          <cell r="FZ19">
            <v>322</v>
          </cell>
          <cell r="GA19">
            <v>0</v>
          </cell>
          <cell r="GE19">
            <v>0</v>
          </cell>
          <cell r="GF19">
            <v>36593</v>
          </cell>
          <cell r="GG19">
            <v>13194</v>
          </cell>
          <cell r="GH19">
            <v>264</v>
          </cell>
          <cell r="GI19">
            <v>12</v>
          </cell>
          <cell r="GJ19">
            <v>840</v>
          </cell>
          <cell r="GK19">
            <v>218</v>
          </cell>
          <cell r="GL19">
            <v>0</v>
          </cell>
          <cell r="GM19">
            <v>0</v>
          </cell>
          <cell r="GN19">
            <v>90118</v>
          </cell>
          <cell r="GO19">
            <v>18490</v>
          </cell>
          <cell r="GP19">
            <v>586</v>
          </cell>
          <cell r="GQ19">
            <v>12</v>
          </cell>
          <cell r="GR19">
            <v>74</v>
          </cell>
          <cell r="GT19">
            <v>183799</v>
          </cell>
          <cell r="GU19">
            <v>37302</v>
          </cell>
          <cell r="GV19">
            <v>550748</v>
          </cell>
          <cell r="GW19">
            <v>149947</v>
          </cell>
          <cell r="GX19">
            <v>2946</v>
          </cell>
          <cell r="GY19">
            <v>110040</v>
          </cell>
          <cell r="GZ19">
            <v>333746</v>
          </cell>
          <cell r="HA19">
            <v>40248</v>
          </cell>
          <cell r="HB19">
            <v>660788</v>
          </cell>
          <cell r="HC19">
            <v>1034782</v>
          </cell>
          <cell r="HD19">
            <v>4957</v>
          </cell>
          <cell r="HE19">
            <v>1039739</v>
          </cell>
          <cell r="HF19">
            <v>89165</v>
          </cell>
          <cell r="HG19">
            <v>200212</v>
          </cell>
          <cell r="HH19">
            <v>0</v>
          </cell>
          <cell r="HI19">
            <v>0</v>
          </cell>
          <cell r="HJ19">
            <v>289377</v>
          </cell>
          <cell r="HK19">
            <v>1329116</v>
          </cell>
          <cell r="HL19">
            <v>81</v>
          </cell>
          <cell r="HM19">
            <v>59348</v>
          </cell>
          <cell r="HN19">
            <v>59429</v>
          </cell>
          <cell r="HO19">
            <v>307</v>
          </cell>
          <cell r="HP19">
            <v>39575</v>
          </cell>
          <cell r="HQ19">
            <v>39882</v>
          </cell>
          <cell r="HR19">
            <v>0</v>
          </cell>
          <cell r="HS19">
            <v>396</v>
          </cell>
          <cell r="HT19">
            <v>396</v>
          </cell>
          <cell r="HU19">
            <v>2407</v>
          </cell>
          <cell r="HV19">
            <v>102114</v>
          </cell>
          <cell r="HW19">
            <v>69037</v>
          </cell>
          <cell r="HX19">
            <v>42353</v>
          </cell>
          <cell r="HY19">
            <v>111390</v>
          </cell>
          <cell r="HZ19">
            <v>213504</v>
          </cell>
          <cell r="IA19">
            <v>129047</v>
          </cell>
          <cell r="IB19">
            <v>329655</v>
          </cell>
          <cell r="IC19">
            <v>1431230</v>
          </cell>
          <cell r="ID19">
            <v>1431230</v>
          </cell>
          <cell r="IE19">
            <v>1542620</v>
          </cell>
          <cell r="IF19">
            <v>800891</v>
          </cell>
          <cell r="IG19">
            <v>849</v>
          </cell>
          <cell r="IJ19">
            <v>3</v>
          </cell>
          <cell r="IK19">
            <v>3.7999999999999999E-2</v>
          </cell>
          <cell r="IL19">
            <v>5.0000000000000001E-4</v>
          </cell>
          <cell r="IM19">
            <v>0.34379999999999999</v>
          </cell>
          <cell r="IN19">
            <v>0</v>
          </cell>
          <cell r="IO19">
            <v>0.28370000000000001</v>
          </cell>
          <cell r="IP19">
            <v>2.9999999999999997E-4</v>
          </cell>
          <cell r="IQ19">
            <v>0.57809999999999995</v>
          </cell>
          <cell r="IR19">
            <v>9.9199999999999997E-2</v>
          </cell>
          <cell r="IS19">
            <v>0.55959999999999999</v>
          </cell>
          <cell r="IT19">
            <v>43049</v>
          </cell>
          <cell r="IU19">
            <v>8046</v>
          </cell>
          <cell r="IV19">
            <v>51095</v>
          </cell>
          <cell r="IW19">
            <v>0.85780000000000001</v>
          </cell>
          <cell r="IX19">
            <v>591118</v>
          </cell>
          <cell r="IZ19">
            <v>107</v>
          </cell>
          <cell r="JA19">
            <v>129</v>
          </cell>
          <cell r="JB19">
            <v>683</v>
          </cell>
          <cell r="JC19">
            <v>2</v>
          </cell>
          <cell r="JD19">
            <v>9</v>
          </cell>
          <cell r="JE19">
            <v>103</v>
          </cell>
          <cell r="JF19">
            <v>109</v>
          </cell>
          <cell r="JG19">
            <v>138</v>
          </cell>
          <cell r="JH19">
            <v>786</v>
          </cell>
          <cell r="JI19">
            <v>1033</v>
          </cell>
          <cell r="JJ19">
            <v>919</v>
          </cell>
          <cell r="JK19">
            <v>114</v>
          </cell>
          <cell r="JL19">
            <v>2512</v>
          </cell>
          <cell r="JM19">
            <v>1721</v>
          </cell>
          <cell r="JN19">
            <v>30172</v>
          </cell>
          <cell r="JO19">
            <v>680</v>
          </cell>
          <cell r="JP19">
            <v>332</v>
          </cell>
          <cell r="JQ19">
            <v>5602</v>
          </cell>
          <cell r="JR19">
            <v>3192</v>
          </cell>
          <cell r="JS19">
            <v>2053</v>
          </cell>
          <cell r="JT19">
            <v>35774</v>
          </cell>
          <cell r="JU19">
            <v>41019</v>
          </cell>
          <cell r="JV19">
            <v>34405</v>
          </cell>
          <cell r="JW19">
            <v>6614</v>
          </cell>
          <cell r="JX19">
            <v>39.71</v>
          </cell>
          <cell r="JY19">
            <v>29.28</v>
          </cell>
          <cell r="JZ19">
            <v>45.51</v>
          </cell>
          <cell r="KA19">
            <v>0.08</v>
          </cell>
          <cell r="KB19">
            <v>0.87</v>
          </cell>
          <cell r="KC19">
            <v>24</v>
          </cell>
          <cell r="KD19">
            <v>266</v>
          </cell>
          <cell r="KE19">
            <v>34</v>
          </cell>
          <cell r="KF19">
            <v>284</v>
          </cell>
          <cell r="KG19">
            <v>512</v>
          </cell>
          <cell r="KH19">
            <v>18026</v>
          </cell>
          <cell r="KI19">
            <v>16</v>
          </cell>
          <cell r="KJ19">
            <v>125</v>
          </cell>
          <cell r="KK19">
            <v>51</v>
          </cell>
          <cell r="KL19">
            <v>2101</v>
          </cell>
          <cell r="KM19">
            <v>0</v>
          </cell>
          <cell r="KN19">
            <v>0</v>
          </cell>
          <cell r="KO19">
            <v>0</v>
          </cell>
          <cell r="KQ19">
            <v>2132</v>
          </cell>
          <cell r="KS19">
            <v>0</v>
          </cell>
          <cell r="KT19">
            <v>0</v>
          </cell>
          <cell r="KU19">
            <v>41</v>
          </cell>
          <cell r="KV19">
            <v>69</v>
          </cell>
          <cell r="KW19">
            <v>0</v>
          </cell>
          <cell r="KY19">
            <v>1007499</v>
          </cell>
          <cell r="KZ19">
            <v>20461</v>
          </cell>
          <cell r="LC19" t="str">
            <v>CHAPEL HILL PUBLIC LIBRARY</v>
          </cell>
          <cell r="LD19" t="str">
            <v>City Owned</v>
          </cell>
          <cell r="LE19" t="str">
            <v>100 LIBRARY DR</v>
          </cell>
          <cell r="LF19" t="str">
            <v>CHAPEL HILL</v>
          </cell>
          <cell r="LG19">
            <v>27514</v>
          </cell>
          <cell r="LH19">
            <v>3640</v>
          </cell>
          <cell r="LI19" t="str">
            <v>100 LIBRARY DR</v>
          </cell>
          <cell r="LJ19" t="str">
            <v>CHAPEL HILL</v>
          </cell>
          <cell r="LK19">
            <v>27514</v>
          </cell>
          <cell r="LL19">
            <v>3640</v>
          </cell>
          <cell r="LM19" t="str">
            <v>ORANGE</v>
          </cell>
          <cell r="LN19">
            <v>9199682777</v>
          </cell>
          <cell r="LO19">
            <v>9199682838</v>
          </cell>
          <cell r="LP19">
            <v>63305</v>
          </cell>
          <cell r="LQ19">
            <v>34.03</v>
          </cell>
          <cell r="LS19">
            <v>3489</v>
          </cell>
          <cell r="LT19">
            <v>52</v>
          </cell>
          <cell r="LW19">
            <v>2</v>
          </cell>
          <cell r="LX19" t="str">
            <v>M-CHAPELHILL-C</v>
          </cell>
          <cell r="LY19">
            <v>0</v>
          </cell>
          <cell r="LZ19" t="str">
            <v>CE</v>
          </cell>
          <cell r="MA19">
            <v>36.700000000000003</v>
          </cell>
          <cell r="MB19">
            <v>99.6</v>
          </cell>
        </row>
        <row r="20">
          <cell r="A20" t="str">
            <v>NC0045</v>
          </cell>
          <cell r="B20">
            <v>0</v>
          </cell>
          <cell r="C20">
            <v>1375</v>
          </cell>
          <cell r="D20">
            <v>2017</v>
          </cell>
          <cell r="E20">
            <v>0</v>
          </cell>
          <cell r="F20" t="str">
            <v>NC0045</v>
          </cell>
          <cell r="G20" t="str">
            <v>C-MECKLENBURG</v>
          </cell>
          <cell r="H20" t="str">
            <v>NO</v>
          </cell>
          <cell r="I20" t="str">
            <v>OT</v>
          </cell>
          <cell r="J20" t="str">
            <v>MO</v>
          </cell>
          <cell r="K20" t="str">
            <v>Y</v>
          </cell>
          <cell r="L20" t="str">
            <v>CO1</v>
          </cell>
          <cell r="M20" t="str">
            <v>N</v>
          </cell>
          <cell r="N20">
            <v>1055791</v>
          </cell>
          <cell r="O20" t="str">
            <v>Yes</v>
          </cell>
          <cell r="P20">
            <v>16673</v>
          </cell>
          <cell r="Q20">
            <v>5493</v>
          </cell>
          <cell r="R20">
            <v>4770</v>
          </cell>
          <cell r="S20">
            <v>727</v>
          </cell>
          <cell r="T20">
            <v>86558</v>
          </cell>
          <cell r="U20">
            <v>8306</v>
          </cell>
          <cell r="V20">
            <v>630302</v>
          </cell>
          <cell r="W20">
            <v>61261</v>
          </cell>
          <cell r="X20">
            <v>11019225</v>
          </cell>
          <cell r="Y20">
            <v>3446794</v>
          </cell>
          <cell r="Z20" t="str">
            <v>310 N TRYON ST</v>
          </cell>
          <cell r="AA20" t="str">
            <v>CHARLOTTE</v>
          </cell>
          <cell r="AB20">
            <v>28202</v>
          </cell>
          <cell r="AC20">
            <v>2139</v>
          </cell>
          <cell r="AD20" t="str">
            <v>310 N TRYON ST</v>
          </cell>
          <cell r="AE20" t="str">
            <v>CHARLOTTE</v>
          </cell>
          <cell r="AF20">
            <v>28202</v>
          </cell>
          <cell r="AG20">
            <v>3</v>
          </cell>
          <cell r="AH20" t="str">
            <v>CHARLOTTE MECKLENBURG LIBRARY</v>
          </cell>
          <cell r="AJ20" t="str">
            <v>County</v>
          </cell>
          <cell r="AK20" t="str">
            <v>MECKLENBURG</v>
          </cell>
          <cell r="AL20" t="str">
            <v>DAVID SINGLETON</v>
          </cell>
          <cell r="AM20" t="str">
            <v>(704) 416-0612</v>
          </cell>
          <cell r="AN20" t="str">
            <v>(704) 416-0677</v>
          </cell>
          <cell r="AO20" t="str">
            <v>dsingleton@cmlibrary.org</v>
          </cell>
          <cell r="AP20" t="str">
            <v>DONOVAN CRAIG</v>
          </cell>
          <cell r="AQ20" t="str">
            <v>ADMINISTRATIVE SUPPORT COORDINATOR</v>
          </cell>
          <cell r="AR20" t="str">
            <v>(704) 416-0606</v>
          </cell>
          <cell r="AS20" t="str">
            <v>(704) 416-0677</v>
          </cell>
          <cell r="AT20" t="str">
            <v>dcraig@cmlibrary.org</v>
          </cell>
          <cell r="AU20" t="str">
            <v>www.cmlibrary.org</v>
          </cell>
          <cell r="BC20">
            <v>1</v>
          </cell>
          <cell r="BD20">
            <v>19</v>
          </cell>
          <cell r="BE20">
            <v>0</v>
          </cell>
          <cell r="BF20">
            <v>0</v>
          </cell>
          <cell r="BG20">
            <v>20</v>
          </cell>
          <cell r="BI20">
            <v>61912</v>
          </cell>
          <cell r="BJ20">
            <v>122.6</v>
          </cell>
          <cell r="BK20">
            <v>1</v>
          </cell>
          <cell r="BL20">
            <v>123.6</v>
          </cell>
          <cell r="BM20">
            <v>295.68</v>
          </cell>
          <cell r="BN20">
            <v>419.28</v>
          </cell>
          <cell r="BO20">
            <v>0.29239999999999999</v>
          </cell>
          <cell r="BP20">
            <v>61274</v>
          </cell>
          <cell r="BQ20">
            <v>173855</v>
          </cell>
          <cell r="BT20">
            <v>86813</v>
          </cell>
          <cell r="BU20">
            <v>59173</v>
          </cell>
          <cell r="BV20">
            <v>90073</v>
          </cell>
          <cell r="BW20">
            <v>74784</v>
          </cell>
          <cell r="BY20">
            <v>66604</v>
          </cell>
          <cell r="BZ20">
            <v>83323</v>
          </cell>
          <cell r="CA20">
            <v>74963</v>
          </cell>
          <cell r="CC20">
            <v>71725</v>
          </cell>
          <cell r="CD20">
            <v>71725</v>
          </cell>
          <cell r="CE20">
            <v>71725</v>
          </cell>
          <cell r="CG20">
            <v>67472</v>
          </cell>
          <cell r="CH20">
            <v>71805</v>
          </cell>
          <cell r="CI20">
            <v>69442</v>
          </cell>
          <cell r="CR20">
            <v>47476</v>
          </cell>
          <cell r="CS20">
            <v>69195</v>
          </cell>
          <cell r="CT20">
            <v>55255</v>
          </cell>
          <cell r="CV20">
            <v>47476</v>
          </cell>
          <cell r="CW20">
            <v>67446</v>
          </cell>
          <cell r="CX20">
            <v>55651</v>
          </cell>
          <cell r="CZ20">
            <v>56783</v>
          </cell>
          <cell r="DA20">
            <v>73982</v>
          </cell>
          <cell r="DB20">
            <v>65664</v>
          </cell>
          <cell r="DH20">
            <v>47476</v>
          </cell>
          <cell r="DI20">
            <v>70067</v>
          </cell>
          <cell r="DJ20">
            <v>55330</v>
          </cell>
          <cell r="DK20">
            <v>41160</v>
          </cell>
          <cell r="DL20">
            <v>63121</v>
          </cell>
          <cell r="DM20">
            <v>50169</v>
          </cell>
          <cell r="DO20">
            <v>26280</v>
          </cell>
          <cell r="DP20">
            <v>49396</v>
          </cell>
          <cell r="DQ20">
            <v>34690</v>
          </cell>
          <cell r="DS20">
            <v>70599</v>
          </cell>
          <cell r="DT20">
            <v>96300</v>
          </cell>
          <cell r="DU20">
            <v>83127</v>
          </cell>
          <cell r="DV20">
            <v>2500</v>
          </cell>
          <cell r="DW20">
            <v>36440898</v>
          </cell>
          <cell r="DX20">
            <v>36443398</v>
          </cell>
          <cell r="DY20">
            <v>612394</v>
          </cell>
          <cell r="DZ20">
            <v>0</v>
          </cell>
          <cell r="EA20">
            <v>612394</v>
          </cell>
          <cell r="EB20">
            <v>81682</v>
          </cell>
          <cell r="EC20">
            <v>0</v>
          </cell>
          <cell r="ED20">
            <v>81682</v>
          </cell>
          <cell r="EE20">
            <v>2647782</v>
          </cell>
          <cell r="EF20">
            <v>39785256</v>
          </cell>
          <cell r="EG20">
            <v>18182464</v>
          </cell>
          <cell r="EH20">
            <v>7955663</v>
          </cell>
          <cell r="EI20">
            <v>26138127</v>
          </cell>
          <cell r="EJ20">
            <v>2128661</v>
          </cell>
          <cell r="EK20">
            <v>1563120</v>
          </cell>
          <cell r="EL20">
            <v>314512</v>
          </cell>
          <cell r="EM20">
            <v>4006293</v>
          </cell>
          <cell r="EN20">
            <v>9310955</v>
          </cell>
          <cell r="EO20">
            <v>39455375</v>
          </cell>
          <cell r="EP20">
            <v>329881</v>
          </cell>
          <cell r="EQ20">
            <v>8.3000000000000001E-3</v>
          </cell>
          <cell r="ER20">
            <v>3314461</v>
          </cell>
          <cell r="ES20">
            <v>0</v>
          </cell>
          <cell r="ET20">
            <v>0</v>
          </cell>
          <cell r="EU20">
            <v>0</v>
          </cell>
          <cell r="EV20">
            <v>3314461</v>
          </cell>
          <cell r="EW20">
            <v>3314461</v>
          </cell>
          <cell r="EX20">
            <v>102822</v>
          </cell>
          <cell r="EY20">
            <v>1169749</v>
          </cell>
          <cell r="EZ20">
            <v>191205</v>
          </cell>
          <cell r="FA20">
            <v>46906</v>
          </cell>
          <cell r="FB20">
            <v>259099</v>
          </cell>
          <cell r="FC20">
            <v>276041</v>
          </cell>
          <cell r="FD20">
            <v>16415</v>
          </cell>
          <cell r="FE20">
            <v>97700</v>
          </cell>
          <cell r="FF20">
            <v>467246</v>
          </cell>
          <cell r="FG20">
            <v>63321</v>
          </cell>
          <cell r="FH20">
            <v>356799</v>
          </cell>
          <cell r="FI20">
            <v>887366</v>
          </cell>
          <cell r="FJ20">
            <v>301</v>
          </cell>
          <cell r="FK20">
            <v>1858</v>
          </cell>
          <cell r="FM20">
            <v>887366</v>
          </cell>
          <cell r="FN20">
            <v>54614</v>
          </cell>
          <cell r="FO20">
            <v>30895</v>
          </cell>
          <cell r="FP20">
            <v>84724</v>
          </cell>
          <cell r="FQ20">
            <v>25</v>
          </cell>
          <cell r="FR20">
            <v>88</v>
          </cell>
          <cell r="FS20">
            <v>113</v>
          </cell>
          <cell r="FT20">
            <v>44141</v>
          </cell>
          <cell r="FU20">
            <v>3505</v>
          </cell>
          <cell r="FV20">
            <v>0</v>
          </cell>
          <cell r="FW20">
            <v>0</v>
          </cell>
          <cell r="FX20">
            <v>8544</v>
          </cell>
          <cell r="FY20">
            <v>1573</v>
          </cell>
          <cell r="FZ20">
            <v>322</v>
          </cell>
          <cell r="GA20">
            <v>0</v>
          </cell>
          <cell r="GJ20">
            <v>37791</v>
          </cell>
          <cell r="GK20">
            <v>13156</v>
          </cell>
          <cell r="GL20">
            <v>652</v>
          </cell>
          <cell r="GM20">
            <v>194</v>
          </cell>
          <cell r="GN20">
            <v>90476</v>
          </cell>
          <cell r="GO20">
            <v>18234</v>
          </cell>
          <cell r="GP20">
            <v>974</v>
          </cell>
          <cell r="GQ20">
            <v>194</v>
          </cell>
          <cell r="GR20">
            <v>148</v>
          </cell>
          <cell r="GT20">
            <v>863101</v>
          </cell>
          <cell r="GU20">
            <v>189091</v>
          </cell>
          <cell r="GV20">
            <v>1936951</v>
          </cell>
          <cell r="GW20">
            <v>603737</v>
          </cell>
          <cell r="GX20">
            <v>24747</v>
          </cell>
          <cell r="GY20">
            <v>411652</v>
          </cell>
          <cell r="GZ20">
            <v>1466838</v>
          </cell>
          <cell r="HA20">
            <v>213838</v>
          </cell>
          <cell r="HB20">
            <v>2348603</v>
          </cell>
          <cell r="HC20">
            <v>4029279</v>
          </cell>
          <cell r="HD20">
            <v>0</v>
          </cell>
          <cell r="HE20">
            <v>4029279</v>
          </cell>
          <cell r="HF20">
            <v>326666</v>
          </cell>
          <cell r="HG20">
            <v>443078</v>
          </cell>
          <cell r="HH20">
            <v>0</v>
          </cell>
          <cell r="HI20">
            <v>0</v>
          </cell>
          <cell r="HJ20">
            <v>769744</v>
          </cell>
          <cell r="HK20">
            <v>4799023</v>
          </cell>
          <cell r="HL20">
            <v>2830</v>
          </cell>
          <cell r="HM20">
            <v>921669</v>
          </cell>
          <cell r="HN20">
            <v>924499</v>
          </cell>
          <cell r="HO20">
            <v>6197</v>
          </cell>
          <cell r="HP20">
            <v>225675</v>
          </cell>
          <cell r="HQ20">
            <v>231872</v>
          </cell>
          <cell r="HR20">
            <v>0</v>
          </cell>
          <cell r="HS20">
            <v>33124</v>
          </cell>
          <cell r="HT20">
            <v>33124</v>
          </cell>
          <cell r="HU20">
            <v>50816</v>
          </cell>
          <cell r="HV20">
            <v>1240311</v>
          </cell>
          <cell r="HW20">
            <v>758755</v>
          </cell>
          <cell r="HX20">
            <v>1998702</v>
          </cell>
          <cell r="HY20">
            <v>2757457</v>
          </cell>
          <cell r="HZ20">
            <v>3997768</v>
          </cell>
          <cell r="IA20">
            <v>558538</v>
          </cell>
          <cell r="IB20">
            <v>1034740</v>
          </cell>
          <cell r="IC20">
            <v>6039334</v>
          </cell>
          <cell r="ID20">
            <v>6039334</v>
          </cell>
          <cell r="IE20">
            <v>8796791</v>
          </cell>
          <cell r="IF20">
            <v>2562441</v>
          </cell>
          <cell r="IG20">
            <v>2520</v>
          </cell>
          <cell r="IJ20">
            <v>1</v>
          </cell>
          <cell r="IK20">
            <v>2.7199999999999998E-2</v>
          </cell>
          <cell r="IL20">
            <v>1.6000000000000001E-3</v>
          </cell>
          <cell r="IM20">
            <v>9.3899999999999997E-2</v>
          </cell>
          <cell r="IN20">
            <v>0</v>
          </cell>
          <cell r="IO20">
            <v>7.7299999999999994E-2</v>
          </cell>
          <cell r="IP20">
            <v>1E-4</v>
          </cell>
          <cell r="IQ20">
            <v>0.75860000000000005</v>
          </cell>
          <cell r="IR20">
            <v>6.2300000000000001E-2</v>
          </cell>
          <cell r="IS20">
            <v>0.42430000000000001</v>
          </cell>
          <cell r="IT20">
            <v>621158</v>
          </cell>
          <cell r="IU20">
            <v>348488</v>
          </cell>
          <cell r="IV20">
            <v>969646</v>
          </cell>
          <cell r="IW20">
            <v>0.91839999999999999</v>
          </cell>
          <cell r="IX20">
            <v>3374184</v>
          </cell>
          <cell r="IZ20">
            <v>3572</v>
          </cell>
          <cell r="JA20">
            <v>2986</v>
          </cell>
          <cell r="JB20">
            <v>15961</v>
          </cell>
          <cell r="JC20">
            <v>842</v>
          </cell>
          <cell r="JD20">
            <v>290</v>
          </cell>
          <cell r="JE20">
            <v>3922</v>
          </cell>
          <cell r="JF20">
            <v>4414</v>
          </cell>
          <cell r="JG20">
            <v>3276</v>
          </cell>
          <cell r="JH20">
            <v>19883</v>
          </cell>
          <cell r="JI20">
            <v>27573</v>
          </cell>
          <cell r="JJ20">
            <v>22519</v>
          </cell>
          <cell r="JK20">
            <v>5054</v>
          </cell>
          <cell r="JL20">
            <v>30567</v>
          </cell>
          <cell r="JM20">
            <v>24139</v>
          </cell>
          <cell r="JN20">
            <v>255871</v>
          </cell>
          <cell r="JO20">
            <v>17984</v>
          </cell>
          <cell r="JP20">
            <v>5440</v>
          </cell>
          <cell r="JQ20">
            <v>69327</v>
          </cell>
          <cell r="JR20">
            <v>48551</v>
          </cell>
          <cell r="JS20">
            <v>29579</v>
          </cell>
          <cell r="JT20">
            <v>325198</v>
          </cell>
          <cell r="JU20">
            <v>403328</v>
          </cell>
          <cell r="JV20">
            <v>310577</v>
          </cell>
          <cell r="JW20">
            <v>92751</v>
          </cell>
          <cell r="JX20">
            <v>14.63</v>
          </cell>
          <cell r="JY20">
            <v>11</v>
          </cell>
          <cell r="JZ20">
            <v>16.36</v>
          </cell>
          <cell r="KA20">
            <v>0.12</v>
          </cell>
          <cell r="KB20">
            <v>0.81</v>
          </cell>
          <cell r="KC20">
            <v>533</v>
          </cell>
          <cell r="KD20">
            <v>3060</v>
          </cell>
          <cell r="KE20">
            <v>2187</v>
          </cell>
          <cell r="KF20">
            <v>5078</v>
          </cell>
          <cell r="KG20">
            <v>10448</v>
          </cell>
          <cell r="KH20">
            <v>169810</v>
          </cell>
          <cell r="KI20">
            <v>530</v>
          </cell>
          <cell r="KJ20">
            <v>4589</v>
          </cell>
          <cell r="KK20">
            <v>3752</v>
          </cell>
          <cell r="KL20">
            <v>16248</v>
          </cell>
          <cell r="KM20">
            <v>1510083</v>
          </cell>
          <cell r="KN20">
            <v>201932</v>
          </cell>
          <cell r="KO20">
            <v>86038</v>
          </cell>
          <cell r="KS20">
            <v>3170</v>
          </cell>
          <cell r="KT20">
            <v>2245</v>
          </cell>
          <cell r="KU20">
            <v>497</v>
          </cell>
          <cell r="KV20">
            <v>846</v>
          </cell>
          <cell r="KW20">
            <v>671447</v>
          </cell>
          <cell r="KY20">
            <v>18182655</v>
          </cell>
          <cell r="KZ20">
            <v>859840</v>
          </cell>
          <cell r="LC20" t="str">
            <v>CHARLOTTE MECKLENBURG LIBRARY</v>
          </cell>
          <cell r="LD20" t="str">
            <v>County Owned</v>
          </cell>
          <cell r="LE20" t="str">
            <v>310 N TRYON ST</v>
          </cell>
          <cell r="LF20" t="str">
            <v>CHARLOTTE</v>
          </cell>
          <cell r="LG20">
            <v>28202</v>
          </cell>
          <cell r="LH20">
            <v>2139</v>
          </cell>
          <cell r="LI20" t="str">
            <v>310 N TRYON ST</v>
          </cell>
          <cell r="LJ20" t="str">
            <v>CHARLOTTE</v>
          </cell>
          <cell r="LK20">
            <v>28202</v>
          </cell>
          <cell r="LL20">
            <v>2139</v>
          </cell>
          <cell r="LM20" t="str">
            <v>MECKLENBURG</v>
          </cell>
          <cell r="LN20">
            <v>7044160600</v>
          </cell>
          <cell r="LO20">
            <v>7044160677</v>
          </cell>
          <cell r="LP20">
            <v>526427</v>
          </cell>
          <cell r="LQ20">
            <v>418.45</v>
          </cell>
          <cell r="LS20">
            <v>61912</v>
          </cell>
          <cell r="LT20">
            <v>1040</v>
          </cell>
          <cell r="LW20">
            <v>2</v>
          </cell>
          <cell r="LX20" t="str">
            <v>C-MECKLENBURG-C</v>
          </cell>
          <cell r="LY20">
            <v>0</v>
          </cell>
          <cell r="LZ20" t="str">
            <v>CE</v>
          </cell>
          <cell r="MA20">
            <v>250</v>
          </cell>
          <cell r="MB20">
            <v>250</v>
          </cell>
        </row>
        <row r="21">
          <cell r="A21" t="str">
            <v>NC0104</v>
          </cell>
          <cell r="B21">
            <v>0</v>
          </cell>
          <cell r="C21">
            <v>1375</v>
          </cell>
          <cell r="D21">
            <v>2017</v>
          </cell>
          <cell r="E21">
            <v>0</v>
          </cell>
          <cell r="F21" t="str">
            <v>NC0104</v>
          </cell>
          <cell r="G21" t="str">
            <v>C-CHATHAM</v>
          </cell>
          <cell r="H21" t="str">
            <v>NO</v>
          </cell>
          <cell r="I21" t="str">
            <v>CO</v>
          </cell>
          <cell r="J21" t="str">
            <v>MO</v>
          </cell>
          <cell r="K21" t="str">
            <v>Y</v>
          </cell>
          <cell r="L21" t="str">
            <v>CO1</v>
          </cell>
          <cell r="M21" t="str">
            <v>N</v>
          </cell>
          <cell r="N21">
            <v>71815</v>
          </cell>
          <cell r="O21" t="str">
            <v>Yes</v>
          </cell>
          <cell r="P21">
            <v>677</v>
          </cell>
          <cell r="Q21">
            <v>163</v>
          </cell>
          <cell r="R21">
            <v>144</v>
          </cell>
          <cell r="S21">
            <v>5</v>
          </cell>
          <cell r="T21">
            <v>4564</v>
          </cell>
          <cell r="U21">
            <v>141</v>
          </cell>
          <cell r="V21">
            <v>27678</v>
          </cell>
          <cell r="W21">
            <v>2693</v>
          </cell>
          <cell r="X21">
            <v>484710</v>
          </cell>
          <cell r="Y21">
            <v>108540</v>
          </cell>
          <cell r="Z21" t="str">
            <v>197 NC HWY 87 N</v>
          </cell>
          <cell r="AA21" t="str">
            <v>PITTSBORO</v>
          </cell>
          <cell r="AB21">
            <v>27312</v>
          </cell>
          <cell r="AC21">
            <v>9471</v>
          </cell>
          <cell r="AD21" t="str">
            <v>197 NC HWY 87 N</v>
          </cell>
          <cell r="AE21" t="str">
            <v>PITTSBORO</v>
          </cell>
          <cell r="AF21">
            <v>27312</v>
          </cell>
          <cell r="AG21">
            <v>3</v>
          </cell>
          <cell r="AH21" t="str">
            <v>CHATHAM COUNTY PUBLIC LIBRARIES</v>
          </cell>
          <cell r="AJ21" t="str">
            <v>County</v>
          </cell>
          <cell r="AK21" t="str">
            <v>CHATHAM</v>
          </cell>
          <cell r="AL21" t="str">
            <v>Linda Clarke</v>
          </cell>
          <cell r="AM21" t="str">
            <v>(919) 545-8081</v>
          </cell>
          <cell r="AN21" t="str">
            <v>(919) 545-8080</v>
          </cell>
          <cell r="AO21" t="str">
            <v>lclarke@chathamlibraries.org</v>
          </cell>
          <cell r="AP21" t="str">
            <v>Linda Clarke</v>
          </cell>
          <cell r="AQ21" t="str">
            <v>Library Director</v>
          </cell>
          <cell r="AR21" t="str">
            <v>(919) 545-8081</v>
          </cell>
          <cell r="AS21" t="str">
            <v>(919) 545-8080</v>
          </cell>
          <cell r="AT21" t="str">
            <v>lclarke@chathamlibraries.org</v>
          </cell>
          <cell r="AU21" t="str">
            <v>www.chathamlibraries.org</v>
          </cell>
          <cell r="BC21">
            <v>1</v>
          </cell>
          <cell r="BD21">
            <v>2</v>
          </cell>
          <cell r="BE21">
            <v>0</v>
          </cell>
          <cell r="BF21">
            <v>0</v>
          </cell>
          <cell r="BG21">
            <v>3</v>
          </cell>
          <cell r="BI21">
            <v>7100</v>
          </cell>
          <cell r="BJ21">
            <v>4</v>
          </cell>
          <cell r="BK21">
            <v>0</v>
          </cell>
          <cell r="BL21">
            <v>4</v>
          </cell>
          <cell r="BM21">
            <v>13.5</v>
          </cell>
          <cell r="BN21">
            <v>17.5</v>
          </cell>
          <cell r="BO21">
            <v>0.2286</v>
          </cell>
          <cell r="BP21">
            <v>0</v>
          </cell>
          <cell r="BQ21">
            <v>78671</v>
          </cell>
          <cell r="BT21">
            <v>0</v>
          </cell>
          <cell r="BU21">
            <v>47291</v>
          </cell>
          <cell r="BV21">
            <v>73301</v>
          </cell>
          <cell r="BW21">
            <v>60296</v>
          </cell>
          <cell r="BY21">
            <v>42894</v>
          </cell>
          <cell r="BZ21">
            <v>66485</v>
          </cell>
          <cell r="CA21">
            <v>54690</v>
          </cell>
          <cell r="CC21">
            <v>0</v>
          </cell>
          <cell r="CD21">
            <v>0</v>
          </cell>
          <cell r="CE21">
            <v>0</v>
          </cell>
          <cell r="CG21">
            <v>0</v>
          </cell>
          <cell r="CH21">
            <v>0</v>
          </cell>
          <cell r="CI21">
            <v>0</v>
          </cell>
          <cell r="CK21">
            <v>0</v>
          </cell>
          <cell r="CL21">
            <v>0</v>
          </cell>
          <cell r="CM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V21">
            <v>42894</v>
          </cell>
          <cell r="CW21">
            <v>66485</v>
          </cell>
          <cell r="CX21">
            <v>54690</v>
          </cell>
          <cell r="CZ21">
            <v>0</v>
          </cell>
          <cell r="DA21">
            <v>0</v>
          </cell>
          <cell r="DB21">
            <v>0</v>
          </cell>
          <cell r="DD21">
            <v>0</v>
          </cell>
          <cell r="DE21">
            <v>0</v>
          </cell>
          <cell r="DF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37053</v>
          </cell>
          <cell r="DL21">
            <v>63318</v>
          </cell>
          <cell r="DM21">
            <v>50186</v>
          </cell>
          <cell r="DO21">
            <v>26332</v>
          </cell>
          <cell r="DP21">
            <v>52094</v>
          </cell>
          <cell r="DQ21">
            <v>39213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1905135</v>
          </cell>
          <cell r="DX21">
            <v>1905135</v>
          </cell>
          <cell r="DY21">
            <v>101990</v>
          </cell>
          <cell r="DZ21">
            <v>0</v>
          </cell>
          <cell r="EA21">
            <v>101990</v>
          </cell>
          <cell r="EB21">
            <v>0</v>
          </cell>
          <cell r="EC21">
            <v>0</v>
          </cell>
          <cell r="ED21">
            <v>0</v>
          </cell>
          <cell r="EE21">
            <v>166703</v>
          </cell>
          <cell r="EF21">
            <v>2173828</v>
          </cell>
          <cell r="EG21">
            <v>681233</v>
          </cell>
          <cell r="EH21">
            <v>283192</v>
          </cell>
          <cell r="EI21">
            <v>964425</v>
          </cell>
          <cell r="EJ21">
            <v>109007</v>
          </cell>
          <cell r="EK21">
            <v>33187</v>
          </cell>
          <cell r="EL21">
            <v>18305</v>
          </cell>
          <cell r="EM21">
            <v>160499</v>
          </cell>
          <cell r="EN21">
            <v>829544</v>
          </cell>
          <cell r="EO21">
            <v>1954468</v>
          </cell>
          <cell r="EP21">
            <v>219360</v>
          </cell>
          <cell r="EQ21">
            <v>0.1009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16454</v>
          </cell>
          <cell r="EY21">
            <v>178278</v>
          </cell>
          <cell r="EZ21">
            <v>28116</v>
          </cell>
          <cell r="FA21">
            <v>4178</v>
          </cell>
          <cell r="FB21">
            <v>10492</v>
          </cell>
          <cell r="FC21">
            <v>26471</v>
          </cell>
          <cell r="FD21">
            <v>977</v>
          </cell>
          <cell r="FE21">
            <v>9855</v>
          </cell>
          <cell r="FF21">
            <v>54587</v>
          </cell>
          <cell r="FG21">
            <v>5155</v>
          </cell>
          <cell r="FH21">
            <v>20347</v>
          </cell>
          <cell r="FI21">
            <v>80089</v>
          </cell>
          <cell r="FJ21">
            <v>81</v>
          </cell>
          <cell r="FK21">
            <v>265</v>
          </cell>
          <cell r="FM21">
            <v>80089</v>
          </cell>
          <cell r="FN21">
            <v>4905</v>
          </cell>
          <cell r="FO21">
            <v>6297</v>
          </cell>
          <cell r="FP21">
            <v>0</v>
          </cell>
          <cell r="FQ21">
            <v>8</v>
          </cell>
          <cell r="FR21">
            <v>88</v>
          </cell>
          <cell r="FS21">
            <v>96</v>
          </cell>
          <cell r="FT21">
            <v>44141</v>
          </cell>
          <cell r="FU21">
            <v>3505</v>
          </cell>
          <cell r="FV21">
            <v>0</v>
          </cell>
          <cell r="FW21">
            <v>0</v>
          </cell>
          <cell r="FX21">
            <v>8544</v>
          </cell>
          <cell r="FY21">
            <v>1573</v>
          </cell>
          <cell r="FZ21">
            <v>322</v>
          </cell>
          <cell r="GA21">
            <v>0</v>
          </cell>
          <cell r="GB21">
            <v>26436</v>
          </cell>
          <cell r="GC21">
            <v>1747</v>
          </cell>
          <cell r="GD21">
            <v>278</v>
          </cell>
          <cell r="GE21">
            <v>-1</v>
          </cell>
          <cell r="GJ21">
            <v>0</v>
          </cell>
          <cell r="GK21">
            <v>0</v>
          </cell>
          <cell r="GL21">
            <v>0</v>
          </cell>
          <cell r="GM21">
            <v>0</v>
          </cell>
          <cell r="GN21">
            <v>79121</v>
          </cell>
          <cell r="GO21">
            <v>6825</v>
          </cell>
          <cell r="GP21">
            <v>600</v>
          </cell>
          <cell r="GQ21">
            <v>-1</v>
          </cell>
          <cell r="GR21">
            <v>10</v>
          </cell>
          <cell r="GT21">
            <v>59169</v>
          </cell>
          <cell r="GU21">
            <v>7982</v>
          </cell>
          <cell r="GV21">
            <v>72430</v>
          </cell>
          <cell r="GW21">
            <v>24748</v>
          </cell>
          <cell r="GX21">
            <v>47</v>
          </cell>
          <cell r="GY21">
            <v>15743</v>
          </cell>
          <cell r="GZ21">
            <v>83917</v>
          </cell>
          <cell r="HA21">
            <v>8029</v>
          </cell>
          <cell r="HB21">
            <v>88173</v>
          </cell>
          <cell r="HC21">
            <v>180119</v>
          </cell>
          <cell r="HD21">
            <v>2849</v>
          </cell>
          <cell r="HE21">
            <v>182968</v>
          </cell>
          <cell r="HF21">
            <v>10714</v>
          </cell>
          <cell r="HG21">
            <v>34319</v>
          </cell>
          <cell r="HH21">
            <v>0</v>
          </cell>
          <cell r="HI21">
            <v>0</v>
          </cell>
          <cell r="HJ21">
            <v>45033</v>
          </cell>
          <cell r="HK21">
            <v>228001</v>
          </cell>
          <cell r="HL21">
            <v>137</v>
          </cell>
          <cell r="HM21">
            <v>32535</v>
          </cell>
          <cell r="HN21">
            <v>32672</v>
          </cell>
          <cell r="HO21">
            <v>538</v>
          </cell>
          <cell r="HP21">
            <v>5654</v>
          </cell>
          <cell r="HQ21">
            <v>6192</v>
          </cell>
          <cell r="HR21">
            <v>0</v>
          </cell>
          <cell r="HS21">
            <v>59</v>
          </cell>
          <cell r="HT21">
            <v>59</v>
          </cell>
          <cell r="HU21">
            <v>1395</v>
          </cell>
          <cell r="HV21">
            <v>40318</v>
          </cell>
          <cell r="HW21">
            <v>11595</v>
          </cell>
          <cell r="HX21">
            <v>0</v>
          </cell>
          <cell r="HY21">
            <v>11595</v>
          </cell>
          <cell r="HZ21">
            <v>51913</v>
          </cell>
          <cell r="IA21">
            <v>16906</v>
          </cell>
          <cell r="IB21">
            <v>51284</v>
          </cell>
          <cell r="IC21">
            <v>268319</v>
          </cell>
          <cell r="ID21">
            <v>268319</v>
          </cell>
          <cell r="IE21">
            <v>279914</v>
          </cell>
          <cell r="IF21">
            <v>96155</v>
          </cell>
          <cell r="IG21">
            <v>16</v>
          </cell>
          <cell r="IJ21">
            <v>1</v>
          </cell>
          <cell r="IK21">
            <v>3.8699999999999998E-2</v>
          </cell>
          <cell r="IL21">
            <v>1.5E-3</v>
          </cell>
          <cell r="IM21">
            <v>0.4854</v>
          </cell>
          <cell r="IN21">
            <v>0</v>
          </cell>
          <cell r="IO21">
            <v>0.44379999999999997</v>
          </cell>
          <cell r="IP21">
            <v>5.0000000000000001E-4</v>
          </cell>
          <cell r="IQ21">
            <v>0.44919999999999999</v>
          </cell>
          <cell r="IR21">
            <v>6.5799999999999997E-2</v>
          </cell>
          <cell r="IS21">
            <v>0.3584</v>
          </cell>
          <cell r="IT21">
            <v>31206</v>
          </cell>
          <cell r="IU21">
            <v>3812</v>
          </cell>
          <cell r="IV21">
            <v>35018</v>
          </cell>
          <cell r="IW21">
            <v>0.48759999999999998</v>
          </cell>
          <cell r="IX21">
            <v>181494</v>
          </cell>
          <cell r="IZ21">
            <v>237</v>
          </cell>
          <cell r="JA21">
            <v>17</v>
          </cell>
          <cell r="JB21">
            <v>517</v>
          </cell>
          <cell r="JC21">
            <v>32</v>
          </cell>
          <cell r="JD21">
            <v>2</v>
          </cell>
          <cell r="JE21">
            <v>77</v>
          </cell>
          <cell r="JF21">
            <v>269</v>
          </cell>
          <cell r="JG21">
            <v>19</v>
          </cell>
          <cell r="JH21">
            <v>594</v>
          </cell>
          <cell r="JI21">
            <v>882</v>
          </cell>
          <cell r="JJ21">
            <v>771</v>
          </cell>
          <cell r="JK21">
            <v>111</v>
          </cell>
          <cell r="JL21">
            <v>2512</v>
          </cell>
          <cell r="JM21">
            <v>573</v>
          </cell>
          <cell r="JN21">
            <v>15765</v>
          </cell>
          <cell r="JO21">
            <v>303</v>
          </cell>
          <cell r="JP21">
            <v>0</v>
          </cell>
          <cell r="JQ21">
            <v>6110</v>
          </cell>
          <cell r="JR21">
            <v>2815</v>
          </cell>
          <cell r="JS21">
            <v>573</v>
          </cell>
          <cell r="JT21">
            <v>21875</v>
          </cell>
          <cell r="JU21">
            <v>25263</v>
          </cell>
          <cell r="JV21">
            <v>18850</v>
          </cell>
          <cell r="JW21">
            <v>6413</v>
          </cell>
          <cell r="JX21">
            <v>28.64</v>
          </cell>
          <cell r="JY21">
            <v>10.46</v>
          </cell>
          <cell r="JZ21">
            <v>36.83</v>
          </cell>
          <cell r="KA21">
            <v>0.11</v>
          </cell>
          <cell r="KB21">
            <v>0.87</v>
          </cell>
          <cell r="KC21">
            <v>1</v>
          </cell>
          <cell r="KD21">
            <v>4</v>
          </cell>
          <cell r="KE21">
            <v>38</v>
          </cell>
          <cell r="KF21">
            <v>255</v>
          </cell>
          <cell r="KG21">
            <v>0</v>
          </cell>
          <cell r="KH21">
            <v>0</v>
          </cell>
          <cell r="KI21">
            <v>0</v>
          </cell>
          <cell r="KJ21">
            <v>0</v>
          </cell>
          <cell r="KK21">
            <v>0</v>
          </cell>
          <cell r="KL21">
            <v>0</v>
          </cell>
          <cell r="KM21">
            <v>26634</v>
          </cell>
          <cell r="KN21">
            <v>21258</v>
          </cell>
          <cell r="KO21">
            <v>1003</v>
          </cell>
          <cell r="KQ21">
            <v>273</v>
          </cell>
          <cell r="KR21">
            <v>3725</v>
          </cell>
          <cell r="KS21">
            <v>0</v>
          </cell>
          <cell r="KT21">
            <v>330</v>
          </cell>
          <cell r="KU21">
            <v>24</v>
          </cell>
          <cell r="KV21">
            <v>57</v>
          </cell>
          <cell r="KW21">
            <v>29435</v>
          </cell>
          <cell r="LC21" t="str">
            <v>WREN MEMORIAL LIBRARY</v>
          </cell>
          <cell r="LD21" t="str">
            <v>City Owned</v>
          </cell>
          <cell r="LE21" t="str">
            <v>500 N 2ND AVE</v>
          </cell>
          <cell r="LF21" t="str">
            <v>SILER CITY</v>
          </cell>
          <cell r="LG21">
            <v>27344</v>
          </cell>
          <cell r="LH21">
            <v>3123</v>
          </cell>
          <cell r="LI21" t="str">
            <v>500 N 2ND AVE</v>
          </cell>
          <cell r="LJ21" t="str">
            <v>SILER CITY</v>
          </cell>
          <cell r="LK21">
            <v>27344</v>
          </cell>
          <cell r="LL21">
            <v>3123</v>
          </cell>
          <cell r="LM21" t="str">
            <v>CHATHAM</v>
          </cell>
          <cell r="LN21">
            <v>9197422016</v>
          </cell>
          <cell r="LP21">
            <v>35000</v>
          </cell>
          <cell r="LQ21">
            <v>11.75</v>
          </cell>
          <cell r="LS21">
            <v>7100</v>
          </cell>
          <cell r="LT21">
            <v>156</v>
          </cell>
          <cell r="LW21">
            <v>4</v>
          </cell>
          <cell r="LX21" t="str">
            <v>C-CHATHAM-W</v>
          </cell>
          <cell r="LY21">
            <v>0</v>
          </cell>
          <cell r="LZ21" t="str">
            <v>BR</v>
          </cell>
          <cell r="MA21">
            <v>1.6</v>
          </cell>
          <cell r="MB21">
            <v>15</v>
          </cell>
        </row>
        <row r="22">
          <cell r="A22" t="str">
            <v>NC0024</v>
          </cell>
          <cell r="B22">
            <v>0</v>
          </cell>
          <cell r="C22">
            <v>1375</v>
          </cell>
          <cell r="D22">
            <v>2017</v>
          </cell>
          <cell r="E22">
            <v>0</v>
          </cell>
          <cell r="F22" t="str">
            <v>NC0024</v>
          </cell>
          <cell r="G22" t="str">
            <v>C-CLEVELAND</v>
          </cell>
          <cell r="H22" t="str">
            <v>NO</v>
          </cell>
          <cell r="I22" t="str">
            <v>CO</v>
          </cell>
          <cell r="J22" t="str">
            <v>MO</v>
          </cell>
          <cell r="K22" t="str">
            <v>Y</v>
          </cell>
          <cell r="L22" t="str">
            <v>CO2</v>
          </cell>
          <cell r="M22" t="str">
            <v>N</v>
          </cell>
          <cell r="N22">
            <v>88272</v>
          </cell>
          <cell r="O22" t="str">
            <v>Yes</v>
          </cell>
          <cell r="P22">
            <v>698</v>
          </cell>
          <cell r="Q22">
            <v>15</v>
          </cell>
          <cell r="R22">
            <v>26</v>
          </cell>
          <cell r="S22">
            <v>7</v>
          </cell>
          <cell r="T22">
            <v>1202</v>
          </cell>
          <cell r="U22">
            <v>42</v>
          </cell>
          <cell r="V22">
            <v>16791</v>
          </cell>
          <cell r="W22">
            <v>1777</v>
          </cell>
          <cell r="X22">
            <v>10126124</v>
          </cell>
          <cell r="Y22">
            <v>19170</v>
          </cell>
          <cell r="Z22" t="str">
            <v>PO BOX 1120</v>
          </cell>
          <cell r="AA22" t="str">
            <v>SHELBY</v>
          </cell>
          <cell r="AB22">
            <v>28151</v>
          </cell>
          <cell r="AC22">
            <v>1120</v>
          </cell>
          <cell r="AD22" t="str">
            <v>104 HOWIE DR</v>
          </cell>
          <cell r="AE22" t="str">
            <v>SHELBY</v>
          </cell>
          <cell r="AF22">
            <v>28150</v>
          </cell>
          <cell r="AG22">
            <v>2</v>
          </cell>
          <cell r="AH22" t="str">
            <v>CLEVELAND COUNTY MEMORIAL LIBRARY</v>
          </cell>
          <cell r="AJ22" t="str">
            <v>County</v>
          </cell>
          <cell r="AK22" t="str">
            <v>CLEVELAND</v>
          </cell>
          <cell r="AL22" t="str">
            <v>Carol H. WIlson</v>
          </cell>
          <cell r="AM22" t="str">
            <v>(704) 487-9069</v>
          </cell>
          <cell r="AN22" t="str">
            <v>(704) 487-4856</v>
          </cell>
          <cell r="AO22" t="str">
            <v>cwilson@ccml.org</v>
          </cell>
          <cell r="AP22" t="str">
            <v>Carol Wilson</v>
          </cell>
          <cell r="AQ22" t="str">
            <v>Director</v>
          </cell>
          <cell r="AR22" t="str">
            <v>(704) 487-9069</v>
          </cell>
          <cell r="AS22" t="str">
            <v>(704) 487-4856</v>
          </cell>
          <cell r="AT22" t="str">
            <v>cwilson@ccml.org</v>
          </cell>
          <cell r="AU22" t="str">
            <v>www.ccml.org</v>
          </cell>
          <cell r="BC22">
            <v>1</v>
          </cell>
          <cell r="BD22">
            <v>1</v>
          </cell>
          <cell r="BE22">
            <v>0</v>
          </cell>
          <cell r="BF22">
            <v>1</v>
          </cell>
          <cell r="BG22">
            <v>3</v>
          </cell>
          <cell r="BI22">
            <v>3597</v>
          </cell>
          <cell r="BJ22">
            <v>3</v>
          </cell>
          <cell r="BK22">
            <v>0</v>
          </cell>
          <cell r="BL22">
            <v>3</v>
          </cell>
          <cell r="BM22">
            <v>15.25</v>
          </cell>
          <cell r="BN22">
            <v>18.25</v>
          </cell>
          <cell r="BO22">
            <v>0.16439999999999999</v>
          </cell>
          <cell r="BP22">
            <v>1516</v>
          </cell>
          <cell r="BQ22">
            <v>69401</v>
          </cell>
          <cell r="BT22">
            <v>53646</v>
          </cell>
          <cell r="BU22">
            <v>32052</v>
          </cell>
          <cell r="BV22">
            <v>32052</v>
          </cell>
          <cell r="BW22">
            <v>32052</v>
          </cell>
          <cell r="CG22">
            <v>36900</v>
          </cell>
          <cell r="CH22">
            <v>36900</v>
          </cell>
          <cell r="CI22">
            <v>36900</v>
          </cell>
          <cell r="CK22">
            <v>32052</v>
          </cell>
          <cell r="CL22">
            <v>32052</v>
          </cell>
          <cell r="CM22">
            <v>32052</v>
          </cell>
          <cell r="CO22">
            <v>38646</v>
          </cell>
          <cell r="CP22">
            <v>38646</v>
          </cell>
          <cell r="CQ22">
            <v>38646</v>
          </cell>
          <cell r="DK22">
            <v>27882</v>
          </cell>
          <cell r="DL22">
            <v>27882</v>
          </cell>
          <cell r="DM22">
            <v>27882</v>
          </cell>
          <cell r="DO22">
            <v>28554</v>
          </cell>
          <cell r="DP22">
            <v>28554</v>
          </cell>
          <cell r="DQ22">
            <v>28554</v>
          </cell>
          <cell r="DV22">
            <v>0</v>
          </cell>
          <cell r="DW22">
            <v>837432</v>
          </cell>
          <cell r="DX22">
            <v>837432</v>
          </cell>
          <cell r="DY22">
            <v>138260</v>
          </cell>
          <cell r="DZ22">
            <v>0</v>
          </cell>
          <cell r="EA22">
            <v>138260</v>
          </cell>
          <cell r="EB22">
            <v>5313</v>
          </cell>
          <cell r="EC22">
            <v>0</v>
          </cell>
          <cell r="ED22">
            <v>5313</v>
          </cell>
          <cell r="EE22">
            <v>80604</v>
          </cell>
          <cell r="EF22">
            <v>1061609</v>
          </cell>
          <cell r="EG22">
            <v>558114</v>
          </cell>
          <cell r="EH22">
            <v>231904</v>
          </cell>
          <cell r="EI22">
            <v>790018</v>
          </cell>
          <cell r="EJ22">
            <v>76989</v>
          </cell>
          <cell r="EK22">
            <v>8111</v>
          </cell>
          <cell r="EL22">
            <v>4490</v>
          </cell>
          <cell r="EM22">
            <v>89590</v>
          </cell>
          <cell r="EN22">
            <v>182001</v>
          </cell>
          <cell r="EO22">
            <v>1061609</v>
          </cell>
          <cell r="EP22">
            <v>0</v>
          </cell>
          <cell r="EQ22">
            <v>0</v>
          </cell>
          <cell r="ER22">
            <v>10150</v>
          </cell>
          <cell r="ES22">
            <v>0</v>
          </cell>
          <cell r="ET22">
            <v>0</v>
          </cell>
          <cell r="EU22">
            <v>0</v>
          </cell>
          <cell r="EV22">
            <v>10150</v>
          </cell>
          <cell r="EW22">
            <v>10150</v>
          </cell>
          <cell r="EX22">
            <v>10489</v>
          </cell>
          <cell r="EY22">
            <v>195588</v>
          </cell>
          <cell r="EZ22">
            <v>30088</v>
          </cell>
          <cell r="FA22">
            <v>3554</v>
          </cell>
          <cell r="FB22">
            <v>24551</v>
          </cell>
          <cell r="FC22">
            <v>28360</v>
          </cell>
          <cell r="FD22">
            <v>26</v>
          </cell>
          <cell r="FE22">
            <v>9262</v>
          </cell>
          <cell r="FF22">
            <v>58448</v>
          </cell>
          <cell r="FG22">
            <v>3580</v>
          </cell>
          <cell r="FH22">
            <v>33813</v>
          </cell>
          <cell r="FI22">
            <v>95841</v>
          </cell>
          <cell r="FJ22">
            <v>5812</v>
          </cell>
          <cell r="FK22">
            <v>88</v>
          </cell>
          <cell r="FM22">
            <v>95841</v>
          </cell>
          <cell r="FN22">
            <v>1785</v>
          </cell>
          <cell r="FO22">
            <v>3452</v>
          </cell>
          <cell r="FP22">
            <v>1974</v>
          </cell>
          <cell r="FQ22">
            <v>2</v>
          </cell>
          <cell r="FR22">
            <v>88</v>
          </cell>
          <cell r="FS22">
            <v>90</v>
          </cell>
          <cell r="FT22">
            <v>44141</v>
          </cell>
          <cell r="FU22">
            <v>3505</v>
          </cell>
          <cell r="FV22">
            <v>0</v>
          </cell>
          <cell r="FW22">
            <v>0</v>
          </cell>
          <cell r="FX22">
            <v>8544</v>
          </cell>
          <cell r="FY22">
            <v>1573</v>
          </cell>
          <cell r="FZ22">
            <v>322</v>
          </cell>
          <cell r="GA22">
            <v>0</v>
          </cell>
          <cell r="GB22">
            <v>26436</v>
          </cell>
          <cell r="GC22">
            <v>1747</v>
          </cell>
          <cell r="GD22">
            <v>278</v>
          </cell>
          <cell r="GJ22">
            <v>0</v>
          </cell>
          <cell r="GK22">
            <v>0</v>
          </cell>
          <cell r="GL22">
            <v>0</v>
          </cell>
          <cell r="GM22">
            <v>0</v>
          </cell>
          <cell r="GN22">
            <v>79121</v>
          </cell>
          <cell r="GO22">
            <v>6825</v>
          </cell>
          <cell r="GP22">
            <v>600</v>
          </cell>
          <cell r="GQ22">
            <v>0</v>
          </cell>
          <cell r="GR22">
            <v>28</v>
          </cell>
          <cell r="GT22">
            <v>59676</v>
          </cell>
          <cell r="GU22">
            <v>4814</v>
          </cell>
          <cell r="GV22">
            <v>39228</v>
          </cell>
          <cell r="GW22">
            <v>15937</v>
          </cell>
          <cell r="GX22">
            <v>72</v>
          </cell>
          <cell r="GY22">
            <v>7639</v>
          </cell>
          <cell r="GZ22">
            <v>75613</v>
          </cell>
          <cell r="HA22">
            <v>4886</v>
          </cell>
          <cell r="HB22">
            <v>46867</v>
          </cell>
          <cell r="HC22">
            <v>127366</v>
          </cell>
          <cell r="HD22">
            <v>4</v>
          </cell>
          <cell r="HE22">
            <v>134147</v>
          </cell>
          <cell r="HF22">
            <v>4913</v>
          </cell>
          <cell r="HG22">
            <v>17080</v>
          </cell>
          <cell r="HH22">
            <v>6777</v>
          </cell>
          <cell r="HI22">
            <v>5330</v>
          </cell>
          <cell r="HJ22">
            <v>27323</v>
          </cell>
          <cell r="HK22">
            <v>161470</v>
          </cell>
          <cell r="HL22">
            <v>49</v>
          </cell>
          <cell r="HM22">
            <v>12157</v>
          </cell>
          <cell r="HN22">
            <v>12206</v>
          </cell>
          <cell r="HO22">
            <v>157</v>
          </cell>
          <cell r="HP22">
            <v>2473</v>
          </cell>
          <cell r="HQ22">
            <v>2630</v>
          </cell>
          <cell r="HR22">
            <v>0</v>
          </cell>
          <cell r="HS22">
            <v>56</v>
          </cell>
          <cell r="HT22">
            <v>56</v>
          </cell>
          <cell r="HU22">
            <v>431</v>
          </cell>
          <cell r="HV22">
            <v>15323</v>
          </cell>
          <cell r="HW22">
            <v>10433</v>
          </cell>
          <cell r="HX22">
            <v>4890</v>
          </cell>
          <cell r="HY22">
            <v>15323</v>
          </cell>
          <cell r="HZ22">
            <v>30646</v>
          </cell>
          <cell r="IA22">
            <v>7543</v>
          </cell>
          <cell r="IB22">
            <v>24679</v>
          </cell>
          <cell r="IC22">
            <v>176793</v>
          </cell>
          <cell r="ID22">
            <v>176793</v>
          </cell>
          <cell r="IE22">
            <v>192116</v>
          </cell>
          <cell r="IF22">
            <v>51982</v>
          </cell>
          <cell r="IG22">
            <v>0</v>
          </cell>
          <cell r="IJ22">
            <v>3</v>
          </cell>
          <cell r="IK22">
            <v>2.07E-2</v>
          </cell>
          <cell r="IL22">
            <v>4.0000000000000002E-4</v>
          </cell>
          <cell r="IM22">
            <v>0.4425</v>
          </cell>
          <cell r="IN22">
            <v>0</v>
          </cell>
          <cell r="IO22">
            <v>0.40450000000000003</v>
          </cell>
          <cell r="IP22">
            <v>5.0000000000000001E-4</v>
          </cell>
          <cell r="IQ22">
            <v>0.49</v>
          </cell>
          <cell r="IR22">
            <v>4.3999999999999997E-2</v>
          </cell>
          <cell r="IS22">
            <v>0.29399999999999998</v>
          </cell>
          <cell r="IT22">
            <v>26475</v>
          </cell>
          <cell r="IU22">
            <v>152</v>
          </cell>
          <cell r="IV22">
            <v>26627</v>
          </cell>
          <cell r="IW22">
            <v>0.30159999999999998</v>
          </cell>
          <cell r="IX22">
            <v>169303</v>
          </cell>
          <cell r="IZ22">
            <v>58</v>
          </cell>
          <cell r="JA22">
            <v>10</v>
          </cell>
          <cell r="JB22">
            <v>117</v>
          </cell>
          <cell r="JC22">
            <v>73</v>
          </cell>
          <cell r="JD22">
            <v>0</v>
          </cell>
          <cell r="JE22">
            <v>276</v>
          </cell>
          <cell r="JF22">
            <v>131</v>
          </cell>
          <cell r="JG22">
            <v>10</v>
          </cell>
          <cell r="JH22">
            <v>393</v>
          </cell>
          <cell r="JI22">
            <v>534</v>
          </cell>
          <cell r="JJ22">
            <v>185</v>
          </cell>
          <cell r="JK22">
            <v>349</v>
          </cell>
          <cell r="JL22">
            <v>695</v>
          </cell>
          <cell r="JM22">
            <v>158</v>
          </cell>
          <cell r="JN22">
            <v>4772</v>
          </cell>
          <cell r="JO22">
            <v>940</v>
          </cell>
          <cell r="JP22">
            <v>0</v>
          </cell>
          <cell r="JQ22">
            <v>5515</v>
          </cell>
          <cell r="JR22">
            <v>1635</v>
          </cell>
          <cell r="JS22">
            <v>158</v>
          </cell>
          <cell r="JT22">
            <v>10287</v>
          </cell>
          <cell r="JU22">
            <v>12080</v>
          </cell>
          <cell r="JV22">
            <v>5625</v>
          </cell>
          <cell r="JW22">
            <v>6455</v>
          </cell>
          <cell r="JX22">
            <v>22.62</v>
          </cell>
          <cell r="JY22">
            <v>12.48</v>
          </cell>
          <cell r="JZ22">
            <v>26.18</v>
          </cell>
          <cell r="KA22">
            <v>0.14000000000000001</v>
          </cell>
          <cell r="KB22">
            <v>0.85</v>
          </cell>
          <cell r="KC22">
            <v>32</v>
          </cell>
          <cell r="KD22">
            <v>123</v>
          </cell>
          <cell r="KE22">
            <v>2</v>
          </cell>
          <cell r="KF22">
            <v>7</v>
          </cell>
          <cell r="KM22">
            <v>48931</v>
          </cell>
          <cell r="KN22">
            <v>35002</v>
          </cell>
          <cell r="KO22">
            <v>12680</v>
          </cell>
          <cell r="KQ22">
            <v>683</v>
          </cell>
          <cell r="KR22">
            <v>7481</v>
          </cell>
          <cell r="KS22">
            <v>14558</v>
          </cell>
          <cell r="KT22">
            <v>14614</v>
          </cell>
          <cell r="KU22">
            <v>23</v>
          </cell>
          <cell r="KV22">
            <v>32</v>
          </cell>
          <cell r="KW22">
            <v>26820</v>
          </cell>
          <cell r="KY22">
            <v>121856</v>
          </cell>
          <cell r="LC22" t="str">
            <v>CLEVELAND COUNTY MEMORIAL LIBRARY</v>
          </cell>
          <cell r="LD22" t="str">
            <v>County Owned</v>
          </cell>
          <cell r="LE22" t="str">
            <v>PO BOX 1120</v>
          </cell>
          <cell r="LF22" t="str">
            <v>SHELBY</v>
          </cell>
          <cell r="LG22">
            <v>28151</v>
          </cell>
          <cell r="LH22">
            <v>1120</v>
          </cell>
          <cell r="LI22" t="str">
            <v>104 HOWIE DR</v>
          </cell>
          <cell r="LJ22" t="str">
            <v>SHELBY</v>
          </cell>
          <cell r="LK22">
            <v>28150</v>
          </cell>
          <cell r="LL22">
            <v>5036</v>
          </cell>
          <cell r="LM22" t="str">
            <v>CLEVELAND</v>
          </cell>
          <cell r="LN22">
            <v>7044879069</v>
          </cell>
          <cell r="LO22">
            <v>7044874856</v>
          </cell>
          <cell r="LP22">
            <v>29000</v>
          </cell>
          <cell r="LQ22">
            <v>18.25</v>
          </cell>
          <cell r="LS22">
            <v>3597</v>
          </cell>
          <cell r="LT22">
            <v>104</v>
          </cell>
          <cell r="LW22">
            <v>2</v>
          </cell>
          <cell r="LX22" t="str">
            <v>C-CLEVELAND-C</v>
          </cell>
          <cell r="LY22">
            <v>0</v>
          </cell>
          <cell r="LZ22" t="str">
            <v>CE</v>
          </cell>
          <cell r="MA22">
            <v>50</v>
          </cell>
          <cell r="MB22">
            <v>50</v>
          </cell>
        </row>
        <row r="23">
          <cell r="A23" t="str">
            <v>NC0025</v>
          </cell>
          <cell r="B23">
            <v>0</v>
          </cell>
          <cell r="C23">
            <v>1375</v>
          </cell>
          <cell r="D23">
            <v>2017</v>
          </cell>
          <cell r="E23">
            <v>0</v>
          </cell>
          <cell r="F23" t="str">
            <v>NC0025</v>
          </cell>
          <cell r="G23" t="str">
            <v>C-COLUMBUS</v>
          </cell>
          <cell r="H23" t="str">
            <v>NO</v>
          </cell>
          <cell r="I23" t="str">
            <v>CO</v>
          </cell>
          <cell r="J23" t="str">
            <v>MO</v>
          </cell>
          <cell r="K23" t="str">
            <v>Y</v>
          </cell>
          <cell r="L23" t="str">
            <v>CO1</v>
          </cell>
          <cell r="M23" t="str">
            <v>N</v>
          </cell>
          <cell r="N23">
            <v>57206</v>
          </cell>
          <cell r="O23" t="str">
            <v>Yes</v>
          </cell>
          <cell r="R23">
            <v>32</v>
          </cell>
          <cell r="S23">
            <v>15</v>
          </cell>
          <cell r="T23">
            <v>279</v>
          </cell>
          <cell r="U23">
            <v>96</v>
          </cell>
          <cell r="V23">
            <v>7086</v>
          </cell>
          <cell r="Z23" t="str">
            <v>407 N JK POWELL BLVD</v>
          </cell>
          <cell r="AA23" t="str">
            <v>WHITEVILLE</v>
          </cell>
          <cell r="AB23">
            <v>28472</v>
          </cell>
          <cell r="AC23">
            <v>3977</v>
          </cell>
          <cell r="AD23" t="str">
            <v>407 N JK POWELL BLVD</v>
          </cell>
          <cell r="AE23" t="str">
            <v>WHITEVILLE</v>
          </cell>
          <cell r="AF23">
            <v>28472</v>
          </cell>
          <cell r="AG23">
            <v>1</v>
          </cell>
          <cell r="AH23" t="str">
            <v>COLUMBUS COUNTY PUBLIC LIBRARY</v>
          </cell>
          <cell r="AJ23" t="str">
            <v>County</v>
          </cell>
          <cell r="AK23" t="str">
            <v>COLUMBUS</v>
          </cell>
          <cell r="AL23" t="str">
            <v>Morris Pridgen Jr.</v>
          </cell>
          <cell r="AM23" t="str">
            <v>(910) 642-3116</v>
          </cell>
          <cell r="AN23" t="str">
            <v>(910) 642-3839</v>
          </cell>
          <cell r="AO23" t="str">
            <v>mpridgen@columbusco.org</v>
          </cell>
          <cell r="AP23" t="str">
            <v>Morris Pridgen, Jr.</v>
          </cell>
          <cell r="AQ23" t="str">
            <v>Library Director</v>
          </cell>
          <cell r="AR23" t="str">
            <v>(910) 641-3977</v>
          </cell>
          <cell r="AS23" t="str">
            <v>(910) 642-3839</v>
          </cell>
          <cell r="AT23" t="str">
            <v>mpridgen@columbusco.org</v>
          </cell>
          <cell r="AU23" t="str">
            <v>http://ccplnc.weebly.com</v>
          </cell>
          <cell r="BC23">
            <v>1</v>
          </cell>
          <cell r="BD23">
            <v>5</v>
          </cell>
          <cell r="BE23">
            <v>1</v>
          </cell>
          <cell r="BF23">
            <v>2</v>
          </cell>
          <cell r="BG23">
            <v>9</v>
          </cell>
          <cell r="BI23">
            <v>13244</v>
          </cell>
          <cell r="BJ23">
            <v>1</v>
          </cell>
          <cell r="BK23">
            <v>0</v>
          </cell>
          <cell r="BL23">
            <v>1</v>
          </cell>
          <cell r="BM23">
            <v>24</v>
          </cell>
          <cell r="BN23">
            <v>25</v>
          </cell>
          <cell r="BO23">
            <v>0.04</v>
          </cell>
          <cell r="BP23">
            <v>32</v>
          </cell>
          <cell r="BQ23">
            <v>58355</v>
          </cell>
          <cell r="BU23">
            <v>29416</v>
          </cell>
          <cell r="BV23">
            <v>42024</v>
          </cell>
          <cell r="BW23">
            <v>32267</v>
          </cell>
          <cell r="BY23">
            <v>30769</v>
          </cell>
          <cell r="BZ23">
            <v>43958</v>
          </cell>
          <cell r="CA23">
            <v>36885</v>
          </cell>
          <cell r="CC23">
            <v>30769</v>
          </cell>
          <cell r="CD23">
            <v>43958</v>
          </cell>
          <cell r="CE23">
            <v>39488</v>
          </cell>
          <cell r="CG23">
            <v>30769</v>
          </cell>
          <cell r="CH23">
            <v>43958</v>
          </cell>
          <cell r="CI23">
            <v>34788</v>
          </cell>
          <cell r="CK23">
            <v>28016</v>
          </cell>
          <cell r="CL23">
            <v>42024</v>
          </cell>
          <cell r="CM23">
            <v>30621</v>
          </cell>
          <cell r="CO23">
            <v>33666</v>
          </cell>
          <cell r="CP23">
            <v>48095</v>
          </cell>
          <cell r="CQ23">
            <v>37611</v>
          </cell>
          <cell r="CR23">
            <v>30769</v>
          </cell>
          <cell r="CS23">
            <v>43958</v>
          </cell>
          <cell r="CT23">
            <v>36885</v>
          </cell>
          <cell r="CV23">
            <v>30769</v>
          </cell>
          <cell r="CW23">
            <v>43958</v>
          </cell>
          <cell r="CX23">
            <v>39488</v>
          </cell>
          <cell r="CZ23">
            <v>30769</v>
          </cell>
          <cell r="DA23">
            <v>43958</v>
          </cell>
          <cell r="DB23">
            <v>34788</v>
          </cell>
          <cell r="DD23">
            <v>28016</v>
          </cell>
          <cell r="DE23">
            <v>42024</v>
          </cell>
          <cell r="DF23">
            <v>30621</v>
          </cell>
          <cell r="DH23">
            <v>33666</v>
          </cell>
          <cell r="DI23">
            <v>48095</v>
          </cell>
          <cell r="DJ23">
            <v>37611</v>
          </cell>
          <cell r="DK23">
            <v>0</v>
          </cell>
          <cell r="DL23">
            <v>0</v>
          </cell>
          <cell r="DM23">
            <v>0</v>
          </cell>
          <cell r="DO23">
            <v>25703</v>
          </cell>
          <cell r="DP23">
            <v>36720</v>
          </cell>
          <cell r="DQ23">
            <v>27666</v>
          </cell>
          <cell r="DS23">
            <v>32063</v>
          </cell>
          <cell r="DT23">
            <v>48095</v>
          </cell>
          <cell r="DU23">
            <v>33150</v>
          </cell>
          <cell r="DV23">
            <v>0</v>
          </cell>
          <cell r="DW23">
            <v>1249869</v>
          </cell>
          <cell r="DX23">
            <v>1249869</v>
          </cell>
          <cell r="DY23">
            <v>114987</v>
          </cell>
          <cell r="DZ23">
            <v>100000</v>
          </cell>
          <cell r="EA23">
            <v>214987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1464856</v>
          </cell>
          <cell r="EG23">
            <v>802861</v>
          </cell>
          <cell r="EH23">
            <v>308435</v>
          </cell>
          <cell r="EI23">
            <v>1111296</v>
          </cell>
          <cell r="EJ23">
            <v>93500</v>
          </cell>
          <cell r="EK23">
            <v>8700</v>
          </cell>
          <cell r="EL23">
            <v>5500</v>
          </cell>
          <cell r="EM23">
            <v>107700</v>
          </cell>
          <cell r="EN23">
            <v>145860</v>
          </cell>
          <cell r="EO23">
            <v>1364856</v>
          </cell>
          <cell r="EP23">
            <v>100000</v>
          </cell>
          <cell r="EQ23">
            <v>6.83E-2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12999</v>
          </cell>
          <cell r="EY23">
            <v>274008</v>
          </cell>
          <cell r="EZ23">
            <v>66247</v>
          </cell>
          <cell r="FA23">
            <v>5962</v>
          </cell>
          <cell r="FB23">
            <v>36671</v>
          </cell>
          <cell r="FC23">
            <v>51405</v>
          </cell>
          <cell r="FD23">
            <v>3914</v>
          </cell>
          <cell r="FE23">
            <v>14892</v>
          </cell>
          <cell r="FF23">
            <v>117652</v>
          </cell>
          <cell r="FG23">
            <v>9876</v>
          </cell>
          <cell r="FH23">
            <v>51563</v>
          </cell>
          <cell r="FI23">
            <v>179091</v>
          </cell>
          <cell r="FJ23">
            <v>0</v>
          </cell>
          <cell r="FK23">
            <v>351</v>
          </cell>
          <cell r="FM23">
            <v>179091</v>
          </cell>
          <cell r="FN23">
            <v>2012</v>
          </cell>
          <cell r="FO23">
            <v>5735</v>
          </cell>
          <cell r="FP23">
            <v>-1</v>
          </cell>
          <cell r="FQ23">
            <v>0</v>
          </cell>
          <cell r="FR23">
            <v>88</v>
          </cell>
          <cell r="FS23">
            <v>88</v>
          </cell>
          <cell r="FT23">
            <v>44141</v>
          </cell>
          <cell r="FU23">
            <v>3505</v>
          </cell>
          <cell r="FV23">
            <v>0</v>
          </cell>
          <cell r="FW23">
            <v>0</v>
          </cell>
          <cell r="FX23">
            <v>8544</v>
          </cell>
          <cell r="FY23">
            <v>1573</v>
          </cell>
          <cell r="FZ23">
            <v>322</v>
          </cell>
          <cell r="GA23">
            <v>0</v>
          </cell>
          <cell r="GB23">
            <v>26436</v>
          </cell>
          <cell r="GC23">
            <v>1747</v>
          </cell>
          <cell r="GD23">
            <v>278</v>
          </cell>
          <cell r="GE23">
            <v>0</v>
          </cell>
          <cell r="GF23">
            <v>0</v>
          </cell>
          <cell r="GG23">
            <v>0</v>
          </cell>
          <cell r="GH23">
            <v>0</v>
          </cell>
          <cell r="GI23">
            <v>0</v>
          </cell>
          <cell r="GJ23">
            <v>186</v>
          </cell>
          <cell r="GK23">
            <v>0</v>
          </cell>
          <cell r="GL23">
            <v>0</v>
          </cell>
          <cell r="GM23">
            <v>0</v>
          </cell>
          <cell r="GN23">
            <v>79307</v>
          </cell>
          <cell r="GO23">
            <v>6825</v>
          </cell>
          <cell r="GP23">
            <v>600</v>
          </cell>
          <cell r="GQ23">
            <v>0</v>
          </cell>
          <cell r="GR23">
            <v>28</v>
          </cell>
          <cell r="GT23">
            <v>48358</v>
          </cell>
          <cell r="GU23">
            <v>2119</v>
          </cell>
          <cell r="GV23">
            <v>16553</v>
          </cell>
          <cell r="GW23">
            <v>10969</v>
          </cell>
          <cell r="GX23">
            <v>951</v>
          </cell>
          <cell r="GY23">
            <v>3847</v>
          </cell>
          <cell r="GZ23">
            <v>59327</v>
          </cell>
          <cell r="HA23">
            <v>3070</v>
          </cell>
          <cell r="HB23">
            <v>20400</v>
          </cell>
          <cell r="HC23">
            <v>82797</v>
          </cell>
          <cell r="HD23">
            <v>2115</v>
          </cell>
          <cell r="HE23">
            <v>84912</v>
          </cell>
          <cell r="HF23">
            <v>1952</v>
          </cell>
          <cell r="HG23">
            <v>12150</v>
          </cell>
          <cell r="HH23">
            <v>0</v>
          </cell>
          <cell r="HI23">
            <v>0</v>
          </cell>
          <cell r="HJ23">
            <v>14102</v>
          </cell>
          <cell r="HK23">
            <v>99014</v>
          </cell>
          <cell r="HL23">
            <v>24</v>
          </cell>
          <cell r="HM23">
            <v>2580</v>
          </cell>
          <cell r="HN23">
            <v>2604</v>
          </cell>
          <cell r="HO23">
            <v>13</v>
          </cell>
          <cell r="HP23">
            <v>825</v>
          </cell>
          <cell r="HQ23">
            <v>838</v>
          </cell>
          <cell r="HR23">
            <v>0</v>
          </cell>
          <cell r="HS23">
            <v>7</v>
          </cell>
          <cell r="HT23">
            <v>7</v>
          </cell>
          <cell r="HU23">
            <v>0</v>
          </cell>
          <cell r="HV23">
            <v>3449</v>
          </cell>
          <cell r="HW23">
            <v>3866</v>
          </cell>
          <cell r="HX23">
            <v>0</v>
          </cell>
          <cell r="HY23">
            <v>3866</v>
          </cell>
          <cell r="HZ23">
            <v>7315</v>
          </cell>
          <cell r="IA23">
            <v>2790</v>
          </cell>
          <cell r="IB23">
            <v>14947</v>
          </cell>
          <cell r="IC23">
            <v>102463</v>
          </cell>
          <cell r="ID23">
            <v>102463</v>
          </cell>
          <cell r="IE23">
            <v>106329</v>
          </cell>
          <cell r="IF23">
            <v>22817</v>
          </cell>
          <cell r="IG23">
            <v>269</v>
          </cell>
          <cell r="IJ23">
            <v>3</v>
          </cell>
          <cell r="IK23">
            <v>2.3099999999999999E-2</v>
          </cell>
          <cell r="IL23">
            <v>1.2999999999999999E-3</v>
          </cell>
          <cell r="IM23">
            <v>0.3165</v>
          </cell>
          <cell r="IN23">
            <v>0</v>
          </cell>
          <cell r="IO23">
            <v>0.28939999999999999</v>
          </cell>
          <cell r="IP23">
            <v>2.9999999999999997E-4</v>
          </cell>
          <cell r="IQ23">
            <v>0.65359999999999996</v>
          </cell>
          <cell r="IR23">
            <v>3.2300000000000002E-2</v>
          </cell>
          <cell r="IS23">
            <v>0.22270000000000001</v>
          </cell>
          <cell r="IT23">
            <v>30829</v>
          </cell>
          <cell r="IU23">
            <v>11417</v>
          </cell>
          <cell r="IV23">
            <v>42246</v>
          </cell>
          <cell r="IW23">
            <v>0.73850000000000005</v>
          </cell>
          <cell r="IX23">
            <v>88096</v>
          </cell>
          <cell r="IZ23">
            <v>31</v>
          </cell>
          <cell r="JA23">
            <v>23</v>
          </cell>
          <cell r="JB23">
            <v>113</v>
          </cell>
          <cell r="JC23">
            <v>17</v>
          </cell>
          <cell r="JD23">
            <v>19</v>
          </cell>
          <cell r="JE23">
            <v>649</v>
          </cell>
          <cell r="JF23">
            <v>48</v>
          </cell>
          <cell r="JG23">
            <v>42</v>
          </cell>
          <cell r="JH23">
            <v>762</v>
          </cell>
          <cell r="JI23">
            <v>852</v>
          </cell>
          <cell r="JJ23">
            <v>167</v>
          </cell>
          <cell r="JK23">
            <v>685</v>
          </cell>
          <cell r="JL23">
            <v>726</v>
          </cell>
          <cell r="JM23">
            <v>548</v>
          </cell>
          <cell r="JN23">
            <v>972</v>
          </cell>
          <cell r="JO23">
            <v>247</v>
          </cell>
          <cell r="JP23">
            <v>279</v>
          </cell>
          <cell r="JQ23">
            <v>2947</v>
          </cell>
          <cell r="JR23">
            <v>973</v>
          </cell>
          <cell r="JS23">
            <v>827</v>
          </cell>
          <cell r="JT23">
            <v>3919</v>
          </cell>
          <cell r="JU23">
            <v>5719</v>
          </cell>
          <cell r="JV23">
            <v>2246</v>
          </cell>
          <cell r="JW23">
            <v>3473</v>
          </cell>
          <cell r="JX23">
            <v>6.71</v>
          </cell>
          <cell r="JY23">
            <v>20.27</v>
          </cell>
          <cell r="JZ23">
            <v>5.14</v>
          </cell>
          <cell r="KA23">
            <v>0.17</v>
          </cell>
          <cell r="KB23">
            <v>0.69</v>
          </cell>
          <cell r="KC23">
            <v>18</v>
          </cell>
          <cell r="KD23">
            <v>82</v>
          </cell>
          <cell r="KE23">
            <v>39</v>
          </cell>
          <cell r="KF23">
            <v>127</v>
          </cell>
          <cell r="KG23">
            <v>0</v>
          </cell>
          <cell r="KH23">
            <v>0</v>
          </cell>
          <cell r="KI23">
            <v>13</v>
          </cell>
          <cell r="KJ23">
            <v>64</v>
          </cell>
          <cell r="KK23">
            <v>0</v>
          </cell>
          <cell r="KL23">
            <v>0</v>
          </cell>
          <cell r="KM23">
            <v>38791</v>
          </cell>
          <cell r="KN23">
            <v>11654</v>
          </cell>
          <cell r="KO23">
            <v>2677</v>
          </cell>
          <cell r="KQ23">
            <v>48</v>
          </cell>
          <cell r="KR23">
            <v>437</v>
          </cell>
          <cell r="KS23">
            <v>0</v>
          </cell>
          <cell r="KT23">
            <v>13</v>
          </cell>
          <cell r="KU23">
            <v>47</v>
          </cell>
          <cell r="KV23">
            <v>92</v>
          </cell>
          <cell r="KW23">
            <v>45396</v>
          </cell>
          <cell r="KZ23">
            <v>21705</v>
          </cell>
          <cell r="LC23" t="str">
            <v>COLUMBUS COUNTY PUBLIC LIBRARY</v>
          </cell>
          <cell r="LD23" t="str">
            <v>County Owned</v>
          </cell>
          <cell r="LE23" t="str">
            <v>407 N JK POWELL BLVD</v>
          </cell>
          <cell r="LF23" t="str">
            <v>WHITEVILLE</v>
          </cell>
          <cell r="LG23">
            <v>28472</v>
          </cell>
          <cell r="LH23">
            <v>3198</v>
          </cell>
          <cell r="LI23" t="str">
            <v>407 N JK POWELL BLVD</v>
          </cell>
          <cell r="LJ23" t="str">
            <v>WHITEVILLE</v>
          </cell>
          <cell r="LK23">
            <v>28472</v>
          </cell>
          <cell r="LL23">
            <v>3198</v>
          </cell>
          <cell r="LM23" t="str">
            <v>COLUMBUS</v>
          </cell>
          <cell r="LN23">
            <v>9106423116</v>
          </cell>
          <cell r="LO23">
            <v>9106423839</v>
          </cell>
          <cell r="LP23">
            <v>24606</v>
          </cell>
          <cell r="LQ23">
            <v>26.5</v>
          </cell>
          <cell r="LS23">
            <v>13244</v>
          </cell>
          <cell r="LT23">
            <v>364</v>
          </cell>
          <cell r="LW23">
            <v>7</v>
          </cell>
          <cell r="LX23" t="str">
            <v>C-COLUMBUS-CO</v>
          </cell>
          <cell r="LY23">
            <v>0</v>
          </cell>
          <cell r="LZ23" t="str">
            <v>CE</v>
          </cell>
          <cell r="MA23">
            <v>5</v>
          </cell>
          <cell r="MB23">
            <v>50</v>
          </cell>
        </row>
        <row r="24">
          <cell r="A24" t="str">
            <v>NC0006</v>
          </cell>
          <cell r="B24">
            <v>0</v>
          </cell>
          <cell r="C24">
            <v>1375</v>
          </cell>
          <cell r="D24">
            <v>2017</v>
          </cell>
          <cell r="E24">
            <v>0</v>
          </cell>
          <cell r="F24" t="str">
            <v>NC0006</v>
          </cell>
          <cell r="G24" t="str">
            <v>R-CRAVEN-PAMLICO</v>
          </cell>
          <cell r="H24" t="str">
            <v>NO</v>
          </cell>
          <cell r="I24" t="str">
            <v>MJ</v>
          </cell>
          <cell r="J24" t="str">
            <v>MO</v>
          </cell>
          <cell r="K24" t="str">
            <v>Y</v>
          </cell>
          <cell r="L24" t="str">
            <v>MC1</v>
          </cell>
          <cell r="M24" t="str">
            <v>N</v>
          </cell>
          <cell r="N24">
            <v>186691</v>
          </cell>
          <cell r="O24" t="str">
            <v>Yes</v>
          </cell>
          <cell r="P24">
            <v>2364</v>
          </cell>
          <cell r="Q24">
            <v>240</v>
          </cell>
          <cell r="R24">
            <v>247</v>
          </cell>
          <cell r="S24">
            <v>81</v>
          </cell>
          <cell r="T24">
            <v>8647</v>
          </cell>
          <cell r="U24">
            <v>612</v>
          </cell>
          <cell r="V24">
            <v>63910</v>
          </cell>
          <cell r="W24">
            <v>7523</v>
          </cell>
          <cell r="X24">
            <v>1352995</v>
          </cell>
          <cell r="Y24">
            <v>272588</v>
          </cell>
          <cell r="Z24" t="str">
            <v>400 JOHNSON ST</v>
          </cell>
          <cell r="AA24" t="str">
            <v>NEW BERN</v>
          </cell>
          <cell r="AB24">
            <v>28560</v>
          </cell>
          <cell r="AC24">
            <v>4098</v>
          </cell>
          <cell r="AD24" t="str">
            <v>400 JOHNSON ST</v>
          </cell>
          <cell r="AE24" t="str">
            <v>NEW BERN</v>
          </cell>
          <cell r="AF24">
            <v>28560</v>
          </cell>
          <cell r="AG24">
            <v>1</v>
          </cell>
          <cell r="AH24" t="str">
            <v>CRAVEN-PAMLICO-CARTERET REGIONAL LIBRARY</v>
          </cell>
          <cell r="AJ24" t="str">
            <v>Regional</v>
          </cell>
          <cell r="AK24" t="str">
            <v>CRAVEN</v>
          </cell>
          <cell r="AL24" t="str">
            <v>Susan W. Simpson</v>
          </cell>
          <cell r="AM24" t="str">
            <v>(252) 728-2050</v>
          </cell>
          <cell r="AN24" t="str">
            <v>(252) 728-1857</v>
          </cell>
          <cell r="AO24" t="str">
            <v>susansimpson@carteretcountylibraries.org</v>
          </cell>
          <cell r="AP24" t="str">
            <v>Susan W. Simpson</v>
          </cell>
          <cell r="AQ24" t="str">
            <v>Director</v>
          </cell>
          <cell r="AR24" t="str">
            <v>(252) 728-2050</v>
          </cell>
          <cell r="AS24" t="str">
            <v>(252) 728-1857</v>
          </cell>
          <cell r="AT24" t="str">
            <v>susansimpson@carteretcountylibraries.org</v>
          </cell>
          <cell r="AU24" t="str">
            <v>www.cpclib.org</v>
          </cell>
          <cell r="BC24">
            <v>0</v>
          </cell>
          <cell r="BD24">
            <v>10</v>
          </cell>
          <cell r="BE24">
            <v>0</v>
          </cell>
          <cell r="BF24">
            <v>2</v>
          </cell>
          <cell r="BG24">
            <v>12</v>
          </cell>
          <cell r="BI24">
            <v>25094</v>
          </cell>
          <cell r="BJ24">
            <v>4.68</v>
          </cell>
          <cell r="BK24">
            <v>5</v>
          </cell>
          <cell r="BL24">
            <v>9.68</v>
          </cell>
          <cell r="BM24">
            <v>61.05</v>
          </cell>
          <cell r="BN24">
            <v>70.73</v>
          </cell>
          <cell r="BO24">
            <v>6.6199999999999995E-2</v>
          </cell>
          <cell r="BP24">
            <v>3512</v>
          </cell>
          <cell r="BQ24">
            <v>84074</v>
          </cell>
          <cell r="BU24">
            <v>21949</v>
          </cell>
          <cell r="BV24">
            <v>62421</v>
          </cell>
          <cell r="CD24">
            <v>41662</v>
          </cell>
          <cell r="CH24">
            <v>38813</v>
          </cell>
          <cell r="CK24">
            <v>27851</v>
          </cell>
          <cell r="CL24">
            <v>38813</v>
          </cell>
          <cell r="CP24">
            <v>50211</v>
          </cell>
          <cell r="CT24">
            <v>19743</v>
          </cell>
          <cell r="CX24">
            <v>32704</v>
          </cell>
          <cell r="DB24">
            <v>35478</v>
          </cell>
          <cell r="DM24">
            <v>26686</v>
          </cell>
          <cell r="DQ24">
            <v>12043</v>
          </cell>
          <cell r="DV24">
            <v>163965</v>
          </cell>
          <cell r="DW24">
            <v>2725310</v>
          </cell>
          <cell r="DX24">
            <v>2889275</v>
          </cell>
          <cell r="DY24">
            <v>379113</v>
          </cell>
          <cell r="DZ24">
            <v>38000</v>
          </cell>
          <cell r="EA24">
            <v>417113</v>
          </cell>
          <cell r="EB24">
            <v>103249</v>
          </cell>
          <cell r="EC24">
            <v>0</v>
          </cell>
          <cell r="ED24">
            <v>103249</v>
          </cell>
          <cell r="EE24">
            <v>544052</v>
          </cell>
          <cell r="EF24">
            <v>3953689</v>
          </cell>
          <cell r="EG24">
            <v>1798885</v>
          </cell>
          <cell r="EH24">
            <v>643305</v>
          </cell>
          <cell r="EI24">
            <v>2442190</v>
          </cell>
          <cell r="EJ24">
            <v>196223</v>
          </cell>
          <cell r="EK24">
            <v>39135</v>
          </cell>
          <cell r="EL24">
            <v>34992</v>
          </cell>
          <cell r="EM24">
            <v>270350</v>
          </cell>
          <cell r="EN24">
            <v>729525</v>
          </cell>
          <cell r="EO24">
            <v>3442065</v>
          </cell>
          <cell r="EP24">
            <v>511624</v>
          </cell>
          <cell r="EQ24">
            <v>0.12939999999999999</v>
          </cell>
          <cell r="ER24">
            <v>0</v>
          </cell>
          <cell r="ES24">
            <v>0</v>
          </cell>
          <cell r="ET24">
            <v>100000</v>
          </cell>
          <cell r="EU24">
            <v>0</v>
          </cell>
          <cell r="EV24">
            <v>100000</v>
          </cell>
          <cell r="EW24">
            <v>185582</v>
          </cell>
          <cell r="EX24">
            <v>39388</v>
          </cell>
          <cell r="EY24">
            <v>422012</v>
          </cell>
          <cell r="EZ24">
            <v>101983</v>
          </cell>
          <cell r="FA24">
            <v>9592</v>
          </cell>
          <cell r="FB24">
            <v>63076</v>
          </cell>
          <cell r="FC24">
            <v>100399</v>
          </cell>
          <cell r="FD24">
            <v>3911</v>
          </cell>
          <cell r="FE24">
            <v>35822</v>
          </cell>
          <cell r="FF24">
            <v>202382</v>
          </cell>
          <cell r="FG24">
            <v>13503</v>
          </cell>
          <cell r="FH24">
            <v>98898</v>
          </cell>
          <cell r="FI24">
            <v>314783</v>
          </cell>
          <cell r="FJ24">
            <v>7793</v>
          </cell>
          <cell r="FK24">
            <v>403</v>
          </cell>
          <cell r="FM24">
            <v>314783</v>
          </cell>
          <cell r="FN24">
            <v>12236</v>
          </cell>
          <cell r="FO24">
            <v>14537</v>
          </cell>
          <cell r="FP24">
            <v>4334</v>
          </cell>
          <cell r="FQ24">
            <v>12</v>
          </cell>
          <cell r="FR24">
            <v>88</v>
          </cell>
          <cell r="FS24">
            <v>100</v>
          </cell>
          <cell r="FT24">
            <v>44141</v>
          </cell>
          <cell r="FU24">
            <v>3505</v>
          </cell>
          <cell r="FV24">
            <v>0</v>
          </cell>
          <cell r="FW24">
            <v>0</v>
          </cell>
          <cell r="FX24">
            <v>8544</v>
          </cell>
          <cell r="FY24">
            <v>1573</v>
          </cell>
          <cell r="FZ24">
            <v>322</v>
          </cell>
          <cell r="GA24">
            <v>0</v>
          </cell>
          <cell r="GE24">
            <v>0</v>
          </cell>
          <cell r="GJ24">
            <v>631</v>
          </cell>
          <cell r="GK24">
            <v>9110</v>
          </cell>
          <cell r="GL24">
            <v>0</v>
          </cell>
          <cell r="GM24">
            <v>0</v>
          </cell>
          <cell r="GN24">
            <v>53316</v>
          </cell>
          <cell r="GO24">
            <v>14188</v>
          </cell>
          <cell r="GP24">
            <v>322</v>
          </cell>
          <cell r="GQ24">
            <v>0</v>
          </cell>
          <cell r="GR24">
            <v>128</v>
          </cell>
          <cell r="GT24">
            <v>186143</v>
          </cell>
          <cell r="GU24">
            <v>13162</v>
          </cell>
          <cell r="GV24">
            <v>112788</v>
          </cell>
          <cell r="GW24">
            <v>51998</v>
          </cell>
          <cell r="GX24">
            <v>5317</v>
          </cell>
          <cell r="GY24">
            <v>31019</v>
          </cell>
          <cell r="GZ24">
            <v>238141</v>
          </cell>
          <cell r="HA24">
            <v>18479</v>
          </cell>
          <cell r="HB24">
            <v>143807</v>
          </cell>
          <cell r="HC24">
            <v>400427</v>
          </cell>
          <cell r="HD24">
            <v>5539</v>
          </cell>
          <cell r="HE24">
            <v>405966</v>
          </cell>
          <cell r="HF24">
            <v>25439</v>
          </cell>
          <cell r="HG24">
            <v>19540</v>
          </cell>
          <cell r="HH24">
            <v>0</v>
          </cell>
          <cell r="HI24">
            <v>2880</v>
          </cell>
          <cell r="HJ24">
            <v>47859</v>
          </cell>
          <cell r="HK24">
            <v>453825</v>
          </cell>
          <cell r="HL24">
            <v>479</v>
          </cell>
          <cell r="HM24">
            <v>3041</v>
          </cell>
          <cell r="HN24">
            <v>3520</v>
          </cell>
          <cell r="HO24">
            <v>2758</v>
          </cell>
          <cell r="HP24">
            <v>9511</v>
          </cell>
          <cell r="HQ24">
            <v>12269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15789</v>
          </cell>
          <cell r="HW24">
            <v>23651</v>
          </cell>
          <cell r="HX24">
            <v>67802</v>
          </cell>
          <cell r="HY24">
            <v>91453</v>
          </cell>
          <cell r="HZ24">
            <v>107242</v>
          </cell>
          <cell r="IA24">
            <v>37708</v>
          </cell>
          <cell r="IB24">
            <v>57248</v>
          </cell>
          <cell r="IC24">
            <v>469614</v>
          </cell>
          <cell r="ID24">
            <v>469614</v>
          </cell>
          <cell r="IE24">
            <v>561067</v>
          </cell>
          <cell r="IF24">
            <v>168866</v>
          </cell>
          <cell r="IG24">
            <v>332</v>
          </cell>
          <cell r="IJ24">
            <v>1</v>
          </cell>
          <cell r="IK24">
            <v>3.5200000000000002E-2</v>
          </cell>
          <cell r="IL24">
            <v>1E-3</v>
          </cell>
          <cell r="IM24">
            <v>0.16070000000000001</v>
          </cell>
          <cell r="IN24">
            <v>0</v>
          </cell>
          <cell r="IO24">
            <v>0.1263</v>
          </cell>
          <cell r="IP24">
            <v>2.0000000000000001E-4</v>
          </cell>
          <cell r="IQ24">
            <v>0.74590000000000001</v>
          </cell>
          <cell r="IR24">
            <v>6.2600000000000003E-2</v>
          </cell>
          <cell r="IS24">
            <v>0.35959999999999998</v>
          </cell>
          <cell r="IT24">
            <v>55516</v>
          </cell>
          <cell r="IU24">
            <v>11593</v>
          </cell>
          <cell r="IV24">
            <v>67109</v>
          </cell>
          <cell r="IW24">
            <v>0.35949999999999999</v>
          </cell>
          <cell r="IX24">
            <v>580822</v>
          </cell>
          <cell r="IZ24">
            <v>620</v>
          </cell>
          <cell r="JA24">
            <v>414</v>
          </cell>
          <cell r="JB24">
            <v>1242</v>
          </cell>
          <cell r="JC24">
            <v>39</v>
          </cell>
          <cell r="JD24">
            <v>7</v>
          </cell>
          <cell r="JE24">
            <v>190</v>
          </cell>
          <cell r="JF24">
            <v>659</v>
          </cell>
          <cell r="JG24">
            <v>421</v>
          </cell>
          <cell r="JH24">
            <v>1432</v>
          </cell>
          <cell r="JI24">
            <v>2512</v>
          </cell>
          <cell r="JJ24">
            <v>2276</v>
          </cell>
          <cell r="JK24">
            <v>236</v>
          </cell>
          <cell r="JL24">
            <v>7037</v>
          </cell>
          <cell r="JM24">
            <v>3989</v>
          </cell>
          <cell r="JN24">
            <v>26291</v>
          </cell>
          <cell r="JO24">
            <v>597</v>
          </cell>
          <cell r="JP24">
            <v>85</v>
          </cell>
          <cell r="JQ24">
            <v>901</v>
          </cell>
          <cell r="JR24">
            <v>7634</v>
          </cell>
          <cell r="JS24">
            <v>4074</v>
          </cell>
          <cell r="JT24">
            <v>27192</v>
          </cell>
          <cell r="JU24">
            <v>38900</v>
          </cell>
          <cell r="JV24">
            <v>37317</v>
          </cell>
          <cell r="JW24">
            <v>1583</v>
          </cell>
          <cell r="JX24">
            <v>15.49</v>
          </cell>
          <cell r="JY24">
            <v>11.58</v>
          </cell>
          <cell r="JZ24">
            <v>18.989999999999998</v>
          </cell>
          <cell r="KA24">
            <v>0.2</v>
          </cell>
          <cell r="KB24">
            <v>0.7</v>
          </cell>
          <cell r="KC24">
            <v>2</v>
          </cell>
          <cell r="KD24">
            <v>8</v>
          </cell>
          <cell r="KE24">
            <v>94</v>
          </cell>
          <cell r="KF24">
            <v>228</v>
          </cell>
          <cell r="KG24">
            <v>1284</v>
          </cell>
          <cell r="KH24">
            <v>29758</v>
          </cell>
          <cell r="KI24">
            <v>617</v>
          </cell>
          <cell r="KJ24">
            <v>7753</v>
          </cell>
          <cell r="KK24">
            <v>198</v>
          </cell>
          <cell r="KL24">
            <v>6279</v>
          </cell>
          <cell r="KM24">
            <v>141391</v>
          </cell>
          <cell r="KN24">
            <v>30991</v>
          </cell>
          <cell r="KO24">
            <v>9010</v>
          </cell>
          <cell r="KQ24">
            <v>744</v>
          </cell>
          <cell r="KR24">
            <v>5484</v>
          </cell>
          <cell r="KS24">
            <v>224</v>
          </cell>
          <cell r="KT24">
            <v>231</v>
          </cell>
          <cell r="KU24">
            <v>72</v>
          </cell>
          <cell r="KV24">
            <v>132</v>
          </cell>
          <cell r="KW24">
            <v>90506</v>
          </cell>
          <cell r="KY24">
            <v>179970</v>
          </cell>
          <cell r="KZ24">
            <v>32895</v>
          </cell>
          <cell r="LC24" t="str">
            <v>BOGUE BANKS PUBLIC LIBRARY</v>
          </cell>
          <cell r="LD24" t="str">
            <v>County Owned</v>
          </cell>
          <cell r="LE24" t="str">
            <v>320 SALTER PATH RD</v>
          </cell>
          <cell r="LF24" t="str">
            <v>PINE KNOLL SHORES</v>
          </cell>
          <cell r="LG24">
            <v>28512</v>
          </cell>
          <cell r="LH24">
            <v>6122</v>
          </cell>
          <cell r="LI24" t="str">
            <v>320 SALTER PATH RD</v>
          </cell>
          <cell r="LJ24" t="str">
            <v>PINE KNOLL SHORES</v>
          </cell>
          <cell r="LK24">
            <v>28512</v>
          </cell>
          <cell r="LL24">
            <v>6122</v>
          </cell>
          <cell r="LM24" t="str">
            <v>CARTERET</v>
          </cell>
          <cell r="LN24">
            <v>2522474660</v>
          </cell>
          <cell r="LO24">
            <v>2522472802</v>
          </cell>
          <cell r="LP24">
            <v>79691</v>
          </cell>
          <cell r="LQ24">
            <v>70.73</v>
          </cell>
          <cell r="LS24">
            <v>25094</v>
          </cell>
          <cell r="LT24">
            <v>520</v>
          </cell>
          <cell r="LW24">
            <v>2</v>
          </cell>
          <cell r="LX24" t="str">
            <v>R-CRAVEN-PAMLICO-B</v>
          </cell>
          <cell r="LY24">
            <v>0</v>
          </cell>
          <cell r="LZ24" t="str">
            <v>BR</v>
          </cell>
          <cell r="MA24">
            <v>4.47</v>
          </cell>
          <cell r="MB24">
            <v>36.85</v>
          </cell>
        </row>
        <row r="25">
          <cell r="A25" t="str">
            <v>NC0026</v>
          </cell>
          <cell r="B25">
            <v>0</v>
          </cell>
          <cell r="C25">
            <v>1375</v>
          </cell>
          <cell r="D25">
            <v>2017</v>
          </cell>
          <cell r="E25">
            <v>0</v>
          </cell>
          <cell r="F25" t="str">
            <v>NC0026</v>
          </cell>
          <cell r="G25" t="str">
            <v>C-CUMBERLAND</v>
          </cell>
          <cell r="H25" t="str">
            <v>NO</v>
          </cell>
          <cell r="I25" t="str">
            <v>CO</v>
          </cell>
          <cell r="J25" t="str">
            <v>MO</v>
          </cell>
          <cell r="K25" t="str">
            <v>Y</v>
          </cell>
          <cell r="L25" t="str">
            <v>CO1</v>
          </cell>
          <cell r="M25" t="str">
            <v>N</v>
          </cell>
          <cell r="N25">
            <v>328860</v>
          </cell>
          <cell r="O25" t="str">
            <v>Yes</v>
          </cell>
          <cell r="P25">
            <v>2132</v>
          </cell>
          <cell r="Q25">
            <v>484</v>
          </cell>
          <cell r="R25">
            <v>467</v>
          </cell>
          <cell r="S25">
            <v>81</v>
          </cell>
          <cell r="T25">
            <v>13809</v>
          </cell>
          <cell r="U25">
            <v>951</v>
          </cell>
          <cell r="V25">
            <v>165647</v>
          </cell>
          <cell r="W25">
            <v>21844</v>
          </cell>
          <cell r="X25">
            <v>1720588</v>
          </cell>
          <cell r="Y25">
            <v>377852</v>
          </cell>
          <cell r="Z25" t="str">
            <v>300 MAIDEN LANE</v>
          </cell>
          <cell r="AA25" t="str">
            <v>FAYETTEVILLE</v>
          </cell>
          <cell r="AB25">
            <v>28301</v>
          </cell>
          <cell r="AC25">
            <v>5032</v>
          </cell>
          <cell r="AD25" t="str">
            <v>300 MAIDEN LN</v>
          </cell>
          <cell r="AE25" t="str">
            <v>FAYETTEVILLE</v>
          </cell>
          <cell r="AF25">
            <v>28301</v>
          </cell>
          <cell r="AG25">
            <v>2</v>
          </cell>
          <cell r="AH25" t="str">
            <v>CUMBERLAND COUNTY PUBLIC LIBRARY &amp; INFORMATION CENTER</v>
          </cell>
          <cell r="AJ25" t="str">
            <v>County</v>
          </cell>
          <cell r="AK25" t="str">
            <v>CUMBERLAND</v>
          </cell>
          <cell r="AL25" t="str">
            <v>Joellen Risacher</v>
          </cell>
          <cell r="AM25" t="str">
            <v>(910) 483-7727</v>
          </cell>
          <cell r="AN25" t="str">
            <v>(910) 486-5372</v>
          </cell>
          <cell r="AO25" t="str">
            <v>jrisacher@cumberland.lib.nc.us</v>
          </cell>
          <cell r="AP25" t="str">
            <v>Cotina Jones</v>
          </cell>
          <cell r="AQ25" t="str">
            <v>Deputy Director</v>
          </cell>
          <cell r="AR25" t="str">
            <v>(910) 483-7727</v>
          </cell>
          <cell r="AS25" t="str">
            <v>(910) 486-5372</v>
          </cell>
          <cell r="AT25" t="str">
            <v>cjones@cumberland.lib.nc.us</v>
          </cell>
          <cell r="AU25" t="str">
            <v>www.cumberland.lib.nc.us</v>
          </cell>
          <cell r="BC25">
            <v>1</v>
          </cell>
          <cell r="BD25">
            <v>8</v>
          </cell>
          <cell r="BE25">
            <v>0</v>
          </cell>
          <cell r="BF25">
            <v>1</v>
          </cell>
          <cell r="BG25">
            <v>10</v>
          </cell>
          <cell r="BI25">
            <v>30108</v>
          </cell>
          <cell r="BJ25">
            <v>47</v>
          </cell>
          <cell r="BK25">
            <v>0</v>
          </cell>
          <cell r="BL25">
            <v>47</v>
          </cell>
          <cell r="BM25">
            <v>134.72999999999999</v>
          </cell>
          <cell r="BN25">
            <v>181.73</v>
          </cell>
          <cell r="BO25">
            <v>0.2586</v>
          </cell>
          <cell r="BP25">
            <v>3833</v>
          </cell>
          <cell r="BQ25">
            <v>105318</v>
          </cell>
          <cell r="BT25">
            <v>69000</v>
          </cell>
          <cell r="BU25">
            <v>47143</v>
          </cell>
          <cell r="BV25">
            <v>79341</v>
          </cell>
          <cell r="BW25">
            <v>51379</v>
          </cell>
          <cell r="BY25">
            <v>41132</v>
          </cell>
          <cell r="BZ25">
            <v>69225</v>
          </cell>
          <cell r="CA25">
            <v>42786</v>
          </cell>
          <cell r="CC25">
            <v>41132</v>
          </cell>
          <cell r="CD25">
            <v>69225</v>
          </cell>
          <cell r="CE25">
            <v>42018</v>
          </cell>
          <cell r="CG25">
            <v>41132</v>
          </cell>
          <cell r="CH25">
            <v>69225</v>
          </cell>
          <cell r="CI25">
            <v>46488</v>
          </cell>
          <cell r="CK25">
            <v>37580</v>
          </cell>
          <cell r="CL25">
            <v>63248</v>
          </cell>
          <cell r="CM25">
            <v>0</v>
          </cell>
          <cell r="CO25">
            <v>46710</v>
          </cell>
          <cell r="CP25">
            <v>78613</v>
          </cell>
          <cell r="CQ25">
            <v>49131</v>
          </cell>
          <cell r="CR25">
            <v>37580</v>
          </cell>
          <cell r="CS25">
            <v>63248</v>
          </cell>
          <cell r="CT25">
            <v>39333</v>
          </cell>
          <cell r="CV25">
            <v>37580</v>
          </cell>
          <cell r="CW25">
            <v>63248</v>
          </cell>
          <cell r="CX25">
            <v>38866</v>
          </cell>
          <cell r="CZ25">
            <v>37580</v>
          </cell>
          <cell r="DA25">
            <v>63248</v>
          </cell>
          <cell r="DB25">
            <v>37580</v>
          </cell>
          <cell r="DD25">
            <v>35878</v>
          </cell>
          <cell r="DE25">
            <v>60382</v>
          </cell>
          <cell r="DF25">
            <v>0</v>
          </cell>
          <cell r="DK25">
            <v>35396</v>
          </cell>
          <cell r="DL25">
            <v>59572</v>
          </cell>
          <cell r="DM25">
            <v>37536</v>
          </cell>
          <cell r="DO25">
            <v>28263</v>
          </cell>
          <cell r="DP25">
            <v>47566</v>
          </cell>
          <cell r="DQ25">
            <v>25055</v>
          </cell>
          <cell r="DS25">
            <v>40804</v>
          </cell>
          <cell r="DT25">
            <v>68672</v>
          </cell>
          <cell r="DU25">
            <v>39319</v>
          </cell>
          <cell r="DV25">
            <v>0</v>
          </cell>
          <cell r="DW25">
            <v>10639547</v>
          </cell>
          <cell r="DX25">
            <v>10639547</v>
          </cell>
          <cell r="DY25">
            <v>309955</v>
          </cell>
          <cell r="DZ25">
            <v>45292</v>
          </cell>
          <cell r="EA25">
            <v>355247</v>
          </cell>
          <cell r="EB25">
            <v>30111</v>
          </cell>
          <cell r="EC25">
            <v>0</v>
          </cell>
          <cell r="ED25">
            <v>30111</v>
          </cell>
          <cell r="EE25">
            <v>40559</v>
          </cell>
          <cell r="EF25">
            <v>11065464</v>
          </cell>
          <cell r="EG25">
            <v>6315948</v>
          </cell>
          <cell r="EH25">
            <v>2362739</v>
          </cell>
          <cell r="EI25">
            <v>8678687</v>
          </cell>
          <cell r="EJ25">
            <v>796762</v>
          </cell>
          <cell r="EK25">
            <v>286422</v>
          </cell>
          <cell r="EL25">
            <v>32428</v>
          </cell>
          <cell r="EM25">
            <v>1115612</v>
          </cell>
          <cell r="EN25">
            <v>1290909</v>
          </cell>
          <cell r="EO25">
            <v>11085208</v>
          </cell>
          <cell r="EP25">
            <v>-19744</v>
          </cell>
          <cell r="EQ25">
            <v>-1.8E-3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84456</v>
          </cell>
          <cell r="EY25">
            <v>658117</v>
          </cell>
          <cell r="EZ25">
            <v>111739</v>
          </cell>
          <cell r="FA25">
            <v>34215</v>
          </cell>
          <cell r="FB25">
            <v>133505</v>
          </cell>
          <cell r="FC25">
            <v>133909</v>
          </cell>
          <cell r="FD25">
            <v>1477</v>
          </cell>
          <cell r="FE25">
            <v>59140</v>
          </cell>
          <cell r="FF25">
            <v>245648</v>
          </cell>
          <cell r="FG25">
            <v>35692</v>
          </cell>
          <cell r="FH25">
            <v>192645</v>
          </cell>
          <cell r="FI25">
            <v>473985</v>
          </cell>
          <cell r="FJ25">
            <v>6461</v>
          </cell>
          <cell r="FK25">
            <v>716</v>
          </cell>
          <cell r="FM25">
            <v>473985</v>
          </cell>
          <cell r="FN25">
            <v>28096</v>
          </cell>
          <cell r="FO25">
            <v>31428</v>
          </cell>
          <cell r="FP25">
            <v>0</v>
          </cell>
          <cell r="FQ25">
            <v>20</v>
          </cell>
          <cell r="FR25">
            <v>88</v>
          </cell>
          <cell r="FS25">
            <v>108</v>
          </cell>
          <cell r="FT25">
            <v>44141</v>
          </cell>
          <cell r="FU25">
            <v>3505</v>
          </cell>
          <cell r="FV25">
            <v>0</v>
          </cell>
          <cell r="FW25">
            <v>0</v>
          </cell>
          <cell r="FX25">
            <v>8544</v>
          </cell>
          <cell r="FY25">
            <v>1573</v>
          </cell>
          <cell r="FZ25">
            <v>322</v>
          </cell>
          <cell r="GA25">
            <v>0</v>
          </cell>
          <cell r="GF25">
            <v>36593</v>
          </cell>
          <cell r="GG25">
            <v>13194</v>
          </cell>
          <cell r="GH25">
            <v>264</v>
          </cell>
          <cell r="GI25">
            <v>12</v>
          </cell>
          <cell r="GJ25">
            <v>1084</v>
          </cell>
          <cell r="GK25">
            <v>7969</v>
          </cell>
          <cell r="GL25">
            <v>0</v>
          </cell>
          <cell r="GM25">
            <v>122</v>
          </cell>
          <cell r="GN25">
            <v>90362</v>
          </cell>
          <cell r="GO25">
            <v>26241</v>
          </cell>
          <cell r="GP25">
            <v>586</v>
          </cell>
          <cell r="GQ25">
            <v>134</v>
          </cell>
          <cell r="GR25">
            <v>291</v>
          </cell>
          <cell r="GT25">
            <v>288757</v>
          </cell>
          <cell r="GU25">
            <v>79957</v>
          </cell>
          <cell r="GV25">
            <v>451345</v>
          </cell>
          <cell r="GW25">
            <v>158005</v>
          </cell>
          <cell r="GX25">
            <v>485</v>
          </cell>
          <cell r="GY25">
            <v>101474</v>
          </cell>
          <cell r="GZ25">
            <v>446762</v>
          </cell>
          <cell r="HA25">
            <v>80442</v>
          </cell>
          <cell r="HB25">
            <v>552819</v>
          </cell>
          <cell r="HC25">
            <v>1080023</v>
          </cell>
          <cell r="HD25">
            <v>11500</v>
          </cell>
          <cell r="HE25">
            <v>1095065</v>
          </cell>
          <cell r="HF25">
            <v>70987</v>
          </cell>
          <cell r="HG25">
            <v>215747</v>
          </cell>
          <cell r="HH25">
            <v>3542</v>
          </cell>
          <cell r="HI25">
            <v>420</v>
          </cell>
          <cell r="HJ25">
            <v>287154</v>
          </cell>
          <cell r="HK25">
            <v>1382219</v>
          </cell>
          <cell r="HL25">
            <v>403</v>
          </cell>
          <cell r="HM25">
            <v>80056</v>
          </cell>
          <cell r="HN25">
            <v>80459</v>
          </cell>
          <cell r="HO25">
            <v>1890</v>
          </cell>
          <cell r="HP25">
            <v>34702</v>
          </cell>
          <cell r="HQ25">
            <v>36592</v>
          </cell>
          <cell r="HR25">
            <v>0</v>
          </cell>
          <cell r="HS25">
            <v>375</v>
          </cell>
          <cell r="HT25">
            <v>375</v>
          </cell>
          <cell r="HU25">
            <v>6037</v>
          </cell>
          <cell r="HV25">
            <v>123463</v>
          </cell>
          <cell r="HW25">
            <v>104913</v>
          </cell>
          <cell r="HX25">
            <v>168041</v>
          </cell>
          <cell r="HY25">
            <v>272954</v>
          </cell>
          <cell r="HZ25">
            <v>396417</v>
          </cell>
          <cell r="IA25">
            <v>107579</v>
          </cell>
          <cell r="IB25">
            <v>323701</v>
          </cell>
          <cell r="IC25">
            <v>1505682</v>
          </cell>
          <cell r="ID25">
            <v>1505682</v>
          </cell>
          <cell r="IE25">
            <v>1778636</v>
          </cell>
          <cell r="IF25">
            <v>677051</v>
          </cell>
          <cell r="IG25">
            <v>17223</v>
          </cell>
          <cell r="IJ25">
            <v>1</v>
          </cell>
          <cell r="IK25">
            <v>4.8599999999999997E-2</v>
          </cell>
          <cell r="IL25">
            <v>1.1000000000000001E-3</v>
          </cell>
          <cell r="IM25">
            <v>0.17829999999999999</v>
          </cell>
          <cell r="IN25">
            <v>0</v>
          </cell>
          <cell r="IO25">
            <v>0.13730000000000001</v>
          </cell>
          <cell r="IP25">
            <v>2.0000000000000001E-4</v>
          </cell>
          <cell r="IQ25">
            <v>0.72019999999999995</v>
          </cell>
          <cell r="IR25">
            <v>8.2600000000000007E-2</v>
          </cell>
          <cell r="IS25">
            <v>0.44969999999999999</v>
          </cell>
          <cell r="IT25">
            <v>201569</v>
          </cell>
          <cell r="IU25">
            <v>32089</v>
          </cell>
          <cell r="IV25">
            <v>233658</v>
          </cell>
          <cell r="IW25">
            <v>0.71050000000000002</v>
          </cell>
          <cell r="IX25">
            <v>1214921</v>
          </cell>
          <cell r="IZ25">
            <v>891</v>
          </cell>
          <cell r="JA25">
            <v>728</v>
          </cell>
          <cell r="JB25">
            <v>1831</v>
          </cell>
          <cell r="JC25">
            <v>54</v>
          </cell>
          <cell r="JD25">
            <v>46</v>
          </cell>
          <cell r="JE25">
            <v>565</v>
          </cell>
          <cell r="JF25">
            <v>945</v>
          </cell>
          <cell r="JG25">
            <v>774</v>
          </cell>
          <cell r="JH25">
            <v>2396</v>
          </cell>
          <cell r="JI25">
            <v>4115</v>
          </cell>
          <cell r="JJ25">
            <v>3450</v>
          </cell>
          <cell r="JK25">
            <v>665</v>
          </cell>
          <cell r="JL25">
            <v>10772</v>
          </cell>
          <cell r="JM25">
            <v>16286</v>
          </cell>
          <cell r="JN25">
            <v>45516</v>
          </cell>
          <cell r="JO25">
            <v>1279</v>
          </cell>
          <cell r="JP25">
            <v>1442</v>
          </cell>
          <cell r="JQ25">
            <v>20002</v>
          </cell>
          <cell r="JR25">
            <v>12051</v>
          </cell>
          <cell r="JS25">
            <v>17728</v>
          </cell>
          <cell r="JT25">
            <v>65518</v>
          </cell>
          <cell r="JU25">
            <v>95297</v>
          </cell>
          <cell r="JV25">
            <v>72574</v>
          </cell>
          <cell r="JW25">
            <v>22723</v>
          </cell>
          <cell r="JX25">
            <v>23.16</v>
          </cell>
          <cell r="JY25">
            <v>12.75</v>
          </cell>
          <cell r="JZ25">
            <v>27.34</v>
          </cell>
          <cell r="KA25">
            <v>0.13</v>
          </cell>
          <cell r="KB25">
            <v>0.69</v>
          </cell>
          <cell r="KC25">
            <v>180</v>
          </cell>
          <cell r="KD25">
            <v>2677</v>
          </cell>
          <cell r="KE25">
            <v>174</v>
          </cell>
          <cell r="KF25">
            <v>910</v>
          </cell>
          <cell r="KG25">
            <v>1511</v>
          </cell>
          <cell r="KH25">
            <v>35397</v>
          </cell>
          <cell r="KI25">
            <v>0</v>
          </cell>
          <cell r="KJ25">
            <v>0</v>
          </cell>
          <cell r="KK25">
            <v>148</v>
          </cell>
          <cell r="KL25">
            <v>4097</v>
          </cell>
          <cell r="KM25">
            <v>219230</v>
          </cell>
          <cell r="KN25">
            <v>99573</v>
          </cell>
          <cell r="KO25">
            <v>4414</v>
          </cell>
          <cell r="KQ25">
            <v>11211</v>
          </cell>
          <cell r="KR25">
            <v>66082</v>
          </cell>
          <cell r="KS25">
            <v>35924</v>
          </cell>
          <cell r="KT25">
            <v>35562</v>
          </cell>
          <cell r="KU25">
            <v>227</v>
          </cell>
          <cell r="KV25">
            <v>434</v>
          </cell>
          <cell r="KW25">
            <v>300010</v>
          </cell>
          <cell r="KY25">
            <v>467190</v>
          </cell>
          <cell r="KZ25">
            <v>542389</v>
          </cell>
          <cell r="LC25" t="str">
            <v>CUMBERLAND COUNTY PUBLIC LIBRARY &amp; INFORMATION CENTER</v>
          </cell>
          <cell r="LD25" t="str">
            <v>County Owned</v>
          </cell>
          <cell r="LE25" t="str">
            <v>300 MAIDEN LANE</v>
          </cell>
          <cell r="LF25" t="str">
            <v>FAYETTEVILLE</v>
          </cell>
          <cell r="LG25">
            <v>28301</v>
          </cell>
          <cell r="LH25">
            <v>5032</v>
          </cell>
          <cell r="LI25" t="str">
            <v>300 MAIDEN LN</v>
          </cell>
          <cell r="LJ25" t="str">
            <v>FAYETTEVILLE</v>
          </cell>
          <cell r="LK25">
            <v>28301</v>
          </cell>
          <cell r="LL25">
            <v>5032</v>
          </cell>
          <cell r="LM25" t="str">
            <v>CUMBERLAND</v>
          </cell>
          <cell r="LN25">
            <v>9104837727</v>
          </cell>
          <cell r="LO25">
            <v>9104865372</v>
          </cell>
          <cell r="LP25">
            <v>192169</v>
          </cell>
          <cell r="LQ25">
            <v>182.75</v>
          </cell>
          <cell r="LS25">
            <v>30108</v>
          </cell>
          <cell r="LT25">
            <v>468</v>
          </cell>
          <cell r="LW25">
            <v>2</v>
          </cell>
          <cell r="LX25" t="str">
            <v>C-CUMBERLAND-HQ</v>
          </cell>
          <cell r="LY25">
            <v>0</v>
          </cell>
          <cell r="LZ25" t="str">
            <v>CE</v>
          </cell>
          <cell r="MA25">
            <v>527.16</v>
          </cell>
          <cell r="MB25">
            <v>619.76</v>
          </cell>
        </row>
        <row r="26">
          <cell r="A26" t="str">
            <v>NC0027</v>
          </cell>
          <cell r="B26">
            <v>0</v>
          </cell>
          <cell r="C26">
            <v>1375</v>
          </cell>
          <cell r="D26">
            <v>2017</v>
          </cell>
          <cell r="E26">
            <v>0</v>
          </cell>
          <cell r="F26" t="str">
            <v>NC0027</v>
          </cell>
          <cell r="G26" t="str">
            <v>C-DAVIDSON</v>
          </cell>
          <cell r="H26" t="str">
            <v>NO</v>
          </cell>
          <cell r="I26" t="str">
            <v>CO</v>
          </cell>
          <cell r="J26" t="str">
            <v>MO</v>
          </cell>
          <cell r="K26" t="str">
            <v>Y</v>
          </cell>
          <cell r="L26" t="str">
            <v>CO2</v>
          </cell>
          <cell r="M26" t="str">
            <v>N</v>
          </cell>
          <cell r="N26">
            <v>159339</v>
          </cell>
          <cell r="O26" t="str">
            <v>Yes</v>
          </cell>
          <cell r="P26">
            <v>1385</v>
          </cell>
          <cell r="Q26">
            <v>186</v>
          </cell>
          <cell r="R26">
            <v>178</v>
          </cell>
          <cell r="S26">
            <v>27</v>
          </cell>
          <cell r="T26">
            <v>5561</v>
          </cell>
          <cell r="U26">
            <v>414</v>
          </cell>
          <cell r="V26">
            <v>38030</v>
          </cell>
          <cell r="W26">
            <v>6562</v>
          </cell>
          <cell r="X26">
            <v>343340</v>
          </cell>
          <cell r="Y26">
            <v>39455</v>
          </cell>
          <cell r="Z26" t="str">
            <v>602 S MAIN ST</v>
          </cell>
          <cell r="AA26" t="str">
            <v>LEXINGTON</v>
          </cell>
          <cell r="AB26">
            <v>27292</v>
          </cell>
          <cell r="AC26">
            <v>3239</v>
          </cell>
          <cell r="AD26" t="str">
            <v>602 S MAIN ST</v>
          </cell>
          <cell r="AE26" t="str">
            <v>LEXINGTON</v>
          </cell>
          <cell r="AF26">
            <v>27292</v>
          </cell>
          <cell r="AG26">
            <v>2</v>
          </cell>
          <cell r="AH26" t="str">
            <v>DAVIDSON COUNTY PUBLIC LIBRARY SYSTEM</v>
          </cell>
          <cell r="AJ26" t="str">
            <v>County</v>
          </cell>
          <cell r="AK26" t="str">
            <v>DAVIDSON</v>
          </cell>
          <cell r="AL26" t="str">
            <v>Ruth Ann Copley</v>
          </cell>
          <cell r="AM26" t="str">
            <v>(336) 242-2064</v>
          </cell>
          <cell r="AN26" t="str">
            <v>(336) 249-8161</v>
          </cell>
          <cell r="AO26" t="str">
            <v>ruth.copley@davidsoncountync.gov</v>
          </cell>
          <cell r="AP26" t="str">
            <v>Gail Marsh</v>
          </cell>
          <cell r="AQ26" t="str">
            <v>Admin. Asst./Tech Support</v>
          </cell>
          <cell r="AR26" t="str">
            <v>(336) 242-2942</v>
          </cell>
          <cell r="AS26" t="str">
            <v>(336) 249-8161</v>
          </cell>
          <cell r="AT26" t="str">
            <v>gail.marsh@davidsoncountync.gov</v>
          </cell>
          <cell r="AU26" t="str">
            <v>www.co.davidson.nc.us/library</v>
          </cell>
          <cell r="BC26">
            <v>1</v>
          </cell>
          <cell r="BD26">
            <v>4</v>
          </cell>
          <cell r="BE26">
            <v>1</v>
          </cell>
          <cell r="BF26">
            <v>0</v>
          </cell>
          <cell r="BG26">
            <v>6</v>
          </cell>
          <cell r="BI26">
            <v>16172</v>
          </cell>
          <cell r="BJ26">
            <v>7.5</v>
          </cell>
          <cell r="BK26">
            <v>0</v>
          </cell>
          <cell r="BL26">
            <v>7.5</v>
          </cell>
          <cell r="BM26">
            <v>52.85</v>
          </cell>
          <cell r="BN26">
            <v>60.35</v>
          </cell>
          <cell r="BO26">
            <v>0.12429999999999999</v>
          </cell>
          <cell r="BP26">
            <v>2451</v>
          </cell>
          <cell r="BQ26">
            <v>72313</v>
          </cell>
          <cell r="BT26">
            <v>52280</v>
          </cell>
          <cell r="BU26">
            <v>39069</v>
          </cell>
          <cell r="BV26">
            <v>58604</v>
          </cell>
          <cell r="BW26">
            <v>48836</v>
          </cell>
          <cell r="CG26">
            <v>33766</v>
          </cell>
          <cell r="CH26">
            <v>50739</v>
          </cell>
          <cell r="CI26">
            <v>42253</v>
          </cell>
          <cell r="DD26">
            <v>26461</v>
          </cell>
          <cell r="DE26">
            <v>39693</v>
          </cell>
          <cell r="DF26">
            <v>33078</v>
          </cell>
          <cell r="DH26">
            <v>27835</v>
          </cell>
          <cell r="DI26">
            <v>41753</v>
          </cell>
          <cell r="DJ26">
            <v>34794</v>
          </cell>
          <cell r="DV26">
            <v>0</v>
          </cell>
          <cell r="DW26">
            <v>3453686</v>
          </cell>
          <cell r="DX26">
            <v>3453686</v>
          </cell>
          <cell r="DY26">
            <v>186786</v>
          </cell>
          <cell r="DZ26">
            <v>0</v>
          </cell>
          <cell r="EA26">
            <v>186786</v>
          </cell>
          <cell r="EB26">
            <v>6203</v>
          </cell>
          <cell r="EC26">
            <v>0</v>
          </cell>
          <cell r="ED26">
            <v>6203</v>
          </cell>
          <cell r="EE26">
            <v>90464</v>
          </cell>
          <cell r="EF26">
            <v>3737139</v>
          </cell>
          <cell r="EG26">
            <v>1755035</v>
          </cell>
          <cell r="EH26">
            <v>692658</v>
          </cell>
          <cell r="EI26">
            <v>2447693</v>
          </cell>
          <cell r="EJ26">
            <v>215584</v>
          </cell>
          <cell r="EK26">
            <v>100824</v>
          </cell>
          <cell r="EL26">
            <v>25277</v>
          </cell>
          <cell r="EM26">
            <v>341685</v>
          </cell>
          <cell r="EN26">
            <v>910274</v>
          </cell>
          <cell r="EO26">
            <v>3699652</v>
          </cell>
          <cell r="EP26">
            <v>37487</v>
          </cell>
          <cell r="EQ26">
            <v>0.01</v>
          </cell>
          <cell r="ER26">
            <v>37487</v>
          </cell>
          <cell r="ES26">
            <v>0</v>
          </cell>
          <cell r="ET26">
            <v>0</v>
          </cell>
          <cell r="EU26">
            <v>0</v>
          </cell>
          <cell r="EV26">
            <v>37487</v>
          </cell>
          <cell r="EW26">
            <v>37487</v>
          </cell>
          <cell r="EX26">
            <v>57246</v>
          </cell>
          <cell r="EY26">
            <v>485727</v>
          </cell>
          <cell r="EZ26">
            <v>106335</v>
          </cell>
          <cell r="FA26">
            <v>18215</v>
          </cell>
          <cell r="FB26">
            <v>60516</v>
          </cell>
          <cell r="FC26">
            <v>97000</v>
          </cell>
          <cell r="FD26">
            <v>4675</v>
          </cell>
          <cell r="FE26">
            <v>25536</v>
          </cell>
          <cell r="FF26">
            <v>203335</v>
          </cell>
          <cell r="FG26">
            <v>22890</v>
          </cell>
          <cell r="FH26">
            <v>86052</v>
          </cell>
          <cell r="FI26">
            <v>312277</v>
          </cell>
          <cell r="FJ26">
            <v>1105</v>
          </cell>
          <cell r="FK26">
            <v>1618</v>
          </cell>
          <cell r="FM26">
            <v>312277</v>
          </cell>
          <cell r="FN26">
            <v>13903</v>
          </cell>
          <cell r="FO26">
            <v>17393</v>
          </cell>
          <cell r="FP26">
            <v>280</v>
          </cell>
          <cell r="FQ26">
            <v>22</v>
          </cell>
          <cell r="FR26">
            <v>88</v>
          </cell>
          <cell r="FS26">
            <v>110</v>
          </cell>
          <cell r="FT26">
            <v>44141</v>
          </cell>
          <cell r="FU26">
            <v>3505</v>
          </cell>
          <cell r="FV26">
            <v>0</v>
          </cell>
          <cell r="FW26">
            <v>0</v>
          </cell>
          <cell r="FX26">
            <v>8582</v>
          </cell>
          <cell r="FY26">
            <v>1589</v>
          </cell>
          <cell r="FZ26">
            <v>325</v>
          </cell>
          <cell r="GA26">
            <v>0</v>
          </cell>
          <cell r="GF26">
            <v>36593</v>
          </cell>
          <cell r="GG26">
            <v>13194</v>
          </cell>
          <cell r="GH26">
            <v>264</v>
          </cell>
          <cell r="GI26">
            <v>12</v>
          </cell>
          <cell r="GJ26">
            <v>21762</v>
          </cell>
          <cell r="GK26">
            <v>8599</v>
          </cell>
          <cell r="GL26">
            <v>388</v>
          </cell>
          <cell r="GM26">
            <v>87</v>
          </cell>
          <cell r="GN26">
            <v>111078</v>
          </cell>
          <cell r="GO26">
            <v>26887</v>
          </cell>
          <cell r="GP26">
            <v>977</v>
          </cell>
          <cell r="GQ26">
            <v>99</v>
          </cell>
          <cell r="GR26">
            <v>113</v>
          </cell>
          <cell r="GT26">
            <v>128528</v>
          </cell>
          <cell r="GU26">
            <v>19750</v>
          </cell>
          <cell r="GV26">
            <v>113313</v>
          </cell>
          <cell r="GW26">
            <v>34108</v>
          </cell>
          <cell r="GX26">
            <v>1638</v>
          </cell>
          <cell r="GY26">
            <v>19819</v>
          </cell>
          <cell r="GZ26">
            <v>162636</v>
          </cell>
          <cell r="HA26">
            <v>21388</v>
          </cell>
          <cell r="HB26">
            <v>133132</v>
          </cell>
          <cell r="HC26">
            <v>317156</v>
          </cell>
          <cell r="HD26">
            <v>780</v>
          </cell>
          <cell r="HE26">
            <v>319051</v>
          </cell>
          <cell r="HF26">
            <v>16303</v>
          </cell>
          <cell r="HG26">
            <v>95738</v>
          </cell>
          <cell r="HH26">
            <v>1115</v>
          </cell>
          <cell r="HI26">
            <v>34</v>
          </cell>
          <cell r="HJ26">
            <v>112075</v>
          </cell>
          <cell r="HK26">
            <v>431126</v>
          </cell>
          <cell r="HL26">
            <v>23</v>
          </cell>
          <cell r="HM26">
            <v>40603</v>
          </cell>
          <cell r="HN26">
            <v>40626</v>
          </cell>
          <cell r="HO26">
            <v>189</v>
          </cell>
          <cell r="HP26">
            <v>15684</v>
          </cell>
          <cell r="HQ26">
            <v>15873</v>
          </cell>
          <cell r="HR26">
            <v>0</v>
          </cell>
          <cell r="HS26">
            <v>308</v>
          </cell>
          <cell r="HT26">
            <v>308</v>
          </cell>
          <cell r="HU26">
            <v>1340</v>
          </cell>
          <cell r="HV26">
            <v>58147</v>
          </cell>
          <cell r="HW26">
            <v>17145</v>
          </cell>
          <cell r="HX26">
            <v>41044</v>
          </cell>
          <cell r="HY26">
            <v>58189</v>
          </cell>
          <cell r="HZ26">
            <v>116336</v>
          </cell>
          <cell r="IA26">
            <v>32176</v>
          </cell>
          <cell r="IB26">
            <v>128222</v>
          </cell>
          <cell r="IC26">
            <v>489273</v>
          </cell>
          <cell r="ID26">
            <v>489273</v>
          </cell>
          <cell r="IE26">
            <v>547462</v>
          </cell>
          <cell r="IF26">
            <v>154466</v>
          </cell>
          <cell r="IG26">
            <v>8516</v>
          </cell>
          <cell r="IJ26">
            <v>1</v>
          </cell>
          <cell r="IK26">
            <v>3.78E-2</v>
          </cell>
          <cell r="IL26">
            <v>3.3E-3</v>
          </cell>
          <cell r="IM26">
            <v>0.2863</v>
          </cell>
          <cell r="IN26">
            <v>0</v>
          </cell>
          <cell r="IO26">
            <v>0.22869999999999999</v>
          </cell>
          <cell r="IP26">
            <v>2.0000000000000001E-4</v>
          </cell>
          <cell r="IQ26">
            <v>0.64290000000000003</v>
          </cell>
          <cell r="IR26">
            <v>8.4000000000000005E-2</v>
          </cell>
          <cell r="IS26">
            <v>0.31569999999999998</v>
          </cell>
          <cell r="IT26">
            <v>73504</v>
          </cell>
          <cell r="IU26">
            <v>33365</v>
          </cell>
          <cell r="IV26">
            <v>106869</v>
          </cell>
          <cell r="IW26">
            <v>0.67069999999999996</v>
          </cell>
          <cell r="IX26">
            <v>514377</v>
          </cell>
          <cell r="IZ26">
            <v>593</v>
          </cell>
          <cell r="JA26">
            <v>122</v>
          </cell>
          <cell r="JB26">
            <v>1288</v>
          </cell>
          <cell r="JC26">
            <v>47</v>
          </cell>
          <cell r="JD26">
            <v>76</v>
          </cell>
          <cell r="JE26">
            <v>682</v>
          </cell>
          <cell r="JF26">
            <v>640</v>
          </cell>
          <cell r="JG26">
            <v>198</v>
          </cell>
          <cell r="JH26">
            <v>1970</v>
          </cell>
          <cell r="JI26">
            <v>2808</v>
          </cell>
          <cell r="JJ26">
            <v>2003</v>
          </cell>
          <cell r="JK26">
            <v>805</v>
          </cell>
          <cell r="JL26">
            <v>16630</v>
          </cell>
          <cell r="JM26">
            <v>1706</v>
          </cell>
          <cell r="JN26">
            <v>25412</v>
          </cell>
          <cell r="JO26">
            <v>1299</v>
          </cell>
          <cell r="JP26">
            <v>2799</v>
          </cell>
          <cell r="JQ26">
            <v>28486</v>
          </cell>
          <cell r="JR26">
            <v>17929</v>
          </cell>
          <cell r="JS26">
            <v>4505</v>
          </cell>
          <cell r="JT26">
            <v>53898</v>
          </cell>
          <cell r="JU26">
            <v>76332</v>
          </cell>
          <cell r="JV26">
            <v>43748</v>
          </cell>
          <cell r="JW26">
            <v>32584</v>
          </cell>
          <cell r="JX26">
            <v>27.18</v>
          </cell>
          <cell r="JY26">
            <v>28.01</v>
          </cell>
          <cell r="JZ26">
            <v>27.36</v>
          </cell>
          <cell r="KA26">
            <v>0.23</v>
          </cell>
          <cell r="KB26">
            <v>0.71</v>
          </cell>
          <cell r="KC26">
            <v>83</v>
          </cell>
          <cell r="KD26">
            <v>751</v>
          </cell>
          <cell r="KE26">
            <v>391</v>
          </cell>
          <cell r="KF26">
            <v>2298</v>
          </cell>
          <cell r="KM26">
            <v>276247</v>
          </cell>
          <cell r="KN26">
            <v>73614</v>
          </cell>
          <cell r="KO26">
            <v>5271</v>
          </cell>
          <cell r="KQ26">
            <v>1320</v>
          </cell>
          <cell r="KR26">
            <v>18213</v>
          </cell>
          <cell r="KS26">
            <v>25232</v>
          </cell>
          <cell r="KT26">
            <v>10813</v>
          </cell>
          <cell r="KU26">
            <v>78</v>
          </cell>
          <cell r="KV26">
            <v>126</v>
          </cell>
          <cell r="KW26">
            <v>65814</v>
          </cell>
          <cell r="KY26">
            <v>320698</v>
          </cell>
          <cell r="LC26" t="str">
            <v>LEXINGTON PUBLIC LIBRARY</v>
          </cell>
          <cell r="LD26" t="str">
            <v>County Owned</v>
          </cell>
          <cell r="LE26" t="str">
            <v>602 S MAIN ST</v>
          </cell>
          <cell r="LF26" t="str">
            <v>LEXINGTON</v>
          </cell>
          <cell r="LG26">
            <v>27292</v>
          </cell>
          <cell r="LH26">
            <v>3239</v>
          </cell>
          <cell r="LI26" t="str">
            <v>602 S MAIN ST</v>
          </cell>
          <cell r="LJ26" t="str">
            <v>LEXINGTON</v>
          </cell>
          <cell r="LK26">
            <v>27292</v>
          </cell>
          <cell r="LL26">
            <v>3239</v>
          </cell>
          <cell r="LM26" t="str">
            <v>DAVIDSON</v>
          </cell>
          <cell r="LN26">
            <v>3362422040</v>
          </cell>
          <cell r="LO26">
            <v>3362484122</v>
          </cell>
          <cell r="LP26">
            <v>67854</v>
          </cell>
          <cell r="LQ26">
            <v>55.54</v>
          </cell>
          <cell r="LS26">
            <v>16172</v>
          </cell>
          <cell r="LT26">
            <v>312</v>
          </cell>
          <cell r="LW26">
            <v>2</v>
          </cell>
          <cell r="LX26" t="str">
            <v>C-DAVIDSON-D</v>
          </cell>
          <cell r="LY26">
            <v>0</v>
          </cell>
          <cell r="LZ26" t="str">
            <v>CE</v>
          </cell>
          <cell r="MA26">
            <v>94.11</v>
          </cell>
          <cell r="MB26">
            <v>93.93</v>
          </cell>
        </row>
        <row r="27">
          <cell r="A27" t="str">
            <v>NC0028</v>
          </cell>
          <cell r="B27">
            <v>0</v>
          </cell>
          <cell r="C27">
            <v>1375</v>
          </cell>
          <cell r="D27">
            <v>2017</v>
          </cell>
          <cell r="E27">
            <v>0</v>
          </cell>
          <cell r="F27" t="str">
            <v>NC0028</v>
          </cell>
          <cell r="G27" t="str">
            <v>C-DAVIE</v>
          </cell>
          <cell r="H27" t="str">
            <v>NO</v>
          </cell>
          <cell r="I27" t="str">
            <v>CO</v>
          </cell>
          <cell r="J27" t="str">
            <v>MO</v>
          </cell>
          <cell r="K27" t="str">
            <v>Y</v>
          </cell>
          <cell r="L27" t="str">
            <v>CO1</v>
          </cell>
          <cell r="M27" t="str">
            <v>N</v>
          </cell>
          <cell r="N27">
            <v>41743</v>
          </cell>
          <cell r="O27" t="str">
            <v>Yes</v>
          </cell>
          <cell r="P27">
            <v>163</v>
          </cell>
          <cell r="Q27">
            <v>46</v>
          </cell>
          <cell r="R27">
            <v>50</v>
          </cell>
          <cell r="S27">
            <v>136</v>
          </cell>
          <cell r="T27">
            <v>1051</v>
          </cell>
          <cell r="U27">
            <v>325</v>
          </cell>
          <cell r="V27">
            <v>11214</v>
          </cell>
          <cell r="W27">
            <v>1261</v>
          </cell>
          <cell r="X27">
            <v>148330</v>
          </cell>
          <cell r="Y27">
            <v>120704</v>
          </cell>
          <cell r="Z27" t="str">
            <v>371 N MAIN ST</v>
          </cell>
          <cell r="AA27" t="str">
            <v>MOCKSVILLE</v>
          </cell>
          <cell r="AB27">
            <v>27028</v>
          </cell>
          <cell r="AC27">
            <v>2115</v>
          </cell>
          <cell r="AD27" t="str">
            <v>371 N MAIN ST</v>
          </cell>
          <cell r="AE27" t="str">
            <v>MOCKSVILLE</v>
          </cell>
          <cell r="AF27">
            <v>27028</v>
          </cell>
          <cell r="AG27">
            <v>2</v>
          </cell>
          <cell r="AH27" t="str">
            <v>DAVIE COUNTY PUBLIC LIBRARY</v>
          </cell>
          <cell r="AJ27" t="str">
            <v>County</v>
          </cell>
          <cell r="AK27" t="str">
            <v>DAVIE</v>
          </cell>
          <cell r="AL27" t="str">
            <v>Jane S. McAllister</v>
          </cell>
          <cell r="AM27" t="str">
            <v>(336) 753-6034</v>
          </cell>
          <cell r="AN27" t="str">
            <v>(336) 751-1370</v>
          </cell>
          <cell r="AO27" t="str">
            <v>jmcallister@daviecountync.gov</v>
          </cell>
          <cell r="AP27" t="str">
            <v>Jane McAllister</v>
          </cell>
          <cell r="AQ27" t="str">
            <v>Director</v>
          </cell>
          <cell r="AR27" t="str">
            <v>(336) 753-6034</v>
          </cell>
          <cell r="AS27" t="str">
            <v>(336) 751-1370</v>
          </cell>
          <cell r="AT27" t="str">
            <v>jmcallister@daviecountync.gov</v>
          </cell>
          <cell r="AU27" t="str">
            <v>www.library.daviecounty.org/</v>
          </cell>
          <cell r="BC27">
            <v>1</v>
          </cell>
          <cell r="BD27">
            <v>1</v>
          </cell>
          <cell r="BE27">
            <v>0</v>
          </cell>
          <cell r="BF27">
            <v>1</v>
          </cell>
          <cell r="BG27">
            <v>3</v>
          </cell>
          <cell r="BI27">
            <v>4638</v>
          </cell>
          <cell r="BJ27">
            <v>1.88</v>
          </cell>
          <cell r="BK27">
            <v>1.41</v>
          </cell>
          <cell r="BL27">
            <v>3.29</v>
          </cell>
          <cell r="BM27">
            <v>6.66</v>
          </cell>
          <cell r="BN27">
            <v>9.9499999999999993</v>
          </cell>
          <cell r="BO27">
            <v>0.18890000000000001</v>
          </cell>
          <cell r="BP27">
            <v>1672</v>
          </cell>
          <cell r="BQ27">
            <v>62241</v>
          </cell>
          <cell r="BT27">
            <v>0</v>
          </cell>
          <cell r="CR27">
            <v>39240</v>
          </cell>
          <cell r="CS27">
            <v>60847</v>
          </cell>
          <cell r="CT27">
            <v>50043</v>
          </cell>
          <cell r="CV27">
            <v>39240</v>
          </cell>
          <cell r="CW27">
            <v>60847</v>
          </cell>
          <cell r="CX27">
            <v>50043</v>
          </cell>
          <cell r="CZ27">
            <v>39240</v>
          </cell>
          <cell r="DA27">
            <v>60847</v>
          </cell>
          <cell r="DB27">
            <v>50043</v>
          </cell>
          <cell r="DO27">
            <v>26558</v>
          </cell>
          <cell r="DP27">
            <v>41184</v>
          </cell>
          <cell r="DQ27">
            <v>35564</v>
          </cell>
          <cell r="DV27">
            <v>50021</v>
          </cell>
          <cell r="DW27">
            <v>428809</v>
          </cell>
          <cell r="DX27">
            <v>478830</v>
          </cell>
          <cell r="DY27">
            <v>90551</v>
          </cell>
          <cell r="DZ27">
            <v>0</v>
          </cell>
          <cell r="EA27">
            <v>90551</v>
          </cell>
          <cell r="EB27">
            <v>24767</v>
          </cell>
          <cell r="EC27">
            <v>0</v>
          </cell>
          <cell r="ED27">
            <v>24767</v>
          </cell>
          <cell r="EE27">
            <v>63213</v>
          </cell>
          <cell r="EF27">
            <v>657361</v>
          </cell>
          <cell r="EG27">
            <v>340667</v>
          </cell>
          <cell r="EH27">
            <v>105383</v>
          </cell>
          <cell r="EI27">
            <v>446050</v>
          </cell>
          <cell r="EJ27">
            <v>74076</v>
          </cell>
          <cell r="EK27">
            <v>19091</v>
          </cell>
          <cell r="EL27">
            <v>7850</v>
          </cell>
          <cell r="EM27">
            <v>101017</v>
          </cell>
          <cell r="EN27">
            <v>110294</v>
          </cell>
          <cell r="EO27">
            <v>657361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11757</v>
          </cell>
          <cell r="EY27">
            <v>165106</v>
          </cell>
          <cell r="EZ27">
            <v>19735</v>
          </cell>
          <cell r="FA27">
            <v>2615</v>
          </cell>
          <cell r="FB27">
            <v>16560</v>
          </cell>
          <cell r="FC27">
            <v>21876</v>
          </cell>
          <cell r="FD27">
            <v>949</v>
          </cell>
          <cell r="FE27">
            <v>9674</v>
          </cell>
          <cell r="FF27">
            <v>41611</v>
          </cell>
          <cell r="FG27">
            <v>3564</v>
          </cell>
          <cell r="FH27">
            <v>26234</v>
          </cell>
          <cell r="FI27">
            <v>71409</v>
          </cell>
          <cell r="FJ27">
            <v>167</v>
          </cell>
          <cell r="FK27">
            <v>87</v>
          </cell>
          <cell r="FM27">
            <v>71409</v>
          </cell>
          <cell r="FN27">
            <v>4067</v>
          </cell>
          <cell r="FO27">
            <v>2416</v>
          </cell>
          <cell r="FP27">
            <v>54</v>
          </cell>
          <cell r="FQ27">
            <v>5</v>
          </cell>
          <cell r="FR27">
            <v>88</v>
          </cell>
          <cell r="FS27">
            <v>93</v>
          </cell>
          <cell r="FT27">
            <v>44141</v>
          </cell>
          <cell r="FU27">
            <v>3505</v>
          </cell>
          <cell r="FV27">
            <v>0</v>
          </cell>
          <cell r="FW27">
            <v>0</v>
          </cell>
          <cell r="FX27">
            <v>8544</v>
          </cell>
          <cell r="FY27">
            <v>1573</v>
          </cell>
          <cell r="FZ27">
            <v>322</v>
          </cell>
          <cell r="GA27">
            <v>0</v>
          </cell>
          <cell r="GB27">
            <v>26436</v>
          </cell>
          <cell r="GC27">
            <v>1747</v>
          </cell>
          <cell r="GD27">
            <v>278</v>
          </cell>
          <cell r="GJ27">
            <v>245</v>
          </cell>
          <cell r="GK27">
            <v>22</v>
          </cell>
          <cell r="GL27">
            <v>0</v>
          </cell>
          <cell r="GM27">
            <v>0</v>
          </cell>
          <cell r="GN27">
            <v>79366</v>
          </cell>
          <cell r="GO27">
            <v>6847</v>
          </cell>
          <cell r="GP27">
            <v>600</v>
          </cell>
          <cell r="GQ27">
            <v>0</v>
          </cell>
          <cell r="GR27">
            <v>36</v>
          </cell>
          <cell r="GT27">
            <v>24149</v>
          </cell>
          <cell r="GU27">
            <v>2566</v>
          </cell>
          <cell r="GV27">
            <v>29324</v>
          </cell>
          <cell r="GW27">
            <v>8248</v>
          </cell>
          <cell r="GX27">
            <v>267</v>
          </cell>
          <cell r="GY27">
            <v>6811</v>
          </cell>
          <cell r="GZ27">
            <v>32397</v>
          </cell>
          <cell r="HA27">
            <v>2833</v>
          </cell>
          <cell r="HB27">
            <v>36135</v>
          </cell>
          <cell r="HC27">
            <v>71365</v>
          </cell>
          <cell r="HD27">
            <v>0</v>
          </cell>
          <cell r="HE27">
            <v>72734</v>
          </cell>
          <cell r="HF27">
            <v>4545</v>
          </cell>
          <cell r="HG27">
            <v>7323</v>
          </cell>
          <cell r="HH27">
            <v>1369</v>
          </cell>
          <cell r="HI27">
            <v>1420</v>
          </cell>
          <cell r="HJ27">
            <v>13288</v>
          </cell>
          <cell r="HK27">
            <v>86022</v>
          </cell>
          <cell r="HL27">
            <v>15</v>
          </cell>
          <cell r="HM27">
            <v>9309</v>
          </cell>
          <cell r="HN27">
            <v>9324</v>
          </cell>
          <cell r="HO27">
            <v>5</v>
          </cell>
          <cell r="HP27">
            <v>1587</v>
          </cell>
          <cell r="HQ27">
            <v>1592</v>
          </cell>
          <cell r="HR27">
            <v>0</v>
          </cell>
          <cell r="HS27">
            <v>30</v>
          </cell>
          <cell r="HT27">
            <v>30</v>
          </cell>
          <cell r="HU27">
            <v>177</v>
          </cell>
          <cell r="HV27">
            <v>11123</v>
          </cell>
          <cell r="HW27">
            <v>3290</v>
          </cell>
          <cell r="HX27">
            <v>14858</v>
          </cell>
          <cell r="HY27">
            <v>18148</v>
          </cell>
          <cell r="HZ27">
            <v>29271</v>
          </cell>
          <cell r="IA27">
            <v>6137</v>
          </cell>
          <cell r="IB27">
            <v>13490</v>
          </cell>
          <cell r="IC27">
            <v>97145</v>
          </cell>
          <cell r="ID27">
            <v>97145</v>
          </cell>
          <cell r="IE27">
            <v>115293</v>
          </cell>
          <cell r="IF27">
            <v>42740</v>
          </cell>
          <cell r="IG27">
            <v>6045</v>
          </cell>
          <cell r="IJ27">
            <v>1</v>
          </cell>
          <cell r="IK27">
            <v>1.83E-2</v>
          </cell>
          <cell r="IL27">
            <v>5.0000000000000001E-4</v>
          </cell>
          <cell r="IM27">
            <v>0.52580000000000005</v>
          </cell>
          <cell r="IN27">
            <v>0</v>
          </cell>
          <cell r="IO27">
            <v>0.48070000000000002</v>
          </cell>
          <cell r="IP27">
            <v>5.9999999999999995E-4</v>
          </cell>
          <cell r="IQ27">
            <v>0.4325</v>
          </cell>
          <cell r="IR27">
            <v>6.6100000000000006E-2</v>
          </cell>
          <cell r="IS27">
            <v>0.44</v>
          </cell>
          <cell r="IT27">
            <v>12264</v>
          </cell>
          <cell r="IU27">
            <v>9862</v>
          </cell>
          <cell r="IV27">
            <v>22126</v>
          </cell>
          <cell r="IW27">
            <v>0.53010000000000002</v>
          </cell>
          <cell r="IX27">
            <v>59070</v>
          </cell>
          <cell r="IZ27">
            <v>10</v>
          </cell>
          <cell r="JA27">
            <v>34</v>
          </cell>
          <cell r="JB27">
            <v>164</v>
          </cell>
          <cell r="JC27">
            <v>9</v>
          </cell>
          <cell r="JD27">
            <v>2</v>
          </cell>
          <cell r="JE27">
            <v>653</v>
          </cell>
          <cell r="JF27">
            <v>19</v>
          </cell>
          <cell r="JG27">
            <v>36</v>
          </cell>
          <cell r="JH27">
            <v>817</v>
          </cell>
          <cell r="JI27">
            <v>872</v>
          </cell>
          <cell r="JJ27">
            <v>208</v>
          </cell>
          <cell r="JK27">
            <v>664</v>
          </cell>
          <cell r="JL27">
            <v>136</v>
          </cell>
          <cell r="JM27">
            <v>325</v>
          </cell>
          <cell r="JN27">
            <v>2631</v>
          </cell>
          <cell r="JO27">
            <v>53</v>
          </cell>
          <cell r="JP27">
            <v>38</v>
          </cell>
          <cell r="JQ27">
            <v>17575</v>
          </cell>
          <cell r="JR27">
            <v>189</v>
          </cell>
          <cell r="JS27">
            <v>363</v>
          </cell>
          <cell r="JT27">
            <v>20206</v>
          </cell>
          <cell r="JU27">
            <v>20758</v>
          </cell>
          <cell r="JV27">
            <v>3092</v>
          </cell>
          <cell r="JW27">
            <v>17666</v>
          </cell>
          <cell r="JX27">
            <v>23.81</v>
          </cell>
          <cell r="JY27">
            <v>9.9499999999999993</v>
          </cell>
          <cell r="JZ27">
            <v>24.73</v>
          </cell>
          <cell r="KA27">
            <v>0.01</v>
          </cell>
          <cell r="KB27">
            <v>0.97</v>
          </cell>
          <cell r="KC27">
            <v>36</v>
          </cell>
          <cell r="KD27">
            <v>225</v>
          </cell>
          <cell r="KE27">
            <v>8</v>
          </cell>
          <cell r="KF27">
            <v>63</v>
          </cell>
          <cell r="KG27">
            <v>728</v>
          </cell>
          <cell r="KH27">
            <v>11629</v>
          </cell>
          <cell r="KI27">
            <v>39</v>
          </cell>
          <cell r="KJ27">
            <v>306</v>
          </cell>
          <cell r="KK27">
            <v>2</v>
          </cell>
          <cell r="KL27">
            <v>31</v>
          </cell>
          <cell r="KM27">
            <v>4412</v>
          </cell>
          <cell r="KN27">
            <v>2749</v>
          </cell>
          <cell r="KO27">
            <v>1532</v>
          </cell>
          <cell r="KQ27">
            <v>1185</v>
          </cell>
          <cell r="KR27">
            <v>6655</v>
          </cell>
          <cell r="KS27">
            <v>5192</v>
          </cell>
          <cell r="KT27">
            <v>2167</v>
          </cell>
          <cell r="KU27">
            <v>17</v>
          </cell>
          <cell r="KV27">
            <v>44</v>
          </cell>
          <cell r="KW27">
            <v>12520</v>
          </cell>
          <cell r="KY27">
            <v>18017</v>
          </cell>
          <cell r="KZ27">
            <v>6952</v>
          </cell>
          <cell r="LC27" t="str">
            <v>DAVIE COUNTY PUBLIC LIBRARY</v>
          </cell>
          <cell r="LD27" t="str">
            <v>County Owned</v>
          </cell>
          <cell r="LE27" t="str">
            <v>371 N MAIN ST</v>
          </cell>
          <cell r="LF27" t="str">
            <v>MOCKSVILLE</v>
          </cell>
          <cell r="LG27">
            <v>27028</v>
          </cell>
          <cell r="LH27">
            <v>2115</v>
          </cell>
          <cell r="LI27" t="str">
            <v>371 N MAIN ST</v>
          </cell>
          <cell r="LJ27" t="str">
            <v>MOCKSVILLE</v>
          </cell>
          <cell r="LK27">
            <v>27028</v>
          </cell>
          <cell r="LL27">
            <v>2115</v>
          </cell>
          <cell r="LM27" t="str">
            <v>DAVIE</v>
          </cell>
          <cell r="LN27">
            <v>3367536030</v>
          </cell>
          <cell r="LO27">
            <v>3367511370</v>
          </cell>
          <cell r="LP27">
            <v>18120</v>
          </cell>
          <cell r="LQ27">
            <v>9.94</v>
          </cell>
          <cell r="LS27">
            <v>4638</v>
          </cell>
          <cell r="LT27">
            <v>104</v>
          </cell>
          <cell r="LW27">
            <v>2</v>
          </cell>
          <cell r="LX27" t="str">
            <v>C-DAVIE-D</v>
          </cell>
          <cell r="LY27">
            <v>0</v>
          </cell>
          <cell r="LZ27" t="str">
            <v>CE</v>
          </cell>
          <cell r="MA27">
            <v>19</v>
          </cell>
          <cell r="MB27">
            <v>103</v>
          </cell>
        </row>
        <row r="28">
          <cell r="A28" t="str">
            <v>NC0029</v>
          </cell>
          <cell r="B28">
            <v>0</v>
          </cell>
          <cell r="C28">
            <v>1375</v>
          </cell>
          <cell r="D28">
            <v>2017</v>
          </cell>
          <cell r="E28">
            <v>0</v>
          </cell>
          <cell r="F28" t="str">
            <v>NC0029</v>
          </cell>
          <cell r="G28" t="str">
            <v>C-DUPLIN</v>
          </cell>
          <cell r="H28" t="str">
            <v>NO</v>
          </cell>
          <cell r="I28" t="str">
            <v>CO</v>
          </cell>
          <cell r="J28" t="str">
            <v>MO</v>
          </cell>
          <cell r="K28" t="str">
            <v>Y</v>
          </cell>
          <cell r="L28" t="str">
            <v>CO1</v>
          </cell>
          <cell r="M28" t="str">
            <v>N</v>
          </cell>
          <cell r="N28">
            <v>59868</v>
          </cell>
          <cell r="O28" t="str">
            <v>Yes</v>
          </cell>
          <cell r="P28">
            <v>115</v>
          </cell>
          <cell r="Q28">
            <v>0</v>
          </cell>
          <cell r="R28">
            <v>16</v>
          </cell>
          <cell r="S28">
            <v>0</v>
          </cell>
          <cell r="T28">
            <v>565</v>
          </cell>
          <cell r="U28">
            <v>0</v>
          </cell>
          <cell r="V28">
            <v>10449</v>
          </cell>
          <cell r="W28">
            <v>0</v>
          </cell>
          <cell r="X28">
            <v>2500</v>
          </cell>
          <cell r="Y28">
            <v>0</v>
          </cell>
          <cell r="Z28" t="str">
            <v>PO BOX 930</v>
          </cell>
          <cell r="AA28" t="str">
            <v>KENANSVILLE</v>
          </cell>
          <cell r="AB28">
            <v>28349</v>
          </cell>
          <cell r="AC28">
            <v>930</v>
          </cell>
          <cell r="AD28" t="str">
            <v>107 BOWDEN DR</v>
          </cell>
          <cell r="AE28" t="str">
            <v>KENANSVILLE</v>
          </cell>
          <cell r="AF28">
            <v>28349</v>
          </cell>
          <cell r="AG28">
            <v>2</v>
          </cell>
          <cell r="AH28" t="str">
            <v>DUPLIN COUNTY LIBRARY</v>
          </cell>
          <cell r="AJ28" t="str">
            <v>County</v>
          </cell>
          <cell r="AK28" t="str">
            <v>DUPLIN</v>
          </cell>
          <cell r="AL28" t="str">
            <v>Shannon Sutton - Interim</v>
          </cell>
          <cell r="AM28" t="str">
            <v>(910) 296-2117</v>
          </cell>
          <cell r="AN28" t="str">
            <v>(910) 296-2172</v>
          </cell>
          <cell r="AO28" t="str">
            <v>shannon.sutton@duplincountync.com</v>
          </cell>
          <cell r="AP28" t="str">
            <v>Shannon Sutton</v>
          </cell>
          <cell r="AQ28" t="str">
            <v>Interim Library Director</v>
          </cell>
          <cell r="AR28" t="str">
            <v>(910) 296-2117</v>
          </cell>
          <cell r="AS28" t="str">
            <v>(910) 296-2172</v>
          </cell>
          <cell r="AT28" t="str">
            <v>shannon.sutton@duplincountync.com</v>
          </cell>
          <cell r="AU28" t="str">
            <v>www.youseemore.com/duplin</v>
          </cell>
          <cell r="BC28">
            <v>1</v>
          </cell>
          <cell r="BD28">
            <v>5</v>
          </cell>
          <cell r="BE28">
            <v>0</v>
          </cell>
          <cell r="BF28">
            <v>0</v>
          </cell>
          <cell r="BG28">
            <v>6</v>
          </cell>
          <cell r="BI28">
            <v>7624</v>
          </cell>
          <cell r="BJ28">
            <v>0</v>
          </cell>
          <cell r="BK28">
            <v>1</v>
          </cell>
          <cell r="BL28">
            <v>1</v>
          </cell>
          <cell r="BM28">
            <v>8</v>
          </cell>
          <cell r="BN28">
            <v>9</v>
          </cell>
          <cell r="BO28">
            <v>0</v>
          </cell>
          <cell r="BP28">
            <v>0</v>
          </cell>
          <cell r="BQ28">
            <v>48060</v>
          </cell>
          <cell r="BU28">
            <v>26533</v>
          </cell>
          <cell r="BV28">
            <v>47118</v>
          </cell>
          <cell r="BW28">
            <v>26013</v>
          </cell>
          <cell r="CR28">
            <v>28720</v>
          </cell>
          <cell r="CS28">
            <v>51003</v>
          </cell>
          <cell r="CT28">
            <v>30476</v>
          </cell>
          <cell r="DO28">
            <v>23579</v>
          </cell>
          <cell r="DP28">
            <v>41873</v>
          </cell>
          <cell r="DQ28">
            <v>23940</v>
          </cell>
          <cell r="DV28">
            <v>38060</v>
          </cell>
          <cell r="DW28">
            <v>483179</v>
          </cell>
          <cell r="DX28">
            <v>521239</v>
          </cell>
          <cell r="DY28">
            <v>122312</v>
          </cell>
          <cell r="DZ28">
            <v>0</v>
          </cell>
          <cell r="EA28">
            <v>122312</v>
          </cell>
          <cell r="EB28">
            <v>1168</v>
          </cell>
          <cell r="EC28">
            <v>0</v>
          </cell>
          <cell r="ED28">
            <v>1168</v>
          </cell>
          <cell r="EE28">
            <v>0</v>
          </cell>
          <cell r="EF28">
            <v>644719</v>
          </cell>
          <cell r="EG28">
            <v>282785</v>
          </cell>
          <cell r="EH28">
            <v>102826</v>
          </cell>
          <cell r="EI28">
            <v>385611</v>
          </cell>
          <cell r="EJ28">
            <v>80475</v>
          </cell>
          <cell r="EK28">
            <v>6000</v>
          </cell>
          <cell r="EL28">
            <v>26325</v>
          </cell>
          <cell r="EM28">
            <v>112800</v>
          </cell>
          <cell r="EN28">
            <v>84400</v>
          </cell>
          <cell r="EO28">
            <v>582811</v>
          </cell>
          <cell r="EP28">
            <v>61908</v>
          </cell>
          <cell r="EQ28">
            <v>9.6000000000000002E-2</v>
          </cell>
          <cell r="ER28">
            <v>0</v>
          </cell>
          <cell r="ES28">
            <v>0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12596</v>
          </cell>
          <cell r="EY28">
            <v>175652</v>
          </cell>
          <cell r="EZ28">
            <v>28924</v>
          </cell>
          <cell r="FA28">
            <v>1140</v>
          </cell>
          <cell r="FB28">
            <v>18780</v>
          </cell>
          <cell r="FC28">
            <v>17915</v>
          </cell>
          <cell r="FD28">
            <v>0</v>
          </cell>
          <cell r="FE28">
            <v>14062</v>
          </cell>
          <cell r="FF28">
            <v>46839</v>
          </cell>
          <cell r="FG28">
            <v>1140</v>
          </cell>
          <cell r="FH28">
            <v>32842</v>
          </cell>
          <cell r="FI28">
            <v>80821</v>
          </cell>
          <cell r="FJ28">
            <v>2</v>
          </cell>
          <cell r="FK28">
            <v>44</v>
          </cell>
          <cell r="FM28">
            <v>80821</v>
          </cell>
          <cell r="FN28">
            <v>2463</v>
          </cell>
          <cell r="FO28">
            <v>4881</v>
          </cell>
          <cell r="FP28">
            <v>808</v>
          </cell>
          <cell r="FQ28">
            <v>0</v>
          </cell>
          <cell r="FR28">
            <v>88</v>
          </cell>
          <cell r="FS28">
            <v>88</v>
          </cell>
          <cell r="FT28">
            <v>44141</v>
          </cell>
          <cell r="FU28">
            <v>3505</v>
          </cell>
          <cell r="FV28">
            <v>0</v>
          </cell>
          <cell r="FW28">
            <v>0</v>
          </cell>
          <cell r="FX28">
            <v>8544</v>
          </cell>
          <cell r="FY28">
            <v>1573</v>
          </cell>
          <cell r="FZ28">
            <v>322</v>
          </cell>
          <cell r="GA28">
            <v>0</v>
          </cell>
          <cell r="GB28">
            <v>26436</v>
          </cell>
          <cell r="GC28">
            <v>1747</v>
          </cell>
          <cell r="GD28">
            <v>278</v>
          </cell>
          <cell r="GE28">
            <v>0</v>
          </cell>
          <cell r="GJ28">
            <v>0</v>
          </cell>
          <cell r="GK28">
            <v>0</v>
          </cell>
          <cell r="GL28">
            <v>0</v>
          </cell>
          <cell r="GM28">
            <v>-1</v>
          </cell>
          <cell r="GN28">
            <v>79121</v>
          </cell>
          <cell r="GO28">
            <v>6825</v>
          </cell>
          <cell r="GP28">
            <v>600</v>
          </cell>
          <cell r="GQ28">
            <v>-1</v>
          </cell>
          <cell r="GR28">
            <v>10</v>
          </cell>
          <cell r="GT28">
            <v>21532</v>
          </cell>
          <cell r="GU28">
            <v>1037</v>
          </cell>
          <cell r="GV28">
            <v>11848</v>
          </cell>
          <cell r="GW28">
            <v>6143</v>
          </cell>
          <cell r="GX28">
            <v>0</v>
          </cell>
          <cell r="GY28">
            <v>3242</v>
          </cell>
          <cell r="GZ28">
            <v>27675</v>
          </cell>
          <cell r="HA28">
            <v>1037</v>
          </cell>
          <cell r="HB28">
            <v>15090</v>
          </cell>
          <cell r="HC28">
            <v>43802</v>
          </cell>
          <cell r="HD28">
            <v>462</v>
          </cell>
          <cell r="HE28">
            <v>44264</v>
          </cell>
          <cell r="HF28">
            <v>1864</v>
          </cell>
          <cell r="HG28">
            <v>12441</v>
          </cell>
          <cell r="HH28">
            <v>0</v>
          </cell>
          <cell r="HI28">
            <v>0</v>
          </cell>
          <cell r="HJ28">
            <v>14305</v>
          </cell>
          <cell r="HK28">
            <v>58569</v>
          </cell>
          <cell r="HL28">
            <v>31</v>
          </cell>
          <cell r="HM28">
            <v>4080</v>
          </cell>
          <cell r="HN28">
            <v>4111</v>
          </cell>
          <cell r="HO28">
            <v>2</v>
          </cell>
          <cell r="HP28">
            <v>467</v>
          </cell>
          <cell r="HQ28">
            <v>469</v>
          </cell>
          <cell r="HR28">
            <v>0</v>
          </cell>
          <cell r="HS28">
            <v>11</v>
          </cell>
          <cell r="HT28">
            <v>11</v>
          </cell>
          <cell r="HU28">
            <v>95</v>
          </cell>
          <cell r="HV28">
            <v>4686</v>
          </cell>
          <cell r="HW28">
            <v>2015</v>
          </cell>
          <cell r="HX28">
            <v>0</v>
          </cell>
          <cell r="HY28">
            <v>2015</v>
          </cell>
          <cell r="HZ28">
            <v>6701</v>
          </cell>
          <cell r="IA28">
            <v>2333</v>
          </cell>
          <cell r="IB28">
            <v>14785</v>
          </cell>
          <cell r="IC28">
            <v>63255</v>
          </cell>
          <cell r="ID28">
            <v>63255</v>
          </cell>
          <cell r="IE28">
            <v>65270</v>
          </cell>
          <cell r="IF28">
            <v>15090</v>
          </cell>
          <cell r="IG28">
            <v>0</v>
          </cell>
          <cell r="IJ28">
            <v>3</v>
          </cell>
          <cell r="IK28">
            <v>3.1199999999999999E-2</v>
          </cell>
          <cell r="IL28">
            <v>2.9999999999999997E-4</v>
          </cell>
          <cell r="IM28">
            <v>0.49270000000000003</v>
          </cell>
          <cell r="IN28">
            <v>0</v>
          </cell>
          <cell r="IO28">
            <v>0.45040000000000002</v>
          </cell>
          <cell r="IP28">
            <v>5.0000000000000001E-4</v>
          </cell>
          <cell r="IQ28">
            <v>0.46010000000000001</v>
          </cell>
          <cell r="IR28">
            <v>5.2900000000000003E-2</v>
          </cell>
          <cell r="IS28">
            <v>0.23860000000000001</v>
          </cell>
          <cell r="IT28">
            <v>3319</v>
          </cell>
          <cell r="IU28">
            <v>1051</v>
          </cell>
          <cell r="IV28">
            <v>4370</v>
          </cell>
          <cell r="IW28">
            <v>7.2999999999999995E-2</v>
          </cell>
          <cell r="IX28">
            <v>31718</v>
          </cell>
          <cell r="IZ28">
            <v>3</v>
          </cell>
          <cell r="JA28">
            <v>0</v>
          </cell>
          <cell r="JB28">
            <v>126</v>
          </cell>
          <cell r="JC28">
            <v>0</v>
          </cell>
          <cell r="JD28">
            <v>0</v>
          </cell>
          <cell r="JE28">
            <v>2</v>
          </cell>
          <cell r="JF28">
            <v>3</v>
          </cell>
          <cell r="JG28">
            <v>0</v>
          </cell>
          <cell r="JH28">
            <v>128</v>
          </cell>
          <cell r="JI28">
            <v>131</v>
          </cell>
          <cell r="JJ28">
            <v>129</v>
          </cell>
          <cell r="JK28">
            <v>2</v>
          </cell>
          <cell r="JL28">
            <v>4</v>
          </cell>
          <cell r="JM28">
            <v>0</v>
          </cell>
          <cell r="JN28">
            <v>2864</v>
          </cell>
          <cell r="JO28">
            <v>0</v>
          </cell>
          <cell r="JP28">
            <v>0</v>
          </cell>
          <cell r="JQ28">
            <v>765</v>
          </cell>
          <cell r="JR28">
            <v>4</v>
          </cell>
          <cell r="JS28">
            <v>0</v>
          </cell>
          <cell r="JT28">
            <v>3629</v>
          </cell>
          <cell r="JU28">
            <v>3633</v>
          </cell>
          <cell r="JV28">
            <v>2868</v>
          </cell>
          <cell r="JW28">
            <v>765</v>
          </cell>
          <cell r="JX28">
            <v>27.73</v>
          </cell>
          <cell r="JY28">
            <v>1.33</v>
          </cell>
          <cell r="JZ28">
            <v>28.35</v>
          </cell>
          <cell r="KA28">
            <v>0</v>
          </cell>
          <cell r="KB28">
            <v>1</v>
          </cell>
          <cell r="KC28">
            <v>2</v>
          </cell>
          <cell r="KD28">
            <v>4</v>
          </cell>
          <cell r="KE28">
            <v>1</v>
          </cell>
          <cell r="KF28">
            <v>4</v>
          </cell>
          <cell r="KM28">
            <v>4364</v>
          </cell>
          <cell r="KN28">
            <v>3016</v>
          </cell>
          <cell r="KO28">
            <v>156</v>
          </cell>
          <cell r="KQ28">
            <v>122</v>
          </cell>
          <cell r="KR28">
            <v>831</v>
          </cell>
          <cell r="KS28">
            <v>13</v>
          </cell>
          <cell r="KT28">
            <v>33</v>
          </cell>
          <cell r="KU28">
            <v>14</v>
          </cell>
          <cell r="KV28">
            <v>42</v>
          </cell>
          <cell r="KW28">
            <v>7965</v>
          </cell>
          <cell r="LC28" t="str">
            <v>DUPLIN COUNTY - DOROTHY WIGHTMAN LIBRARY</v>
          </cell>
          <cell r="LD28" t="str">
            <v>County Owned</v>
          </cell>
          <cell r="LE28" t="str">
            <v>PO BOX 930</v>
          </cell>
          <cell r="LF28" t="str">
            <v>KENANSVILLE</v>
          </cell>
          <cell r="LG28">
            <v>28349</v>
          </cell>
          <cell r="LH28">
            <v>930</v>
          </cell>
          <cell r="LI28" t="str">
            <v>107 BOWDEN DR</v>
          </cell>
          <cell r="LJ28" t="str">
            <v>KENANSVILLE</v>
          </cell>
          <cell r="LK28">
            <v>28349</v>
          </cell>
          <cell r="LL28">
            <v>930</v>
          </cell>
          <cell r="LM28" t="str">
            <v>DUPLIN</v>
          </cell>
          <cell r="LN28">
            <v>9102962117</v>
          </cell>
          <cell r="LO28" t="str">
            <v>(910) 296-2172</v>
          </cell>
          <cell r="LP28">
            <v>14634</v>
          </cell>
          <cell r="LQ28">
            <v>10.35</v>
          </cell>
          <cell r="LS28">
            <v>7624</v>
          </cell>
          <cell r="LT28">
            <v>312</v>
          </cell>
          <cell r="LW28">
            <v>2</v>
          </cell>
          <cell r="LX28" t="str">
            <v>C-DUPLIN-D</v>
          </cell>
          <cell r="LY28">
            <v>0</v>
          </cell>
          <cell r="LZ28" t="str">
            <v>CE</v>
          </cell>
          <cell r="MA28">
            <v>30</v>
          </cell>
          <cell r="MB28">
            <v>30</v>
          </cell>
        </row>
        <row r="29">
          <cell r="A29" t="str">
            <v>NC0030</v>
          </cell>
          <cell r="B29">
            <v>0</v>
          </cell>
          <cell r="C29">
            <v>1375</v>
          </cell>
          <cell r="D29">
            <v>2017</v>
          </cell>
          <cell r="E29">
            <v>0</v>
          </cell>
          <cell r="F29" t="str">
            <v>NC0030</v>
          </cell>
          <cell r="G29" t="str">
            <v>C-DURHAM</v>
          </cell>
          <cell r="H29" t="str">
            <v>NO</v>
          </cell>
          <cell r="I29" t="str">
            <v>CO</v>
          </cell>
          <cell r="J29" t="str">
            <v>MO</v>
          </cell>
          <cell r="K29" t="str">
            <v>Y</v>
          </cell>
          <cell r="L29" t="str">
            <v>CO2</v>
          </cell>
          <cell r="M29" t="str">
            <v>N</v>
          </cell>
          <cell r="N29">
            <v>294109</v>
          </cell>
          <cell r="O29" t="str">
            <v>Yes</v>
          </cell>
          <cell r="P29">
            <v>2616</v>
          </cell>
          <cell r="Q29">
            <v>496</v>
          </cell>
          <cell r="R29">
            <v>559</v>
          </cell>
          <cell r="S29">
            <v>144</v>
          </cell>
          <cell r="T29">
            <v>21626</v>
          </cell>
          <cell r="U29">
            <v>1590</v>
          </cell>
          <cell r="V29">
            <v>264371</v>
          </cell>
          <cell r="W29">
            <v>23327</v>
          </cell>
          <cell r="X29">
            <v>1066945</v>
          </cell>
          <cell r="Y29">
            <v>300987</v>
          </cell>
          <cell r="Z29" t="str">
            <v>101 East Morgan Street</v>
          </cell>
          <cell r="AA29" t="str">
            <v>DURHAM</v>
          </cell>
          <cell r="AB29">
            <v>22701</v>
          </cell>
          <cell r="AC29">
            <v>3414</v>
          </cell>
          <cell r="AD29" t="str">
            <v>101 East Morgan Street</v>
          </cell>
          <cell r="AE29" t="str">
            <v>DURHAM</v>
          </cell>
          <cell r="AF29">
            <v>27701</v>
          </cell>
          <cell r="AG29">
            <v>3</v>
          </cell>
          <cell r="AH29" t="str">
            <v>DURHAM COUNTY LIBRARY</v>
          </cell>
          <cell r="AJ29" t="str">
            <v>County</v>
          </cell>
          <cell r="AK29" t="str">
            <v>DURHAM</v>
          </cell>
          <cell r="AL29" t="str">
            <v>Tammy Baggett</v>
          </cell>
          <cell r="AM29" t="str">
            <v>(919) 560-0164</v>
          </cell>
          <cell r="AN29" t="str">
            <v>(919) 560-0137</v>
          </cell>
          <cell r="AO29" t="str">
            <v>tbaggett@dconc.gov</v>
          </cell>
          <cell r="AP29" t="str">
            <v>Katherine Makens</v>
          </cell>
          <cell r="AQ29" t="str">
            <v>Resources and Finance Officer</v>
          </cell>
          <cell r="AR29" t="str">
            <v>(919) 560-0187</v>
          </cell>
          <cell r="AS29" t="str">
            <v>(919) 560-0126</v>
          </cell>
          <cell r="AT29" t="str">
            <v>kmakens@dconc.gov</v>
          </cell>
          <cell r="AU29" t="str">
            <v>durhamcountylibrary.org</v>
          </cell>
          <cell r="BC29">
            <v>0</v>
          </cell>
          <cell r="BD29">
            <v>7</v>
          </cell>
          <cell r="BE29">
            <v>1</v>
          </cell>
          <cell r="BF29">
            <v>2</v>
          </cell>
          <cell r="BG29">
            <v>10</v>
          </cell>
          <cell r="BI29">
            <v>18114</v>
          </cell>
          <cell r="BJ29">
            <v>49.77</v>
          </cell>
          <cell r="BK29">
            <v>1</v>
          </cell>
          <cell r="BL29">
            <v>50.77</v>
          </cell>
          <cell r="BM29">
            <v>77.03</v>
          </cell>
          <cell r="BN29">
            <v>127.8</v>
          </cell>
          <cell r="BO29">
            <v>0.38940000000000002</v>
          </cell>
          <cell r="BP29">
            <v>6834</v>
          </cell>
          <cell r="BQ29">
            <v>125604</v>
          </cell>
          <cell r="BT29">
            <v>86004</v>
          </cell>
          <cell r="BU29">
            <v>43560</v>
          </cell>
          <cell r="BV29">
            <v>94873</v>
          </cell>
          <cell r="BW29">
            <v>67291</v>
          </cell>
          <cell r="BY29">
            <v>43560</v>
          </cell>
          <cell r="BZ29">
            <v>78408</v>
          </cell>
          <cell r="CA29">
            <v>61334</v>
          </cell>
          <cell r="CC29">
            <v>43560</v>
          </cell>
          <cell r="CD29">
            <v>78408</v>
          </cell>
          <cell r="CE29">
            <v>47850</v>
          </cell>
          <cell r="CG29">
            <v>36000</v>
          </cell>
          <cell r="CH29">
            <v>86248</v>
          </cell>
          <cell r="CI29">
            <v>64614</v>
          </cell>
          <cell r="CO29">
            <v>43560</v>
          </cell>
          <cell r="CP29">
            <v>106920</v>
          </cell>
          <cell r="CQ29">
            <v>66536</v>
          </cell>
          <cell r="CR29">
            <v>36000</v>
          </cell>
          <cell r="CS29">
            <v>64800</v>
          </cell>
          <cell r="CT29">
            <v>52154</v>
          </cell>
          <cell r="CV29">
            <v>36000</v>
          </cell>
          <cell r="CW29">
            <v>64800</v>
          </cell>
          <cell r="CX29">
            <v>38462</v>
          </cell>
          <cell r="CZ29">
            <v>36000</v>
          </cell>
          <cell r="DA29">
            <v>64800</v>
          </cell>
          <cell r="DB29">
            <v>46992</v>
          </cell>
          <cell r="DH29">
            <v>36000</v>
          </cell>
          <cell r="DI29">
            <v>64800</v>
          </cell>
          <cell r="DJ29">
            <v>44436</v>
          </cell>
          <cell r="DK29">
            <v>32210</v>
          </cell>
          <cell r="DL29">
            <v>71280</v>
          </cell>
          <cell r="DM29">
            <v>38918</v>
          </cell>
          <cell r="DO29">
            <v>26620</v>
          </cell>
          <cell r="DP29">
            <v>47916</v>
          </cell>
          <cell r="DQ29">
            <v>30823</v>
          </cell>
          <cell r="DS29">
            <v>39600</v>
          </cell>
          <cell r="DT29">
            <v>78408</v>
          </cell>
          <cell r="DU29">
            <v>50588</v>
          </cell>
          <cell r="DV29">
            <v>0</v>
          </cell>
          <cell r="DW29">
            <v>11317640</v>
          </cell>
          <cell r="DX29">
            <v>11317640</v>
          </cell>
          <cell r="DY29">
            <v>235086</v>
          </cell>
          <cell r="DZ29">
            <v>0</v>
          </cell>
          <cell r="EA29">
            <v>235086</v>
          </cell>
          <cell r="EB29">
            <v>53800</v>
          </cell>
          <cell r="EC29">
            <v>0</v>
          </cell>
          <cell r="ED29">
            <v>53800</v>
          </cell>
          <cell r="EE29">
            <v>0</v>
          </cell>
          <cell r="EF29">
            <v>11606526</v>
          </cell>
          <cell r="EG29">
            <v>5760352</v>
          </cell>
          <cell r="EH29">
            <v>2202126</v>
          </cell>
          <cell r="EI29">
            <v>7962478</v>
          </cell>
          <cell r="EJ29">
            <v>905896</v>
          </cell>
          <cell r="EK29">
            <v>475075</v>
          </cell>
          <cell r="EL29">
            <v>330913</v>
          </cell>
          <cell r="EM29">
            <v>1711884</v>
          </cell>
          <cell r="EN29">
            <v>1223907</v>
          </cell>
          <cell r="EO29">
            <v>10898269</v>
          </cell>
          <cell r="EP29">
            <v>708257</v>
          </cell>
          <cell r="EQ29">
            <v>6.0999999999999999E-2</v>
          </cell>
          <cell r="ER29">
            <v>46587988</v>
          </cell>
          <cell r="ES29">
            <v>0</v>
          </cell>
          <cell r="ET29">
            <v>0</v>
          </cell>
          <cell r="EU29">
            <v>0</v>
          </cell>
          <cell r="EV29">
            <v>46587988</v>
          </cell>
          <cell r="EW29">
            <v>1951882</v>
          </cell>
          <cell r="EX29">
            <v>102585</v>
          </cell>
          <cell r="EY29">
            <v>732566</v>
          </cell>
          <cell r="EZ29">
            <v>175030</v>
          </cell>
          <cell r="FA29">
            <v>22673</v>
          </cell>
          <cell r="FB29">
            <v>165495</v>
          </cell>
          <cell r="FC29">
            <v>115702</v>
          </cell>
          <cell r="FD29">
            <v>3178</v>
          </cell>
          <cell r="FE29">
            <v>56888</v>
          </cell>
          <cell r="FF29">
            <v>290732</v>
          </cell>
          <cell r="FG29">
            <v>25851</v>
          </cell>
          <cell r="FH29">
            <v>222383</v>
          </cell>
          <cell r="FI29">
            <v>538966</v>
          </cell>
          <cell r="FJ29">
            <v>9</v>
          </cell>
          <cell r="FK29">
            <v>432</v>
          </cell>
          <cell r="FM29">
            <v>538966</v>
          </cell>
          <cell r="FN29">
            <v>46532</v>
          </cell>
          <cell r="FO29">
            <v>48931</v>
          </cell>
          <cell r="FP29">
            <v>20781</v>
          </cell>
          <cell r="FQ29">
            <v>21</v>
          </cell>
          <cell r="FR29">
            <v>88</v>
          </cell>
          <cell r="FS29">
            <v>109</v>
          </cell>
          <cell r="FT29">
            <v>44141</v>
          </cell>
          <cell r="FU29">
            <v>3505</v>
          </cell>
          <cell r="FV29">
            <v>0</v>
          </cell>
          <cell r="FW29">
            <v>0</v>
          </cell>
          <cell r="FX29">
            <v>8544</v>
          </cell>
          <cell r="FY29">
            <v>1573</v>
          </cell>
          <cell r="FZ29">
            <v>322</v>
          </cell>
          <cell r="GA29">
            <v>0</v>
          </cell>
          <cell r="GE29">
            <v>0</v>
          </cell>
          <cell r="GJ29">
            <v>14989</v>
          </cell>
          <cell r="GK29">
            <v>3617</v>
          </cell>
          <cell r="GL29">
            <v>0</v>
          </cell>
          <cell r="GM29">
            <v>115</v>
          </cell>
          <cell r="GN29">
            <v>67674</v>
          </cell>
          <cell r="GO29">
            <v>8695</v>
          </cell>
          <cell r="GP29">
            <v>322</v>
          </cell>
          <cell r="GQ29">
            <v>115</v>
          </cell>
          <cell r="GR29">
            <v>72</v>
          </cell>
          <cell r="GT29">
            <v>476823</v>
          </cell>
          <cell r="GU29">
            <v>70075</v>
          </cell>
          <cell r="GV29">
            <v>871994</v>
          </cell>
          <cell r="GW29">
            <v>332851</v>
          </cell>
          <cell r="GX29">
            <v>5052</v>
          </cell>
          <cell r="GY29">
            <v>157673</v>
          </cell>
          <cell r="GZ29">
            <v>809674</v>
          </cell>
          <cell r="HA29">
            <v>75127</v>
          </cell>
          <cell r="HB29">
            <v>1029667</v>
          </cell>
          <cell r="HC29">
            <v>1914468</v>
          </cell>
          <cell r="HD29">
            <v>0</v>
          </cell>
          <cell r="HE29">
            <v>1914468</v>
          </cell>
          <cell r="HF29">
            <v>154236</v>
          </cell>
          <cell r="HG29">
            <v>462481</v>
          </cell>
          <cell r="HH29">
            <v>0</v>
          </cell>
          <cell r="HI29">
            <v>22783</v>
          </cell>
          <cell r="HJ29">
            <v>639500</v>
          </cell>
          <cell r="HK29">
            <v>2553968</v>
          </cell>
          <cell r="HL29">
            <v>404</v>
          </cell>
          <cell r="HM29">
            <v>123494</v>
          </cell>
          <cell r="HN29">
            <v>123898</v>
          </cell>
          <cell r="HO29">
            <v>1427</v>
          </cell>
          <cell r="HP29">
            <v>51750</v>
          </cell>
          <cell r="HQ29">
            <v>53177</v>
          </cell>
          <cell r="HR29">
            <v>0</v>
          </cell>
          <cell r="HS29">
            <v>53820</v>
          </cell>
          <cell r="HT29">
            <v>53820</v>
          </cell>
          <cell r="HU29">
            <v>13604</v>
          </cell>
          <cell r="HV29">
            <v>244499</v>
          </cell>
          <cell r="HW29">
            <v>119990</v>
          </cell>
          <cell r="HX29">
            <v>105994</v>
          </cell>
          <cell r="HY29">
            <v>225984</v>
          </cell>
          <cell r="HZ29">
            <v>470483</v>
          </cell>
          <cell r="IA29">
            <v>207413</v>
          </cell>
          <cell r="IB29">
            <v>723714</v>
          </cell>
          <cell r="IC29">
            <v>2798467</v>
          </cell>
          <cell r="ID29">
            <v>2798467</v>
          </cell>
          <cell r="IE29">
            <v>3024451</v>
          </cell>
          <cell r="IF29">
            <v>1275348</v>
          </cell>
          <cell r="IG29">
            <v>3645</v>
          </cell>
          <cell r="IJ29">
            <v>1</v>
          </cell>
          <cell r="IK29">
            <v>6.7199999999999996E-2</v>
          </cell>
          <cell r="IL29">
            <v>5.9999999999999995E-4</v>
          </cell>
          <cell r="IM29">
            <v>0.1048</v>
          </cell>
          <cell r="IN29">
            <v>0</v>
          </cell>
          <cell r="IO29">
            <v>9.2399999999999996E-2</v>
          </cell>
          <cell r="IP29">
            <v>1E-4</v>
          </cell>
          <cell r="IQ29">
            <v>0.73570000000000002</v>
          </cell>
          <cell r="IR29">
            <v>7.5399999999999995E-2</v>
          </cell>
          <cell r="IS29">
            <v>0.45569999999999999</v>
          </cell>
          <cell r="IT29">
            <v>217223</v>
          </cell>
          <cell r="IU29">
            <v>48486</v>
          </cell>
          <cell r="IV29">
            <v>265709</v>
          </cell>
          <cell r="IW29">
            <v>0.90339999999999998</v>
          </cell>
          <cell r="IX29">
            <v>858360</v>
          </cell>
          <cell r="IZ29">
            <v>2034</v>
          </cell>
          <cell r="JA29">
            <v>828</v>
          </cell>
          <cell r="JB29">
            <v>2089</v>
          </cell>
          <cell r="JC29">
            <v>172</v>
          </cell>
          <cell r="JD29">
            <v>104</v>
          </cell>
          <cell r="JE29">
            <v>465</v>
          </cell>
          <cell r="JF29">
            <v>2206</v>
          </cell>
          <cell r="JG29">
            <v>932</v>
          </cell>
          <cell r="JH29">
            <v>2554</v>
          </cell>
          <cell r="JI29">
            <v>5692</v>
          </cell>
          <cell r="JJ29">
            <v>4951</v>
          </cell>
          <cell r="JK29">
            <v>741</v>
          </cell>
          <cell r="JL29">
            <v>15976</v>
          </cell>
          <cell r="JM29">
            <v>6080</v>
          </cell>
          <cell r="JN29">
            <v>54157</v>
          </cell>
          <cell r="JO29">
            <v>4672</v>
          </cell>
          <cell r="JP29">
            <v>3765</v>
          </cell>
          <cell r="JQ29">
            <v>12498</v>
          </cell>
          <cell r="JR29">
            <v>20648</v>
          </cell>
          <cell r="JS29">
            <v>9845</v>
          </cell>
          <cell r="JT29">
            <v>66655</v>
          </cell>
          <cell r="JU29">
            <v>97148</v>
          </cell>
          <cell r="JV29">
            <v>76213</v>
          </cell>
          <cell r="JW29">
            <v>20935</v>
          </cell>
          <cell r="JX29">
            <v>17.07</v>
          </cell>
          <cell r="JY29">
            <v>9.36</v>
          </cell>
          <cell r="JZ29">
            <v>26.1</v>
          </cell>
          <cell r="KA29">
            <v>0.21</v>
          </cell>
          <cell r="KB29">
            <v>0.69</v>
          </cell>
          <cell r="KC29">
            <v>3</v>
          </cell>
          <cell r="KD29">
            <v>50</v>
          </cell>
          <cell r="KE29">
            <v>179</v>
          </cell>
          <cell r="KF29">
            <v>900</v>
          </cell>
          <cell r="KG29">
            <v>894</v>
          </cell>
          <cell r="KH29">
            <v>28608</v>
          </cell>
          <cell r="KI29">
            <v>58</v>
          </cell>
          <cell r="KJ29">
            <v>436</v>
          </cell>
          <cell r="KK29">
            <v>47</v>
          </cell>
          <cell r="KL29">
            <v>531</v>
          </cell>
          <cell r="KM29">
            <v>170264</v>
          </cell>
          <cell r="KN29">
            <v>77220</v>
          </cell>
          <cell r="KO29">
            <v>17592</v>
          </cell>
          <cell r="KQ29">
            <v>7844</v>
          </cell>
          <cell r="KR29">
            <v>10029</v>
          </cell>
          <cell r="KS29">
            <v>1188</v>
          </cell>
          <cell r="KT29">
            <v>2262</v>
          </cell>
          <cell r="KU29">
            <v>159</v>
          </cell>
          <cell r="KV29">
            <v>179</v>
          </cell>
          <cell r="KW29">
            <v>277664</v>
          </cell>
          <cell r="KY29">
            <v>1602850</v>
          </cell>
          <cell r="LC29" t="str">
            <v>DURHAM COUNTY LIBRARY</v>
          </cell>
          <cell r="LD29" t="str">
            <v>County Owned</v>
          </cell>
          <cell r="LE29" t="str">
            <v>PO BOX 3809</v>
          </cell>
          <cell r="LF29" t="str">
            <v>DURHAM</v>
          </cell>
          <cell r="LG29">
            <v>27702</v>
          </cell>
          <cell r="LH29">
            <v>3809</v>
          </cell>
          <cell r="LI29" t="str">
            <v>300 N ROXBORO ST</v>
          </cell>
          <cell r="LJ29" t="str">
            <v>DURHAM</v>
          </cell>
          <cell r="LK29">
            <v>27701</v>
          </cell>
          <cell r="LL29">
            <v>3414</v>
          </cell>
          <cell r="LM29" t="str">
            <v>DURHAM</v>
          </cell>
          <cell r="LN29">
            <v>9195600100</v>
          </cell>
          <cell r="LO29">
            <v>9195600137</v>
          </cell>
          <cell r="LP29">
            <v>182554</v>
          </cell>
          <cell r="LQ29">
            <v>122.92</v>
          </cell>
          <cell r="LS29">
            <v>18114</v>
          </cell>
          <cell r="LT29">
            <v>361</v>
          </cell>
          <cell r="LW29">
            <v>1</v>
          </cell>
          <cell r="LX29" t="str">
            <v>C-DURHAM-D</v>
          </cell>
          <cell r="LY29">
            <v>0</v>
          </cell>
          <cell r="LZ29" t="str">
            <v>CE</v>
          </cell>
        </row>
        <row r="30">
          <cell r="A30" t="str">
            <v>NC0007</v>
          </cell>
          <cell r="B30">
            <v>0</v>
          </cell>
          <cell r="C30">
            <v>1375</v>
          </cell>
          <cell r="D30">
            <v>2017</v>
          </cell>
          <cell r="E30">
            <v>0</v>
          </cell>
          <cell r="F30" t="str">
            <v>NC0007</v>
          </cell>
          <cell r="G30" t="str">
            <v>R-EAST ALBEMARLE</v>
          </cell>
          <cell r="H30" t="str">
            <v>NO</v>
          </cell>
          <cell r="I30" t="str">
            <v>MJ</v>
          </cell>
          <cell r="J30" t="str">
            <v>MO</v>
          </cell>
          <cell r="K30" t="str">
            <v>Y</v>
          </cell>
          <cell r="L30" t="str">
            <v>MC1</v>
          </cell>
          <cell r="M30" t="str">
            <v>N</v>
          </cell>
          <cell r="N30">
            <v>111583</v>
          </cell>
          <cell r="O30" t="str">
            <v>Yes</v>
          </cell>
          <cell r="P30">
            <v>726</v>
          </cell>
          <cell r="Q30">
            <v>87</v>
          </cell>
          <cell r="R30">
            <v>112</v>
          </cell>
          <cell r="S30">
            <v>12</v>
          </cell>
          <cell r="T30">
            <v>4385</v>
          </cell>
          <cell r="U30">
            <v>194</v>
          </cell>
          <cell r="V30">
            <v>44642</v>
          </cell>
          <cell r="W30">
            <v>3255</v>
          </cell>
          <cell r="X30">
            <v>115201</v>
          </cell>
          <cell r="Y30">
            <v>10140</v>
          </cell>
          <cell r="Z30" t="str">
            <v>100 E COLONIAL AVE</v>
          </cell>
          <cell r="AA30" t="str">
            <v>ELIZABETH CITY</v>
          </cell>
          <cell r="AB30">
            <v>27909</v>
          </cell>
          <cell r="AD30" t="str">
            <v>100 E COLONIAL AVE</v>
          </cell>
          <cell r="AE30" t="str">
            <v>ELIZABETH CITY</v>
          </cell>
          <cell r="AF30">
            <v>27909</v>
          </cell>
          <cell r="AG30">
            <v>2</v>
          </cell>
          <cell r="AH30" t="str">
            <v>EAST ALBEMARLE REGIONAL LIBRARY</v>
          </cell>
          <cell r="AJ30" t="str">
            <v>Regional</v>
          </cell>
          <cell r="AK30" t="str">
            <v>PASQUOTANK</v>
          </cell>
          <cell r="AL30" t="str">
            <v>Jonathan Wark</v>
          </cell>
          <cell r="AM30" t="str">
            <v>(252) 335-2511</v>
          </cell>
          <cell r="AN30" t="str">
            <v>(252) 335-2386</v>
          </cell>
          <cell r="AO30" t="str">
            <v>jwark@earlibrary.org</v>
          </cell>
          <cell r="AP30" t="str">
            <v>Jonathan Wark</v>
          </cell>
          <cell r="AQ30" t="str">
            <v>Library Director</v>
          </cell>
          <cell r="AR30" t="str">
            <v>(252) 473-2372</v>
          </cell>
          <cell r="AS30" t="str">
            <v>(252) 473-6034</v>
          </cell>
          <cell r="AT30" t="str">
            <v>jwark@earlibrary.org</v>
          </cell>
          <cell r="AU30" t="str">
            <v>www.earlibrary.org</v>
          </cell>
          <cell r="BC30">
            <v>1</v>
          </cell>
          <cell r="BD30">
            <v>7</v>
          </cell>
          <cell r="BE30">
            <v>1</v>
          </cell>
          <cell r="BF30">
            <v>2</v>
          </cell>
          <cell r="BG30">
            <v>11</v>
          </cell>
          <cell r="BI30">
            <v>19598</v>
          </cell>
          <cell r="BJ30">
            <v>4.6900000000000004</v>
          </cell>
          <cell r="BK30">
            <v>0</v>
          </cell>
          <cell r="BL30">
            <v>4.6900000000000004</v>
          </cell>
          <cell r="BM30">
            <v>42.07</v>
          </cell>
          <cell r="BN30">
            <v>46.76</v>
          </cell>
          <cell r="BO30">
            <v>0.1003</v>
          </cell>
          <cell r="BP30">
            <v>1991</v>
          </cell>
          <cell r="BQ30">
            <v>66527</v>
          </cell>
          <cell r="BT30">
            <v>57800</v>
          </cell>
          <cell r="BU30">
            <v>30697</v>
          </cell>
          <cell r="BV30">
            <v>43997</v>
          </cell>
          <cell r="BW30">
            <v>36626</v>
          </cell>
          <cell r="CO30">
            <v>39125</v>
          </cell>
          <cell r="CP30">
            <v>56013</v>
          </cell>
          <cell r="CQ30">
            <v>42062</v>
          </cell>
          <cell r="CR30">
            <v>37314</v>
          </cell>
          <cell r="CS30">
            <v>59704</v>
          </cell>
          <cell r="CT30">
            <v>34162</v>
          </cell>
          <cell r="CV30">
            <v>47623</v>
          </cell>
          <cell r="CW30">
            <v>76197</v>
          </cell>
          <cell r="CX30">
            <v>58801</v>
          </cell>
          <cell r="DK30">
            <v>27278</v>
          </cell>
          <cell r="DL30">
            <v>35812</v>
          </cell>
          <cell r="DM30">
            <v>29003</v>
          </cell>
          <cell r="DO30">
            <v>25866</v>
          </cell>
          <cell r="DP30">
            <v>34078</v>
          </cell>
          <cell r="DQ30">
            <v>27423</v>
          </cell>
          <cell r="DV30">
            <v>2000</v>
          </cell>
          <cell r="DW30">
            <v>2330002</v>
          </cell>
          <cell r="DX30">
            <v>2332002</v>
          </cell>
          <cell r="DY30">
            <v>390107</v>
          </cell>
          <cell r="DZ30">
            <v>0</v>
          </cell>
          <cell r="EA30">
            <v>390107</v>
          </cell>
          <cell r="EB30">
            <v>0</v>
          </cell>
          <cell r="EC30">
            <v>0</v>
          </cell>
          <cell r="ED30">
            <v>0</v>
          </cell>
          <cell r="EE30">
            <v>84826</v>
          </cell>
          <cell r="EF30">
            <v>2806935</v>
          </cell>
          <cell r="EG30">
            <v>1506915</v>
          </cell>
          <cell r="EH30">
            <v>555752</v>
          </cell>
          <cell r="EI30">
            <v>2062667</v>
          </cell>
          <cell r="EJ30">
            <v>123346</v>
          </cell>
          <cell r="EK30">
            <v>36612</v>
          </cell>
          <cell r="EL30">
            <v>23804</v>
          </cell>
          <cell r="EM30">
            <v>183762</v>
          </cell>
          <cell r="EN30">
            <v>490747</v>
          </cell>
          <cell r="EO30">
            <v>2737176</v>
          </cell>
          <cell r="EP30">
            <v>69759</v>
          </cell>
          <cell r="EQ30">
            <v>2.4899999999999999E-2</v>
          </cell>
          <cell r="ER30">
            <v>5335</v>
          </cell>
          <cell r="ES30">
            <v>0</v>
          </cell>
          <cell r="ET30">
            <v>0</v>
          </cell>
          <cell r="EU30">
            <v>0</v>
          </cell>
          <cell r="EV30">
            <v>5335</v>
          </cell>
          <cell r="EW30">
            <v>5335</v>
          </cell>
          <cell r="EX30">
            <v>29274</v>
          </cell>
          <cell r="EY30">
            <v>317215</v>
          </cell>
          <cell r="EZ30">
            <v>73343</v>
          </cell>
          <cell r="FA30">
            <v>7596</v>
          </cell>
          <cell r="FB30">
            <v>54305</v>
          </cell>
          <cell r="FC30">
            <v>72512</v>
          </cell>
          <cell r="FD30">
            <v>1680</v>
          </cell>
          <cell r="FE30">
            <v>18675</v>
          </cell>
          <cell r="FF30">
            <v>145855</v>
          </cell>
          <cell r="FG30">
            <v>9276</v>
          </cell>
          <cell r="FH30">
            <v>72980</v>
          </cell>
          <cell r="FI30">
            <v>228111</v>
          </cell>
          <cell r="FJ30">
            <v>1500</v>
          </cell>
          <cell r="FK30">
            <v>136</v>
          </cell>
          <cell r="FM30">
            <v>228111</v>
          </cell>
          <cell r="FN30">
            <v>8346</v>
          </cell>
          <cell r="FO30">
            <v>17313</v>
          </cell>
          <cell r="FP30">
            <v>1306</v>
          </cell>
          <cell r="FQ30">
            <v>9</v>
          </cell>
          <cell r="FR30">
            <v>88</v>
          </cell>
          <cell r="FS30">
            <v>97</v>
          </cell>
          <cell r="FT30">
            <v>44141</v>
          </cell>
          <cell r="FU30">
            <v>3505</v>
          </cell>
          <cell r="FV30">
            <v>0</v>
          </cell>
          <cell r="FW30">
            <v>0</v>
          </cell>
          <cell r="FX30">
            <v>8544</v>
          </cell>
          <cell r="FY30">
            <v>1573</v>
          </cell>
          <cell r="FZ30">
            <v>322</v>
          </cell>
          <cell r="GA30">
            <v>0</v>
          </cell>
          <cell r="GJ30">
            <v>2175</v>
          </cell>
          <cell r="GK30">
            <v>110</v>
          </cell>
          <cell r="GL30">
            <v>0</v>
          </cell>
          <cell r="GM30">
            <v>36</v>
          </cell>
          <cell r="GN30">
            <v>54860</v>
          </cell>
          <cell r="GO30">
            <v>5188</v>
          </cell>
          <cell r="GP30">
            <v>322</v>
          </cell>
          <cell r="GQ30">
            <v>36</v>
          </cell>
          <cell r="GR30">
            <v>49</v>
          </cell>
          <cell r="GT30">
            <v>126218</v>
          </cell>
          <cell r="GU30">
            <v>9377</v>
          </cell>
          <cell r="GV30">
            <v>120479</v>
          </cell>
          <cell r="GW30">
            <v>40610</v>
          </cell>
          <cell r="GX30">
            <v>876</v>
          </cell>
          <cell r="GY30">
            <v>20065</v>
          </cell>
          <cell r="GZ30">
            <v>166828</v>
          </cell>
          <cell r="HA30">
            <v>10253</v>
          </cell>
          <cell r="HB30">
            <v>140544</v>
          </cell>
          <cell r="HC30">
            <v>317625</v>
          </cell>
          <cell r="HD30">
            <v>2641</v>
          </cell>
          <cell r="HE30">
            <v>320266</v>
          </cell>
          <cell r="HF30">
            <v>19729</v>
          </cell>
          <cell r="HG30">
            <v>75006</v>
          </cell>
          <cell r="HI30">
            <v>217</v>
          </cell>
          <cell r="HJ30">
            <v>94952</v>
          </cell>
          <cell r="HK30">
            <v>415218</v>
          </cell>
          <cell r="HL30">
            <v>138</v>
          </cell>
          <cell r="HM30">
            <v>18045</v>
          </cell>
          <cell r="HN30">
            <v>18183</v>
          </cell>
          <cell r="HO30">
            <v>767</v>
          </cell>
          <cell r="HP30">
            <v>136</v>
          </cell>
          <cell r="HQ30">
            <v>903</v>
          </cell>
          <cell r="HR30">
            <v>0</v>
          </cell>
          <cell r="HS30">
            <v>0</v>
          </cell>
          <cell r="HT30">
            <v>0</v>
          </cell>
          <cell r="HU30">
            <v>1985</v>
          </cell>
          <cell r="HV30">
            <v>21071</v>
          </cell>
          <cell r="HW30">
            <v>13878</v>
          </cell>
          <cell r="HX30">
            <v>133594</v>
          </cell>
          <cell r="HY30">
            <v>147472</v>
          </cell>
          <cell r="HZ30">
            <v>168543</v>
          </cell>
          <cell r="IA30">
            <v>20632</v>
          </cell>
          <cell r="IB30">
            <v>95638</v>
          </cell>
          <cell r="IC30">
            <v>436289</v>
          </cell>
          <cell r="ID30">
            <v>436289</v>
          </cell>
          <cell r="IE30">
            <v>583761</v>
          </cell>
          <cell r="IF30">
            <v>169898</v>
          </cell>
          <cell r="IG30">
            <v>15</v>
          </cell>
          <cell r="IJ30">
            <v>1</v>
          </cell>
          <cell r="IK30">
            <v>5.5599999999999997E-2</v>
          </cell>
          <cell r="IL30">
            <v>4.0000000000000002E-4</v>
          </cell>
          <cell r="IM30">
            <v>0.19040000000000001</v>
          </cell>
          <cell r="IN30">
            <v>0</v>
          </cell>
          <cell r="IO30">
            <v>0.1729</v>
          </cell>
          <cell r="IP30">
            <v>2.9999999999999997E-4</v>
          </cell>
          <cell r="IQ30">
            <v>0.71909999999999996</v>
          </cell>
          <cell r="IR30">
            <v>4.2700000000000002E-2</v>
          </cell>
          <cell r="IS30">
            <v>0.38940000000000002</v>
          </cell>
          <cell r="IT30">
            <v>40091</v>
          </cell>
          <cell r="IU30">
            <v>21130</v>
          </cell>
          <cell r="IV30">
            <v>61221</v>
          </cell>
          <cell r="IW30">
            <v>0.54869999999999997</v>
          </cell>
          <cell r="IX30">
            <v>390171</v>
          </cell>
          <cell r="IZ30">
            <v>237</v>
          </cell>
          <cell r="JA30">
            <v>7</v>
          </cell>
          <cell r="JB30">
            <v>933</v>
          </cell>
          <cell r="JC30">
            <v>3</v>
          </cell>
          <cell r="JD30">
            <v>0</v>
          </cell>
          <cell r="JE30">
            <v>300</v>
          </cell>
          <cell r="JF30">
            <v>240</v>
          </cell>
          <cell r="JG30">
            <v>7</v>
          </cell>
          <cell r="JH30">
            <v>1233</v>
          </cell>
          <cell r="JI30">
            <v>1480</v>
          </cell>
          <cell r="JJ30">
            <v>1177</v>
          </cell>
          <cell r="JK30">
            <v>303</v>
          </cell>
          <cell r="JL30">
            <v>3944</v>
          </cell>
          <cell r="JM30">
            <v>51</v>
          </cell>
          <cell r="JN30">
            <v>17580</v>
          </cell>
          <cell r="JO30">
            <v>231</v>
          </cell>
          <cell r="JP30">
            <v>0</v>
          </cell>
          <cell r="JQ30">
            <v>7246</v>
          </cell>
          <cell r="JR30">
            <v>4175</v>
          </cell>
          <cell r="JS30">
            <v>51</v>
          </cell>
          <cell r="JT30">
            <v>24826</v>
          </cell>
          <cell r="JU30">
            <v>29052</v>
          </cell>
          <cell r="JV30">
            <v>21575</v>
          </cell>
          <cell r="JW30">
            <v>7477</v>
          </cell>
          <cell r="JX30">
            <v>19.63</v>
          </cell>
          <cell r="JY30">
            <v>17.399999999999999</v>
          </cell>
          <cell r="JZ30">
            <v>20.13</v>
          </cell>
          <cell r="KA30">
            <v>0.14000000000000001</v>
          </cell>
          <cell r="KB30">
            <v>0.85</v>
          </cell>
          <cell r="KC30">
            <v>50</v>
          </cell>
          <cell r="KD30">
            <v>92</v>
          </cell>
          <cell r="KE30">
            <v>188</v>
          </cell>
          <cell r="KF30">
            <v>445</v>
          </cell>
          <cell r="KG30">
            <v>772</v>
          </cell>
          <cell r="KH30">
            <v>12121</v>
          </cell>
          <cell r="KI30">
            <v>0</v>
          </cell>
          <cell r="KJ30">
            <v>0</v>
          </cell>
          <cell r="KK30">
            <v>52</v>
          </cell>
          <cell r="KL30">
            <v>322</v>
          </cell>
          <cell r="KM30">
            <v>64364</v>
          </cell>
          <cell r="KN30">
            <v>15956</v>
          </cell>
          <cell r="KO30">
            <v>1495</v>
          </cell>
          <cell r="KQ30">
            <v>1465</v>
          </cell>
          <cell r="KR30">
            <v>19811</v>
          </cell>
          <cell r="KS30">
            <v>411</v>
          </cell>
          <cell r="KT30">
            <v>940</v>
          </cell>
          <cell r="KU30">
            <v>59</v>
          </cell>
          <cell r="KV30">
            <v>110</v>
          </cell>
          <cell r="KW30">
            <v>64875</v>
          </cell>
          <cell r="KY30">
            <v>222225</v>
          </cell>
          <cell r="KZ30">
            <v>50157</v>
          </cell>
          <cell r="LC30" t="str">
            <v>PASQUOTANK COUNTY LIBRARY</v>
          </cell>
          <cell r="LD30" t="str">
            <v>County Owned</v>
          </cell>
          <cell r="LE30" t="str">
            <v>100 E COLONIAL AVE</v>
          </cell>
          <cell r="LF30" t="str">
            <v>ELIZABETH CITY</v>
          </cell>
          <cell r="LG30">
            <v>27909</v>
          </cell>
          <cell r="LH30">
            <v>4423</v>
          </cell>
          <cell r="LI30" t="str">
            <v>100 E COLONIAL AVE</v>
          </cell>
          <cell r="LJ30" t="str">
            <v>ELIZABETH CITY</v>
          </cell>
          <cell r="LK30">
            <v>27909</v>
          </cell>
          <cell r="LL30">
            <v>4423</v>
          </cell>
          <cell r="LM30" t="str">
            <v>PASQUOTANK</v>
          </cell>
          <cell r="LN30">
            <v>2523352473</v>
          </cell>
          <cell r="LO30">
            <v>2523317449</v>
          </cell>
          <cell r="LP30">
            <v>70112</v>
          </cell>
          <cell r="LQ30">
            <v>43.37</v>
          </cell>
          <cell r="LS30">
            <v>19598</v>
          </cell>
          <cell r="LT30">
            <v>464</v>
          </cell>
          <cell r="LW30">
            <v>9</v>
          </cell>
          <cell r="LX30" t="str">
            <v>R-EASTALBEMARLE-P</v>
          </cell>
          <cell r="LY30">
            <v>0</v>
          </cell>
          <cell r="LZ30" t="str">
            <v>CE</v>
          </cell>
          <cell r="MA30">
            <v>46.13</v>
          </cell>
          <cell r="MB30">
            <v>38.06</v>
          </cell>
        </row>
        <row r="31">
          <cell r="A31" t="str">
            <v>NC0031</v>
          </cell>
          <cell r="B31">
            <v>0</v>
          </cell>
          <cell r="C31">
            <v>1375</v>
          </cell>
          <cell r="D31">
            <v>2017</v>
          </cell>
          <cell r="E31">
            <v>0</v>
          </cell>
          <cell r="F31" t="str">
            <v>NC0031</v>
          </cell>
          <cell r="G31" t="str">
            <v>C-EDGECOMBE</v>
          </cell>
          <cell r="H31" t="str">
            <v>NO</v>
          </cell>
          <cell r="I31" t="str">
            <v>OT</v>
          </cell>
          <cell r="J31" t="str">
            <v>MO</v>
          </cell>
          <cell r="K31" t="str">
            <v>Y</v>
          </cell>
          <cell r="L31" t="str">
            <v>CO1</v>
          </cell>
          <cell r="M31" t="str">
            <v>N</v>
          </cell>
          <cell r="N31">
            <v>54367</v>
          </cell>
          <cell r="O31" t="str">
            <v>Yes</v>
          </cell>
          <cell r="P31">
            <v>714</v>
          </cell>
          <cell r="Q31">
            <v>222</v>
          </cell>
          <cell r="R31">
            <v>81</v>
          </cell>
          <cell r="S31">
            <v>81</v>
          </cell>
          <cell r="T31">
            <v>3460</v>
          </cell>
          <cell r="U31">
            <v>3460</v>
          </cell>
          <cell r="V31">
            <v>4514</v>
          </cell>
          <cell r="X31">
            <v>4680</v>
          </cell>
          <cell r="Z31" t="str">
            <v>909 MAIN ST</v>
          </cell>
          <cell r="AA31" t="str">
            <v>TARBORO</v>
          </cell>
          <cell r="AB31">
            <v>27886</v>
          </cell>
          <cell r="AC31">
            <v>3818</v>
          </cell>
          <cell r="AD31" t="str">
            <v>909 MAIN ST</v>
          </cell>
          <cell r="AE31" t="str">
            <v>TARBORO</v>
          </cell>
          <cell r="AF31">
            <v>27886</v>
          </cell>
          <cell r="AG31">
            <v>1</v>
          </cell>
          <cell r="AH31" t="str">
            <v>EDGECOMBE COUNTY MEMORIAL LIBRARY</v>
          </cell>
          <cell r="AJ31" t="str">
            <v>County</v>
          </cell>
          <cell r="AK31" t="str">
            <v>EDGECOMBE</v>
          </cell>
          <cell r="AL31" t="str">
            <v>Roman Leary</v>
          </cell>
          <cell r="AM31" t="str">
            <v>(252) 823-1141</v>
          </cell>
          <cell r="AN31" t="str">
            <v>(252) 823-7699</v>
          </cell>
          <cell r="AO31" t="str">
            <v>rleary@edgecombelibrary.org</v>
          </cell>
          <cell r="AP31" t="str">
            <v>Mary S. Howard</v>
          </cell>
          <cell r="AQ31" t="str">
            <v>Assistant Director</v>
          </cell>
          <cell r="AR31" t="str">
            <v>(252) 823-1141</v>
          </cell>
          <cell r="AS31" t="str">
            <v>(252) 823-7699</v>
          </cell>
          <cell r="AT31" t="str">
            <v>showard@edgecombelibrary.org</v>
          </cell>
          <cell r="AU31" t="str">
            <v>www.edgecombelibrary.org</v>
          </cell>
          <cell r="BC31">
            <v>1</v>
          </cell>
          <cell r="BD31">
            <v>1</v>
          </cell>
          <cell r="BE31">
            <v>0</v>
          </cell>
          <cell r="BF31">
            <v>1</v>
          </cell>
          <cell r="BG31">
            <v>3</v>
          </cell>
          <cell r="BI31">
            <v>4750</v>
          </cell>
          <cell r="BJ31">
            <v>2</v>
          </cell>
          <cell r="BK31">
            <v>0</v>
          </cell>
          <cell r="BL31">
            <v>2</v>
          </cell>
          <cell r="BM31">
            <v>10.95</v>
          </cell>
          <cell r="BN31">
            <v>12.95</v>
          </cell>
          <cell r="BO31">
            <v>0.15440000000000001</v>
          </cell>
          <cell r="BP31">
            <v>892</v>
          </cell>
          <cell r="BQ31">
            <v>51600</v>
          </cell>
          <cell r="BT31">
            <v>39000</v>
          </cell>
          <cell r="DK31">
            <v>26780</v>
          </cell>
          <cell r="DL31">
            <v>28863</v>
          </cell>
          <cell r="DM31">
            <v>27822</v>
          </cell>
          <cell r="DO31">
            <v>10634</v>
          </cell>
          <cell r="DP31">
            <v>28560</v>
          </cell>
          <cell r="DQ31">
            <v>16254</v>
          </cell>
          <cell r="DV31">
            <v>153528</v>
          </cell>
          <cell r="DW31">
            <v>373850</v>
          </cell>
          <cell r="DX31">
            <v>527378</v>
          </cell>
          <cell r="DY31">
            <v>116974</v>
          </cell>
          <cell r="DZ31">
            <v>210</v>
          </cell>
          <cell r="EA31">
            <v>117184</v>
          </cell>
          <cell r="EB31">
            <v>4796</v>
          </cell>
          <cell r="EC31">
            <v>0</v>
          </cell>
          <cell r="ED31">
            <v>4796</v>
          </cell>
          <cell r="EE31">
            <v>63641</v>
          </cell>
          <cell r="EF31">
            <v>712999</v>
          </cell>
          <cell r="EG31">
            <v>340041</v>
          </cell>
          <cell r="EH31">
            <v>124572</v>
          </cell>
          <cell r="EI31">
            <v>464613</v>
          </cell>
          <cell r="EJ31">
            <v>46615</v>
          </cell>
          <cell r="EK31">
            <v>1939</v>
          </cell>
          <cell r="EL31">
            <v>255</v>
          </cell>
          <cell r="EM31">
            <v>48809</v>
          </cell>
          <cell r="EN31">
            <v>190501</v>
          </cell>
          <cell r="EO31">
            <v>703923</v>
          </cell>
          <cell r="EP31">
            <v>9076</v>
          </cell>
          <cell r="EQ31">
            <v>1.2699999999999999E-2</v>
          </cell>
          <cell r="ER31">
            <v>0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X31">
            <v>5678</v>
          </cell>
          <cell r="EY31">
            <v>165395</v>
          </cell>
          <cell r="EZ31">
            <v>37029</v>
          </cell>
          <cell r="FA31">
            <v>1868</v>
          </cell>
          <cell r="FB31">
            <v>17226</v>
          </cell>
          <cell r="FC31">
            <v>34508</v>
          </cell>
          <cell r="FD31">
            <v>727</v>
          </cell>
          <cell r="FE31">
            <v>12379</v>
          </cell>
          <cell r="FF31">
            <v>71537</v>
          </cell>
          <cell r="FG31">
            <v>2595</v>
          </cell>
          <cell r="FH31">
            <v>29605</v>
          </cell>
          <cell r="FI31">
            <v>103737</v>
          </cell>
          <cell r="FJ31">
            <v>569</v>
          </cell>
          <cell r="FK31">
            <v>100</v>
          </cell>
          <cell r="FM31">
            <v>103737</v>
          </cell>
          <cell r="FN31">
            <v>1469</v>
          </cell>
          <cell r="FO31">
            <v>700</v>
          </cell>
          <cell r="FP31">
            <v>445</v>
          </cell>
          <cell r="FQ31">
            <v>1</v>
          </cell>
          <cell r="FR31">
            <v>88</v>
          </cell>
          <cell r="FS31">
            <v>89</v>
          </cell>
          <cell r="FT31">
            <v>44141</v>
          </cell>
          <cell r="FU31">
            <v>3505</v>
          </cell>
          <cell r="FV31">
            <v>0</v>
          </cell>
          <cell r="FW31">
            <v>0</v>
          </cell>
          <cell r="FX31">
            <v>8544</v>
          </cell>
          <cell r="FY31">
            <v>1573</v>
          </cell>
          <cell r="FZ31">
            <v>322</v>
          </cell>
          <cell r="GA31">
            <v>0</v>
          </cell>
          <cell r="GE31">
            <v>0</v>
          </cell>
          <cell r="GJ31">
            <v>197</v>
          </cell>
          <cell r="GK31">
            <v>4</v>
          </cell>
          <cell r="GL31">
            <v>0</v>
          </cell>
          <cell r="GM31">
            <v>0</v>
          </cell>
          <cell r="GN31">
            <v>52882</v>
          </cell>
          <cell r="GO31">
            <v>5082</v>
          </cell>
          <cell r="GP31">
            <v>322</v>
          </cell>
          <cell r="GQ31">
            <v>0</v>
          </cell>
          <cell r="GR31">
            <v>43</v>
          </cell>
          <cell r="GT31">
            <v>23852</v>
          </cell>
          <cell r="GU31">
            <v>1263</v>
          </cell>
          <cell r="GV31">
            <v>11733</v>
          </cell>
          <cell r="GW31">
            <v>5771</v>
          </cell>
          <cell r="GX31">
            <v>2153</v>
          </cell>
          <cell r="GY31">
            <v>2417</v>
          </cell>
          <cell r="GZ31">
            <v>29623</v>
          </cell>
          <cell r="HA31">
            <v>3416</v>
          </cell>
          <cell r="HB31">
            <v>14150</v>
          </cell>
          <cell r="HC31">
            <v>47189</v>
          </cell>
          <cell r="HD31">
            <v>42</v>
          </cell>
          <cell r="HE31">
            <v>47231</v>
          </cell>
          <cell r="HF31">
            <v>842</v>
          </cell>
          <cell r="HG31">
            <v>3109</v>
          </cell>
          <cell r="HH31">
            <v>0</v>
          </cell>
          <cell r="HI31">
            <v>0</v>
          </cell>
          <cell r="HJ31">
            <v>3951</v>
          </cell>
          <cell r="HK31">
            <v>51182</v>
          </cell>
          <cell r="HL31">
            <v>26</v>
          </cell>
          <cell r="HM31">
            <v>247</v>
          </cell>
          <cell r="HN31">
            <v>273</v>
          </cell>
          <cell r="HO31">
            <v>157</v>
          </cell>
          <cell r="HP31">
            <v>0</v>
          </cell>
          <cell r="HQ31">
            <v>157</v>
          </cell>
          <cell r="HR31">
            <v>0</v>
          </cell>
          <cell r="HS31">
            <v>0</v>
          </cell>
          <cell r="HT31">
            <v>0</v>
          </cell>
          <cell r="HU31">
            <v>0</v>
          </cell>
          <cell r="HV31">
            <v>430</v>
          </cell>
          <cell r="HW31">
            <v>3219</v>
          </cell>
          <cell r="HX31">
            <v>8017</v>
          </cell>
          <cell r="HY31">
            <v>11236</v>
          </cell>
          <cell r="HZ31">
            <v>11666</v>
          </cell>
          <cell r="IA31">
            <v>999</v>
          </cell>
          <cell r="IB31">
            <v>4108</v>
          </cell>
          <cell r="IC31">
            <v>51612</v>
          </cell>
          <cell r="ID31">
            <v>51612</v>
          </cell>
          <cell r="IE31">
            <v>62848</v>
          </cell>
          <cell r="IF31">
            <v>16136</v>
          </cell>
          <cell r="IG31">
            <v>99</v>
          </cell>
          <cell r="IJ31">
            <v>1</v>
          </cell>
          <cell r="IK31">
            <v>6.1999999999999998E-3</v>
          </cell>
          <cell r="IL31">
            <v>5.9999999999999995E-4</v>
          </cell>
          <cell r="IM31">
            <v>0.35239999999999999</v>
          </cell>
          <cell r="IN31">
            <v>0</v>
          </cell>
          <cell r="IO31">
            <v>0.31969999999999998</v>
          </cell>
          <cell r="IP31">
            <v>5.0000000000000001E-4</v>
          </cell>
          <cell r="IQ31">
            <v>0.62719999999999998</v>
          </cell>
          <cell r="IR31">
            <v>3.9600000000000003E-2</v>
          </cell>
          <cell r="IS31">
            <v>0.31259999999999999</v>
          </cell>
          <cell r="IT31">
            <v>13742</v>
          </cell>
          <cell r="IU31">
            <v>4082</v>
          </cell>
          <cell r="IV31">
            <v>17824</v>
          </cell>
          <cell r="IW31">
            <v>0.32779999999999998</v>
          </cell>
          <cell r="IX31">
            <v>135761</v>
          </cell>
          <cell r="IZ31">
            <v>54</v>
          </cell>
          <cell r="JA31">
            <v>0</v>
          </cell>
          <cell r="JB31">
            <v>81</v>
          </cell>
          <cell r="JC31">
            <v>41</v>
          </cell>
          <cell r="JD31">
            <v>0</v>
          </cell>
          <cell r="JE31">
            <v>264</v>
          </cell>
          <cell r="JF31">
            <v>95</v>
          </cell>
          <cell r="JG31">
            <v>0</v>
          </cell>
          <cell r="JH31">
            <v>345</v>
          </cell>
          <cell r="JI31">
            <v>440</v>
          </cell>
          <cell r="JJ31">
            <v>135</v>
          </cell>
          <cell r="JK31">
            <v>305</v>
          </cell>
          <cell r="JL31">
            <v>656</v>
          </cell>
          <cell r="JM31">
            <v>0</v>
          </cell>
          <cell r="JN31">
            <v>2440</v>
          </cell>
          <cell r="JO31">
            <v>438</v>
          </cell>
          <cell r="JP31">
            <v>0</v>
          </cell>
          <cell r="JQ31">
            <v>6157</v>
          </cell>
          <cell r="JR31">
            <v>1094</v>
          </cell>
          <cell r="JS31">
            <v>0</v>
          </cell>
          <cell r="JT31">
            <v>8597</v>
          </cell>
          <cell r="JU31">
            <v>9691</v>
          </cell>
          <cell r="JV31">
            <v>3096</v>
          </cell>
          <cell r="JW31">
            <v>6595</v>
          </cell>
          <cell r="JX31">
            <v>22.03</v>
          </cell>
          <cell r="JY31">
            <v>11.52</v>
          </cell>
          <cell r="JZ31">
            <v>24.92</v>
          </cell>
          <cell r="KA31">
            <v>0.11</v>
          </cell>
          <cell r="KB31">
            <v>0.89</v>
          </cell>
          <cell r="KC31">
            <v>0</v>
          </cell>
          <cell r="KD31">
            <v>0</v>
          </cell>
          <cell r="KE31">
            <v>0</v>
          </cell>
          <cell r="KF31">
            <v>0</v>
          </cell>
          <cell r="KG31">
            <v>0</v>
          </cell>
          <cell r="KH31">
            <v>0</v>
          </cell>
          <cell r="KI31">
            <v>0</v>
          </cell>
          <cell r="KJ31">
            <v>0</v>
          </cell>
          <cell r="KK31">
            <v>0</v>
          </cell>
          <cell r="KL31">
            <v>0</v>
          </cell>
          <cell r="KM31">
            <v>7304</v>
          </cell>
          <cell r="KN31">
            <v>4458</v>
          </cell>
          <cell r="KO31">
            <v>749</v>
          </cell>
          <cell r="KQ31">
            <v>406</v>
          </cell>
          <cell r="KR31">
            <v>2097</v>
          </cell>
          <cell r="KS31">
            <v>28</v>
          </cell>
          <cell r="KT31">
            <v>17</v>
          </cell>
          <cell r="KU31">
            <v>18</v>
          </cell>
          <cell r="KV31">
            <v>34</v>
          </cell>
          <cell r="KW31">
            <v>26686</v>
          </cell>
          <cell r="KY31">
            <v>68642</v>
          </cell>
          <cell r="KZ31">
            <v>35645</v>
          </cell>
          <cell r="LC31" t="str">
            <v>EDGECOMBE COUNTY MEMORIAL LIBRARY</v>
          </cell>
          <cell r="LD31" t="str">
            <v>Other</v>
          </cell>
          <cell r="LE31" t="str">
            <v>909 MAIN ST</v>
          </cell>
          <cell r="LF31" t="str">
            <v>TARBORO</v>
          </cell>
          <cell r="LG31">
            <v>27886</v>
          </cell>
          <cell r="LH31">
            <v>3818</v>
          </cell>
          <cell r="LI31" t="str">
            <v>909 MAIN ST</v>
          </cell>
          <cell r="LJ31" t="str">
            <v>TARBORO</v>
          </cell>
          <cell r="LK31">
            <v>27886</v>
          </cell>
          <cell r="LL31">
            <v>3818</v>
          </cell>
          <cell r="LM31" t="str">
            <v>EDGECOMBE</v>
          </cell>
          <cell r="LN31">
            <v>2528231141</v>
          </cell>
          <cell r="LO31">
            <v>2528237699</v>
          </cell>
          <cell r="LP31">
            <v>23450</v>
          </cell>
          <cell r="LQ31">
            <v>12.9</v>
          </cell>
          <cell r="LS31">
            <v>4750</v>
          </cell>
          <cell r="LT31">
            <v>104</v>
          </cell>
          <cell r="LW31">
            <v>2</v>
          </cell>
          <cell r="LX31" t="str">
            <v>C-EDGECOMBE-E</v>
          </cell>
          <cell r="LY31">
            <v>0</v>
          </cell>
          <cell r="LZ31" t="str">
            <v>CE</v>
          </cell>
          <cell r="MA31">
            <v>96.65</v>
          </cell>
          <cell r="MB31">
            <v>93.87</v>
          </cell>
        </row>
        <row r="32">
          <cell r="A32" t="str">
            <v>NC0075</v>
          </cell>
          <cell r="B32">
            <v>0</v>
          </cell>
          <cell r="C32">
            <v>1375</v>
          </cell>
          <cell r="D32">
            <v>2017</v>
          </cell>
          <cell r="E32">
            <v>0</v>
          </cell>
          <cell r="F32" t="str">
            <v>NC0075</v>
          </cell>
          <cell r="G32" t="str">
            <v>M-FARMVILLE</v>
          </cell>
          <cell r="H32" t="str">
            <v>NO</v>
          </cell>
          <cell r="I32" t="str">
            <v>CI</v>
          </cell>
          <cell r="J32" t="str">
            <v>SO</v>
          </cell>
          <cell r="K32" t="str">
            <v>Y</v>
          </cell>
          <cell r="L32" t="str">
            <v>CI1</v>
          </cell>
          <cell r="M32" t="str">
            <v>N</v>
          </cell>
          <cell r="N32">
            <v>4702</v>
          </cell>
          <cell r="O32" t="str">
            <v>Yes</v>
          </cell>
          <cell r="P32">
            <v>94</v>
          </cell>
          <cell r="Q32">
            <v>8</v>
          </cell>
          <cell r="R32">
            <v>55</v>
          </cell>
          <cell r="S32">
            <v>5</v>
          </cell>
          <cell r="T32">
            <v>783</v>
          </cell>
          <cell r="U32">
            <v>25</v>
          </cell>
          <cell r="V32">
            <v>1822</v>
          </cell>
          <cell r="W32">
            <v>332</v>
          </cell>
          <cell r="Z32" t="str">
            <v>4276 W CHURCH ST</v>
          </cell>
          <cell r="AA32" t="str">
            <v>FARMVILLE</v>
          </cell>
          <cell r="AB32">
            <v>27828</v>
          </cell>
          <cell r="AD32" t="str">
            <v>4276 W CHURCH ST</v>
          </cell>
          <cell r="AE32" t="str">
            <v>FARMVILLE</v>
          </cell>
          <cell r="AF32">
            <v>27828</v>
          </cell>
          <cell r="AG32">
            <v>2</v>
          </cell>
          <cell r="AH32" t="str">
            <v>FARMVILLE PUBLIC LIBRARY</v>
          </cell>
          <cell r="AJ32" t="str">
            <v>Municipal</v>
          </cell>
          <cell r="AK32" t="str">
            <v>PITT</v>
          </cell>
          <cell r="AL32" t="str">
            <v>David Miller</v>
          </cell>
          <cell r="AM32" t="str">
            <v>(252) 753-6713</v>
          </cell>
          <cell r="AO32" t="str">
            <v>dmiller@farmvillenc.gov</v>
          </cell>
          <cell r="AP32" t="str">
            <v>David Miller</v>
          </cell>
          <cell r="AQ32" t="str">
            <v>Library Director</v>
          </cell>
          <cell r="AR32" t="str">
            <v>(252) 753-6713</v>
          </cell>
          <cell r="AT32" t="str">
            <v>dmiller@farmvillenc.gov</v>
          </cell>
          <cell r="AU32" t="str">
            <v>www.farmvillelibrary.org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1</v>
          </cell>
          <cell r="BI32">
            <v>2548</v>
          </cell>
          <cell r="BJ32">
            <v>1</v>
          </cell>
          <cell r="BK32">
            <v>1</v>
          </cell>
          <cell r="BL32">
            <v>2</v>
          </cell>
          <cell r="BM32">
            <v>2</v>
          </cell>
          <cell r="BN32">
            <v>4</v>
          </cell>
          <cell r="BO32">
            <v>0.25</v>
          </cell>
          <cell r="BP32">
            <v>60</v>
          </cell>
          <cell r="BQ32">
            <v>45240</v>
          </cell>
          <cell r="BY32">
            <v>36134</v>
          </cell>
          <cell r="BZ32">
            <v>54201</v>
          </cell>
          <cell r="DK32">
            <v>28312</v>
          </cell>
          <cell r="DL32">
            <v>42468</v>
          </cell>
          <cell r="DO32">
            <v>26964</v>
          </cell>
          <cell r="DP32">
            <v>40446</v>
          </cell>
          <cell r="DV32">
            <v>306301</v>
          </cell>
          <cell r="DW32">
            <v>5000</v>
          </cell>
          <cell r="DX32">
            <v>311301</v>
          </cell>
          <cell r="DY32">
            <v>3820</v>
          </cell>
          <cell r="DZ32">
            <v>0</v>
          </cell>
          <cell r="EA32">
            <v>3820</v>
          </cell>
          <cell r="EB32">
            <v>30565</v>
          </cell>
          <cell r="EC32">
            <v>0</v>
          </cell>
          <cell r="ED32">
            <v>30565</v>
          </cell>
          <cell r="EE32">
            <v>0</v>
          </cell>
          <cell r="EF32">
            <v>345686</v>
          </cell>
          <cell r="EG32">
            <v>154512</v>
          </cell>
          <cell r="EH32">
            <v>84739</v>
          </cell>
          <cell r="EI32">
            <v>239251</v>
          </cell>
          <cell r="EJ32">
            <v>20602</v>
          </cell>
          <cell r="EK32">
            <v>3940</v>
          </cell>
          <cell r="EL32">
            <v>8780</v>
          </cell>
          <cell r="EM32">
            <v>33322</v>
          </cell>
          <cell r="EN32">
            <v>73185</v>
          </cell>
          <cell r="EO32">
            <v>345758</v>
          </cell>
          <cell r="EP32">
            <v>-72</v>
          </cell>
          <cell r="EQ32">
            <v>-2.0000000000000001E-4</v>
          </cell>
          <cell r="ER32">
            <v>0</v>
          </cell>
          <cell r="ES32">
            <v>0</v>
          </cell>
          <cell r="ET32">
            <v>0</v>
          </cell>
          <cell r="EU32">
            <v>0</v>
          </cell>
          <cell r="EV32">
            <v>0</v>
          </cell>
          <cell r="EW32">
            <v>0</v>
          </cell>
          <cell r="EX32">
            <v>6683</v>
          </cell>
          <cell r="EY32">
            <v>120411</v>
          </cell>
          <cell r="EZ32">
            <v>6520</v>
          </cell>
          <cell r="FA32">
            <v>1693</v>
          </cell>
          <cell r="FB32">
            <v>8044</v>
          </cell>
          <cell r="FC32">
            <v>9715</v>
          </cell>
          <cell r="FD32">
            <v>1538</v>
          </cell>
          <cell r="FE32">
            <v>3989</v>
          </cell>
          <cell r="FF32">
            <v>16235</v>
          </cell>
          <cell r="FG32">
            <v>3231</v>
          </cell>
          <cell r="FH32">
            <v>12033</v>
          </cell>
          <cell r="FI32">
            <v>31499</v>
          </cell>
          <cell r="FJ32">
            <v>533</v>
          </cell>
          <cell r="FK32">
            <v>90</v>
          </cell>
          <cell r="FM32">
            <v>31499</v>
          </cell>
          <cell r="FN32">
            <v>416</v>
          </cell>
          <cell r="FO32">
            <v>1015</v>
          </cell>
          <cell r="FP32">
            <v>70</v>
          </cell>
          <cell r="FQ32">
            <v>4</v>
          </cell>
          <cell r="FR32">
            <v>88</v>
          </cell>
          <cell r="FS32">
            <v>92</v>
          </cell>
          <cell r="FT32">
            <v>44141</v>
          </cell>
          <cell r="FU32">
            <v>3505</v>
          </cell>
          <cell r="FV32">
            <v>0</v>
          </cell>
          <cell r="FW32">
            <v>0</v>
          </cell>
          <cell r="FX32">
            <v>8544</v>
          </cell>
          <cell r="FY32">
            <v>1573</v>
          </cell>
          <cell r="FZ32">
            <v>322</v>
          </cell>
          <cell r="GA32">
            <v>0</v>
          </cell>
          <cell r="GB32">
            <v>26436</v>
          </cell>
          <cell r="GC32">
            <v>1747</v>
          </cell>
          <cell r="GD32">
            <v>278</v>
          </cell>
          <cell r="GE32">
            <v>0</v>
          </cell>
          <cell r="GJ32">
            <v>100</v>
          </cell>
          <cell r="GK32">
            <v>0</v>
          </cell>
          <cell r="GL32">
            <v>0</v>
          </cell>
          <cell r="GM32">
            <v>50</v>
          </cell>
          <cell r="GN32">
            <v>79221</v>
          </cell>
          <cell r="GO32">
            <v>6825</v>
          </cell>
          <cell r="GP32">
            <v>600</v>
          </cell>
          <cell r="GQ32">
            <v>50</v>
          </cell>
          <cell r="GR32">
            <v>20</v>
          </cell>
          <cell r="GT32">
            <v>7504</v>
          </cell>
          <cell r="GU32">
            <v>753</v>
          </cell>
          <cell r="GV32">
            <v>4581</v>
          </cell>
          <cell r="GW32">
            <v>2127</v>
          </cell>
          <cell r="GX32">
            <v>107</v>
          </cell>
          <cell r="GY32">
            <v>640</v>
          </cell>
          <cell r="GZ32">
            <v>9631</v>
          </cell>
          <cell r="HA32">
            <v>860</v>
          </cell>
          <cell r="HB32">
            <v>5221</v>
          </cell>
          <cell r="HC32">
            <v>15712</v>
          </cell>
          <cell r="HD32">
            <v>865</v>
          </cell>
          <cell r="HE32">
            <v>21783</v>
          </cell>
          <cell r="HF32">
            <v>408</v>
          </cell>
          <cell r="HG32">
            <v>1019</v>
          </cell>
          <cell r="HH32">
            <v>5206</v>
          </cell>
          <cell r="HI32">
            <v>264</v>
          </cell>
          <cell r="HJ32">
            <v>1691</v>
          </cell>
          <cell r="HK32">
            <v>23474</v>
          </cell>
          <cell r="HL32">
            <v>19</v>
          </cell>
          <cell r="HM32">
            <v>1414</v>
          </cell>
          <cell r="HN32">
            <v>1433</v>
          </cell>
          <cell r="HO32">
            <v>18</v>
          </cell>
          <cell r="HP32">
            <v>290</v>
          </cell>
          <cell r="HQ32">
            <v>308</v>
          </cell>
          <cell r="HR32">
            <v>0</v>
          </cell>
          <cell r="HS32">
            <v>5</v>
          </cell>
          <cell r="HT32">
            <v>5</v>
          </cell>
          <cell r="HU32">
            <v>110</v>
          </cell>
          <cell r="HV32">
            <v>1856</v>
          </cell>
          <cell r="HW32">
            <v>2456</v>
          </cell>
          <cell r="HX32">
            <v>6852</v>
          </cell>
          <cell r="HY32">
            <v>9308</v>
          </cell>
          <cell r="HZ32">
            <v>11164</v>
          </cell>
          <cell r="IA32">
            <v>716</v>
          </cell>
          <cell r="IB32">
            <v>1740</v>
          </cell>
          <cell r="IC32">
            <v>25330</v>
          </cell>
          <cell r="ID32">
            <v>25330</v>
          </cell>
          <cell r="IE32">
            <v>34638</v>
          </cell>
          <cell r="IF32">
            <v>6081</v>
          </cell>
          <cell r="IG32">
            <v>279</v>
          </cell>
          <cell r="IJ32">
            <v>1</v>
          </cell>
          <cell r="IK32">
            <v>1.34E-2</v>
          </cell>
          <cell r="IL32">
            <v>6.9999999999999999E-4</v>
          </cell>
          <cell r="IM32">
            <v>0.72</v>
          </cell>
          <cell r="IN32">
            <v>0</v>
          </cell>
          <cell r="IO32">
            <v>0.65790000000000004</v>
          </cell>
          <cell r="IP32">
            <v>8.0000000000000004E-4</v>
          </cell>
          <cell r="IQ32">
            <v>0.2616</v>
          </cell>
          <cell r="IR32">
            <v>6.0100000000000001E-2</v>
          </cell>
          <cell r="IS32">
            <v>0.24010000000000001</v>
          </cell>
          <cell r="IT32">
            <v>5225</v>
          </cell>
          <cell r="IU32">
            <v>25201</v>
          </cell>
          <cell r="IV32">
            <v>30426</v>
          </cell>
          <cell r="IW32">
            <v>6.4709000000000003</v>
          </cell>
          <cell r="IX32">
            <v>33496</v>
          </cell>
          <cell r="IZ32">
            <v>87</v>
          </cell>
          <cell r="JA32">
            <v>1</v>
          </cell>
          <cell r="JB32">
            <v>162</v>
          </cell>
          <cell r="JC32">
            <v>12</v>
          </cell>
          <cell r="JD32">
            <v>2</v>
          </cell>
          <cell r="JE32">
            <v>107</v>
          </cell>
          <cell r="JF32">
            <v>99</v>
          </cell>
          <cell r="JG32">
            <v>3</v>
          </cell>
          <cell r="JH32">
            <v>269</v>
          </cell>
          <cell r="JI32">
            <v>371</v>
          </cell>
          <cell r="JJ32">
            <v>250</v>
          </cell>
          <cell r="JK32">
            <v>121</v>
          </cell>
          <cell r="JL32">
            <v>1067</v>
          </cell>
          <cell r="JM32">
            <v>6</v>
          </cell>
          <cell r="JN32">
            <v>3585</v>
          </cell>
          <cell r="JO32">
            <v>400</v>
          </cell>
          <cell r="JP32">
            <v>15</v>
          </cell>
          <cell r="JQ32">
            <v>485</v>
          </cell>
          <cell r="JR32">
            <v>1467</v>
          </cell>
          <cell r="JS32">
            <v>21</v>
          </cell>
          <cell r="JT32">
            <v>4070</v>
          </cell>
          <cell r="JU32">
            <v>5558</v>
          </cell>
          <cell r="JV32">
            <v>4658</v>
          </cell>
          <cell r="JW32">
            <v>900</v>
          </cell>
          <cell r="JX32">
            <v>14.98</v>
          </cell>
          <cell r="JY32">
            <v>14.82</v>
          </cell>
          <cell r="JZ32">
            <v>15.13</v>
          </cell>
          <cell r="KA32">
            <v>0.26</v>
          </cell>
          <cell r="KB32">
            <v>0.73</v>
          </cell>
          <cell r="KC32">
            <v>0</v>
          </cell>
          <cell r="KD32">
            <v>0</v>
          </cell>
          <cell r="KE32">
            <v>12</v>
          </cell>
          <cell r="KF32">
            <v>105</v>
          </cell>
          <cell r="KG32">
            <v>60</v>
          </cell>
          <cell r="KH32">
            <v>757</v>
          </cell>
          <cell r="KI32">
            <v>0</v>
          </cell>
          <cell r="KJ32">
            <v>0</v>
          </cell>
          <cell r="KK32">
            <v>10</v>
          </cell>
          <cell r="KL32">
            <v>28</v>
          </cell>
          <cell r="KM32">
            <v>13121</v>
          </cell>
          <cell r="KN32">
            <v>2761</v>
          </cell>
          <cell r="KO32">
            <v>39</v>
          </cell>
          <cell r="KQ32">
            <v>294</v>
          </cell>
          <cell r="KS32">
            <v>2150</v>
          </cell>
          <cell r="KT32">
            <v>791</v>
          </cell>
          <cell r="KU32">
            <v>7</v>
          </cell>
          <cell r="KV32">
            <v>20</v>
          </cell>
          <cell r="KW32">
            <v>8689</v>
          </cell>
          <cell r="KY32">
            <v>27459</v>
          </cell>
          <cell r="KZ32">
            <v>4434</v>
          </cell>
          <cell r="LC32" t="str">
            <v>FARMVILLE PUBLIC LIBRARY</v>
          </cell>
          <cell r="LD32" t="str">
            <v>City Owned</v>
          </cell>
          <cell r="LE32" t="str">
            <v>4276 W CHURCH ST</v>
          </cell>
          <cell r="LF32" t="str">
            <v>FARMVILLE</v>
          </cell>
          <cell r="LG32">
            <v>27828</v>
          </cell>
          <cell r="LH32">
            <v>1621</v>
          </cell>
          <cell r="LI32" t="str">
            <v>4276 W CHURCH ST</v>
          </cell>
          <cell r="LJ32" t="str">
            <v>FARMVILLE</v>
          </cell>
          <cell r="LK32">
            <v>27828</v>
          </cell>
          <cell r="LL32">
            <v>1621</v>
          </cell>
          <cell r="LM32" t="str">
            <v>PITT</v>
          </cell>
          <cell r="LN32">
            <v>2527533355</v>
          </cell>
          <cell r="LP32">
            <v>9366</v>
          </cell>
          <cell r="LQ32">
            <v>4</v>
          </cell>
          <cell r="LS32">
            <v>2548</v>
          </cell>
          <cell r="LT32">
            <v>52</v>
          </cell>
          <cell r="LW32">
            <v>2</v>
          </cell>
          <cell r="LX32" t="str">
            <v>M-FARMVILLE-F</v>
          </cell>
          <cell r="LY32">
            <v>0</v>
          </cell>
          <cell r="LZ32" t="str">
            <v>CE</v>
          </cell>
          <cell r="MA32">
            <v>50</v>
          </cell>
          <cell r="MB32">
            <v>300</v>
          </cell>
        </row>
        <row r="33">
          <cell r="A33" t="str">
            <v>NC0008</v>
          </cell>
          <cell r="B33">
            <v>0</v>
          </cell>
          <cell r="C33">
            <v>1375</v>
          </cell>
          <cell r="D33">
            <v>2017</v>
          </cell>
          <cell r="E33">
            <v>0</v>
          </cell>
          <cell r="F33" t="str">
            <v>NC0008</v>
          </cell>
          <cell r="G33" t="str">
            <v>R-FONTANA</v>
          </cell>
          <cell r="H33" t="str">
            <v>NO</v>
          </cell>
          <cell r="I33" t="str">
            <v>MJ</v>
          </cell>
          <cell r="J33" t="str">
            <v>MO</v>
          </cell>
          <cell r="K33" t="str">
            <v>Y</v>
          </cell>
          <cell r="L33" t="str">
            <v>MC1</v>
          </cell>
          <cell r="M33" t="str">
            <v>N</v>
          </cell>
          <cell r="N33">
            <v>91321</v>
          </cell>
          <cell r="O33" t="str">
            <v>Yes</v>
          </cell>
          <cell r="P33">
            <v>1871</v>
          </cell>
          <cell r="Q33">
            <v>155</v>
          </cell>
          <cell r="R33">
            <v>341</v>
          </cell>
          <cell r="S33">
            <v>38</v>
          </cell>
          <cell r="T33">
            <v>11241</v>
          </cell>
          <cell r="U33">
            <v>1289</v>
          </cell>
          <cell r="V33">
            <v>34416</v>
          </cell>
          <cell r="W33">
            <v>3254</v>
          </cell>
          <cell r="X33">
            <v>911405</v>
          </cell>
          <cell r="Y33">
            <v>281132</v>
          </cell>
          <cell r="Z33" t="str">
            <v>33 FRYEMONT ST</v>
          </cell>
          <cell r="AA33" t="str">
            <v>BRYSON CITY</v>
          </cell>
          <cell r="AB33">
            <v>28713</v>
          </cell>
          <cell r="AC33">
            <v>5667</v>
          </cell>
          <cell r="AD33" t="str">
            <v>33 FRYEMONT ST</v>
          </cell>
          <cell r="AE33" t="str">
            <v>BRYSON CITY</v>
          </cell>
          <cell r="AF33">
            <v>28713</v>
          </cell>
          <cell r="AG33">
            <v>1</v>
          </cell>
          <cell r="AH33" t="str">
            <v>FONTANA REGIONAL LIBRARY</v>
          </cell>
          <cell r="AJ33" t="str">
            <v>Regional</v>
          </cell>
          <cell r="AK33" t="str">
            <v>SWAIN</v>
          </cell>
          <cell r="AL33" t="str">
            <v>Karen Wallace</v>
          </cell>
          <cell r="AM33" t="str">
            <v>(828) 524-3600</v>
          </cell>
          <cell r="AN33" t="str">
            <v>(828) 488-2638</v>
          </cell>
          <cell r="AO33" t="str">
            <v>kwallace@fontanalib.org</v>
          </cell>
          <cell r="AP33" t="str">
            <v>Deb Lawley</v>
          </cell>
          <cell r="AQ33" t="str">
            <v>Finance Officer</v>
          </cell>
          <cell r="AR33" t="str">
            <v>(828) 488-2382</v>
          </cell>
          <cell r="AS33" t="str">
            <v>(828) 488-2638</v>
          </cell>
          <cell r="AT33" t="str">
            <v>dlawley@fontanalib.org</v>
          </cell>
          <cell r="AU33" t="str">
            <v>www.fontanalib.org</v>
          </cell>
          <cell r="BC33">
            <v>0</v>
          </cell>
          <cell r="BD33">
            <v>6</v>
          </cell>
          <cell r="BE33">
            <v>0</v>
          </cell>
          <cell r="BF33">
            <v>1</v>
          </cell>
          <cell r="BG33">
            <v>7</v>
          </cell>
          <cell r="BI33">
            <v>12901</v>
          </cell>
          <cell r="BJ33">
            <v>8</v>
          </cell>
          <cell r="BK33">
            <v>0</v>
          </cell>
          <cell r="BL33">
            <v>8</v>
          </cell>
          <cell r="BM33">
            <v>53.5</v>
          </cell>
          <cell r="BN33">
            <v>61.5</v>
          </cell>
          <cell r="BO33">
            <v>0.13009999999999999</v>
          </cell>
          <cell r="BP33">
            <v>5262</v>
          </cell>
          <cell r="BQ33">
            <v>79976</v>
          </cell>
          <cell r="BT33">
            <v>0</v>
          </cell>
          <cell r="BU33">
            <v>35006</v>
          </cell>
          <cell r="BV33">
            <v>47590</v>
          </cell>
          <cell r="BW33">
            <v>41434</v>
          </cell>
          <cell r="CO33">
            <v>44408</v>
          </cell>
          <cell r="CP33">
            <v>47965</v>
          </cell>
          <cell r="CQ33">
            <v>46187</v>
          </cell>
          <cell r="CR33">
            <v>33280</v>
          </cell>
          <cell r="CS33">
            <v>33280</v>
          </cell>
          <cell r="CT33">
            <v>33280</v>
          </cell>
          <cell r="DH33">
            <v>40040</v>
          </cell>
          <cell r="DI33">
            <v>40040</v>
          </cell>
          <cell r="DJ33">
            <v>40040</v>
          </cell>
          <cell r="DK33">
            <v>25272</v>
          </cell>
          <cell r="DL33">
            <v>35235</v>
          </cell>
          <cell r="DM33">
            <v>28350</v>
          </cell>
          <cell r="DO33">
            <v>18824</v>
          </cell>
          <cell r="DP33">
            <v>27747</v>
          </cell>
          <cell r="DQ33">
            <v>22131</v>
          </cell>
          <cell r="DS33">
            <v>21840</v>
          </cell>
          <cell r="DT33">
            <v>27539</v>
          </cell>
          <cell r="DU33">
            <v>24086</v>
          </cell>
          <cell r="DV33">
            <v>19890</v>
          </cell>
          <cell r="DW33">
            <v>2300512</v>
          </cell>
          <cell r="DX33">
            <v>2320402</v>
          </cell>
          <cell r="DY33">
            <v>326025</v>
          </cell>
          <cell r="DZ33">
            <v>54408</v>
          </cell>
          <cell r="EA33">
            <v>380433</v>
          </cell>
          <cell r="EB33">
            <v>55168</v>
          </cell>
          <cell r="EC33">
            <v>0</v>
          </cell>
          <cell r="ED33">
            <v>55168</v>
          </cell>
          <cell r="EE33">
            <v>550017</v>
          </cell>
          <cell r="EF33">
            <v>3306020</v>
          </cell>
          <cell r="EG33">
            <v>1696426</v>
          </cell>
          <cell r="EH33">
            <v>659139</v>
          </cell>
          <cell r="EI33">
            <v>2355565</v>
          </cell>
          <cell r="EJ33">
            <v>187532</v>
          </cell>
          <cell r="EK33">
            <v>50507</v>
          </cell>
          <cell r="EL33">
            <v>48885</v>
          </cell>
          <cell r="EM33">
            <v>286924</v>
          </cell>
          <cell r="EN33">
            <v>575448</v>
          </cell>
          <cell r="EO33">
            <v>3217937</v>
          </cell>
          <cell r="EP33">
            <v>88083</v>
          </cell>
          <cell r="EQ33">
            <v>2.6599999999999999E-2</v>
          </cell>
          <cell r="ER33">
            <v>0</v>
          </cell>
          <cell r="ES33">
            <v>0</v>
          </cell>
          <cell r="ET33">
            <v>0</v>
          </cell>
          <cell r="EU33">
            <v>0</v>
          </cell>
          <cell r="EV33">
            <v>0</v>
          </cell>
          <cell r="EW33">
            <v>0</v>
          </cell>
          <cell r="EX33">
            <v>33838</v>
          </cell>
          <cell r="EY33">
            <v>346637</v>
          </cell>
          <cell r="EZ33">
            <v>83489</v>
          </cell>
          <cell r="FA33">
            <v>5622</v>
          </cell>
          <cell r="FB33">
            <v>51026</v>
          </cell>
          <cell r="FC33">
            <v>58254</v>
          </cell>
          <cell r="FD33">
            <v>1343</v>
          </cell>
          <cell r="FE33">
            <v>22013</v>
          </cell>
          <cell r="FF33">
            <v>141743</v>
          </cell>
          <cell r="FG33">
            <v>6965</v>
          </cell>
          <cell r="FH33">
            <v>73039</v>
          </cell>
          <cell r="FI33">
            <v>221747</v>
          </cell>
          <cell r="FJ33">
            <v>7129</v>
          </cell>
          <cell r="FK33">
            <v>406</v>
          </cell>
          <cell r="FM33">
            <v>221747</v>
          </cell>
          <cell r="FN33">
            <v>9588</v>
          </cell>
          <cell r="FO33">
            <v>14561</v>
          </cell>
          <cell r="FP33">
            <v>1570</v>
          </cell>
          <cell r="FQ33">
            <v>2</v>
          </cell>
          <cell r="FR33">
            <v>88</v>
          </cell>
          <cell r="FS33">
            <v>90</v>
          </cell>
          <cell r="FT33">
            <v>44141</v>
          </cell>
          <cell r="FU33">
            <v>3505</v>
          </cell>
          <cell r="FV33">
            <v>0</v>
          </cell>
          <cell r="FW33">
            <v>0</v>
          </cell>
          <cell r="FX33">
            <v>8544</v>
          </cell>
          <cell r="FY33">
            <v>1573</v>
          </cell>
          <cell r="FZ33">
            <v>322</v>
          </cell>
          <cell r="GA33">
            <v>0</v>
          </cell>
          <cell r="GB33">
            <v>26436</v>
          </cell>
          <cell r="GC33">
            <v>1747</v>
          </cell>
          <cell r="GD33">
            <v>278</v>
          </cell>
          <cell r="GE33">
            <v>42</v>
          </cell>
          <cell r="GJ33">
            <v>512</v>
          </cell>
          <cell r="GK33">
            <v>4437</v>
          </cell>
          <cell r="GL33">
            <v>0</v>
          </cell>
          <cell r="GM33">
            <v>9</v>
          </cell>
          <cell r="GN33">
            <v>79633</v>
          </cell>
          <cell r="GO33">
            <v>11262</v>
          </cell>
          <cell r="GP33">
            <v>600</v>
          </cell>
          <cell r="GQ33">
            <v>51</v>
          </cell>
          <cell r="GR33">
            <v>170</v>
          </cell>
          <cell r="GT33">
            <v>124082</v>
          </cell>
          <cell r="GU33">
            <v>7319</v>
          </cell>
          <cell r="GV33">
            <v>83433</v>
          </cell>
          <cell r="GW33">
            <v>42574</v>
          </cell>
          <cell r="GX33">
            <v>1531</v>
          </cell>
          <cell r="GY33">
            <v>21358</v>
          </cell>
          <cell r="GZ33">
            <v>166656</v>
          </cell>
          <cell r="HA33">
            <v>8850</v>
          </cell>
          <cell r="HB33">
            <v>104791</v>
          </cell>
          <cell r="HC33">
            <v>280297</v>
          </cell>
          <cell r="HD33">
            <v>4992</v>
          </cell>
          <cell r="HE33">
            <v>287610</v>
          </cell>
          <cell r="HF33">
            <v>21824</v>
          </cell>
          <cell r="HG33">
            <v>29982</v>
          </cell>
          <cell r="HH33">
            <v>2321</v>
          </cell>
          <cell r="HI33">
            <v>1507</v>
          </cell>
          <cell r="HJ33">
            <v>53313</v>
          </cell>
          <cell r="HK33">
            <v>340923</v>
          </cell>
          <cell r="HL33">
            <v>87</v>
          </cell>
          <cell r="HM33">
            <v>42484</v>
          </cell>
          <cell r="HN33">
            <v>42571</v>
          </cell>
          <cell r="HO33">
            <v>867</v>
          </cell>
          <cell r="HP33">
            <v>7160</v>
          </cell>
          <cell r="HQ33">
            <v>8027</v>
          </cell>
          <cell r="HR33">
            <v>0</v>
          </cell>
          <cell r="HS33">
            <v>381</v>
          </cell>
          <cell r="HT33">
            <v>381</v>
          </cell>
          <cell r="HU33">
            <v>859</v>
          </cell>
          <cell r="HV33">
            <v>51838</v>
          </cell>
          <cell r="HW33">
            <v>7682</v>
          </cell>
          <cell r="HX33">
            <v>0</v>
          </cell>
          <cell r="HY33">
            <v>7682</v>
          </cell>
          <cell r="HZ33">
            <v>59520</v>
          </cell>
          <cell r="IA33">
            <v>29851</v>
          </cell>
          <cell r="IB33">
            <v>60214</v>
          </cell>
          <cell r="IC33">
            <v>392761</v>
          </cell>
          <cell r="ID33">
            <v>392761</v>
          </cell>
          <cell r="IE33">
            <v>400443</v>
          </cell>
          <cell r="IF33">
            <v>123380</v>
          </cell>
          <cell r="IG33">
            <v>12793</v>
          </cell>
          <cell r="IJ33">
            <v>1</v>
          </cell>
          <cell r="IK33">
            <v>4.3700000000000003E-2</v>
          </cell>
          <cell r="IL33">
            <v>1.1999999999999999E-3</v>
          </cell>
          <cell r="IM33">
            <v>0.2641</v>
          </cell>
          <cell r="IN33">
            <v>0</v>
          </cell>
          <cell r="IO33">
            <v>0.22969999999999999</v>
          </cell>
          <cell r="IP33">
            <v>2.9999999999999997E-4</v>
          </cell>
          <cell r="IQ33">
            <v>0.63970000000000005</v>
          </cell>
          <cell r="IR33">
            <v>6.0100000000000001E-2</v>
          </cell>
          <cell r="IS33">
            <v>0.31409999999999999</v>
          </cell>
          <cell r="IT33">
            <v>40371</v>
          </cell>
          <cell r="IU33">
            <v>7112</v>
          </cell>
          <cell r="IV33">
            <v>47483</v>
          </cell>
          <cell r="IW33">
            <v>0.52</v>
          </cell>
          <cell r="IX33">
            <v>409425</v>
          </cell>
          <cell r="IZ33">
            <v>646</v>
          </cell>
          <cell r="JA33">
            <v>120</v>
          </cell>
          <cell r="JB33">
            <v>920</v>
          </cell>
          <cell r="JC33">
            <v>5</v>
          </cell>
          <cell r="JD33">
            <v>3</v>
          </cell>
          <cell r="JE33">
            <v>954</v>
          </cell>
          <cell r="JF33">
            <v>651</v>
          </cell>
          <cell r="JG33">
            <v>123</v>
          </cell>
          <cell r="JH33">
            <v>1874</v>
          </cell>
          <cell r="JI33">
            <v>2648</v>
          </cell>
          <cell r="JJ33">
            <v>1686</v>
          </cell>
          <cell r="JK33">
            <v>962</v>
          </cell>
          <cell r="JL33">
            <v>10537</v>
          </cell>
          <cell r="JM33">
            <v>1239</v>
          </cell>
          <cell r="JN33">
            <v>21602</v>
          </cell>
          <cell r="JO33">
            <v>1217</v>
          </cell>
          <cell r="JP33">
            <v>137</v>
          </cell>
          <cell r="JQ33">
            <v>25558</v>
          </cell>
          <cell r="JR33">
            <v>11754</v>
          </cell>
          <cell r="JS33">
            <v>1376</v>
          </cell>
          <cell r="JT33">
            <v>47160</v>
          </cell>
          <cell r="JU33">
            <v>60290</v>
          </cell>
          <cell r="JV33">
            <v>33378</v>
          </cell>
          <cell r="JW33">
            <v>26912</v>
          </cell>
          <cell r="JX33">
            <v>22.77</v>
          </cell>
          <cell r="JY33">
            <v>18.059999999999999</v>
          </cell>
          <cell r="JZ33">
            <v>25.17</v>
          </cell>
          <cell r="KA33">
            <v>0.19</v>
          </cell>
          <cell r="KB33">
            <v>0.78</v>
          </cell>
          <cell r="KC33">
            <v>2</v>
          </cell>
          <cell r="KD33">
            <v>2</v>
          </cell>
          <cell r="KE33">
            <v>47</v>
          </cell>
          <cell r="KF33">
            <v>518</v>
          </cell>
          <cell r="KG33">
            <v>101</v>
          </cell>
          <cell r="KH33">
            <v>1125</v>
          </cell>
          <cell r="KI33">
            <v>9</v>
          </cell>
          <cell r="KJ33">
            <v>138</v>
          </cell>
          <cell r="KK33">
            <v>19</v>
          </cell>
          <cell r="KL33">
            <v>177</v>
          </cell>
          <cell r="KM33">
            <v>105757</v>
          </cell>
          <cell r="KN33">
            <v>40737</v>
          </cell>
          <cell r="KO33">
            <v>1453</v>
          </cell>
          <cell r="KQ33">
            <v>7068</v>
          </cell>
          <cell r="KR33">
            <v>30272</v>
          </cell>
          <cell r="KS33">
            <v>23507</v>
          </cell>
          <cell r="KT33">
            <v>11502</v>
          </cell>
          <cell r="KU33">
            <v>98</v>
          </cell>
          <cell r="KV33">
            <v>122</v>
          </cell>
          <cell r="KW33">
            <v>47134</v>
          </cell>
          <cell r="KY33">
            <v>73232</v>
          </cell>
          <cell r="KZ33">
            <v>69851</v>
          </cell>
          <cell r="LC33" t="str">
            <v>ALBERT CARLTON-CASHIERS COMMUNITY LIBRARY</v>
          </cell>
          <cell r="LD33" t="str">
            <v>County Owned</v>
          </cell>
          <cell r="LE33" t="str">
            <v>P.O. BOX 2127</v>
          </cell>
          <cell r="LF33" t="str">
            <v>CASHIERS</v>
          </cell>
          <cell r="LG33">
            <v>28717</v>
          </cell>
          <cell r="LH33">
            <v>2194</v>
          </cell>
          <cell r="LI33" t="str">
            <v>249 FRANK ALLEN RD</v>
          </cell>
          <cell r="LJ33" t="str">
            <v>CASHIERS</v>
          </cell>
          <cell r="LK33">
            <v>28717</v>
          </cell>
          <cell r="LM33" t="str">
            <v>JACKSON</v>
          </cell>
          <cell r="LN33">
            <v>8287430215</v>
          </cell>
          <cell r="LO33">
            <v>8287431638</v>
          </cell>
          <cell r="LP33">
            <v>84456</v>
          </cell>
          <cell r="LQ33">
            <v>54.53</v>
          </cell>
          <cell r="LS33">
            <v>12901</v>
          </cell>
          <cell r="LT33">
            <v>312</v>
          </cell>
          <cell r="LW33">
            <v>8</v>
          </cell>
          <cell r="LX33" t="str">
            <v>R-FONTANA-CASHIERS</v>
          </cell>
          <cell r="LY33">
            <v>0</v>
          </cell>
          <cell r="LZ33" t="str">
            <v>BR</v>
          </cell>
          <cell r="MA33">
            <v>39.56</v>
          </cell>
          <cell r="MB33">
            <v>70.760000000000005</v>
          </cell>
        </row>
        <row r="34">
          <cell r="A34" t="str">
            <v>NC0032</v>
          </cell>
          <cell r="B34">
            <v>0</v>
          </cell>
          <cell r="C34">
            <v>1375</v>
          </cell>
          <cell r="D34">
            <v>2017</v>
          </cell>
          <cell r="E34">
            <v>0</v>
          </cell>
          <cell r="F34" t="str">
            <v>NC0032</v>
          </cell>
          <cell r="G34" t="str">
            <v>C-FORSYTH</v>
          </cell>
          <cell r="H34" t="str">
            <v>NO</v>
          </cell>
          <cell r="I34" t="str">
            <v>CO</v>
          </cell>
          <cell r="J34" t="str">
            <v>MO</v>
          </cell>
          <cell r="K34" t="str">
            <v>Y</v>
          </cell>
          <cell r="L34" t="str">
            <v>CO2</v>
          </cell>
          <cell r="M34" t="str">
            <v>N</v>
          </cell>
          <cell r="N34">
            <v>366531</v>
          </cell>
          <cell r="O34" t="str">
            <v>Yes</v>
          </cell>
          <cell r="P34">
            <v>884</v>
          </cell>
          <cell r="Q34">
            <v>475</v>
          </cell>
          <cell r="R34">
            <v>320</v>
          </cell>
          <cell r="S34">
            <v>42</v>
          </cell>
          <cell r="T34">
            <v>16485</v>
          </cell>
          <cell r="U34">
            <v>350</v>
          </cell>
          <cell r="V34">
            <v>66567</v>
          </cell>
          <cell r="W34">
            <v>6083</v>
          </cell>
          <cell r="X34">
            <v>4104</v>
          </cell>
          <cell r="Y34">
            <v>12000</v>
          </cell>
          <cell r="Z34" t="str">
            <v>201 N. Chestnut St. 5th Flr.</v>
          </cell>
          <cell r="AA34" t="str">
            <v>WINSTON-SALEM</v>
          </cell>
          <cell r="AB34">
            <v>27101</v>
          </cell>
          <cell r="AC34">
            <v>4120</v>
          </cell>
          <cell r="AD34" t="str">
            <v>660 W 5TH ST</v>
          </cell>
          <cell r="AE34" t="str">
            <v>WINSTON-SALEM</v>
          </cell>
          <cell r="AF34">
            <v>27101</v>
          </cell>
          <cell r="AG34">
            <v>3</v>
          </cell>
          <cell r="AH34" t="str">
            <v>FORSYTH COUNTY PUBLIC LIBRARY</v>
          </cell>
          <cell r="AJ34" t="str">
            <v>County</v>
          </cell>
          <cell r="AK34" t="str">
            <v>FORSYTH</v>
          </cell>
          <cell r="AL34" t="str">
            <v>Sylvia Sprinkle-Hamlin</v>
          </cell>
          <cell r="AM34" t="str">
            <v>(336) 703-3016</v>
          </cell>
          <cell r="AN34" t="str">
            <v>(336) 727-2549</v>
          </cell>
          <cell r="AO34" t="str">
            <v>hamlinss@forsythlibrary.org</v>
          </cell>
          <cell r="AP34" t="str">
            <v>Sylvia Sprinkle-Hamlin</v>
          </cell>
          <cell r="AQ34" t="str">
            <v>Library Director</v>
          </cell>
          <cell r="AR34" t="str">
            <v>(336) 703-3016</v>
          </cell>
          <cell r="AT34" t="str">
            <v>hamlinss@forsyth.cc</v>
          </cell>
          <cell r="AU34" t="str">
            <v>www.forsythlibrary.org</v>
          </cell>
          <cell r="BC34">
            <v>1</v>
          </cell>
          <cell r="BD34">
            <v>11</v>
          </cell>
          <cell r="BE34">
            <v>2</v>
          </cell>
          <cell r="BF34">
            <v>4</v>
          </cell>
          <cell r="BG34">
            <v>18</v>
          </cell>
          <cell r="BI34">
            <v>33265</v>
          </cell>
          <cell r="BJ34">
            <v>46.5</v>
          </cell>
          <cell r="BK34">
            <v>1</v>
          </cell>
          <cell r="BL34">
            <v>47.5</v>
          </cell>
          <cell r="BM34">
            <v>56.3</v>
          </cell>
          <cell r="BN34">
            <v>103.8</v>
          </cell>
          <cell r="BO34">
            <v>0.44800000000000001</v>
          </cell>
          <cell r="BP34">
            <v>13713</v>
          </cell>
          <cell r="BQ34">
            <v>133948</v>
          </cell>
          <cell r="BT34">
            <v>99507</v>
          </cell>
          <cell r="BU34">
            <v>38668</v>
          </cell>
          <cell r="BV34">
            <v>65735</v>
          </cell>
          <cell r="BW34">
            <v>51573</v>
          </cell>
          <cell r="BY34">
            <v>38668</v>
          </cell>
          <cell r="BZ34">
            <v>65735</v>
          </cell>
          <cell r="CA34">
            <v>51573</v>
          </cell>
          <cell r="CC34">
            <v>38668</v>
          </cell>
          <cell r="CD34">
            <v>65735</v>
          </cell>
          <cell r="CE34">
            <v>51573</v>
          </cell>
          <cell r="CG34">
            <v>38668</v>
          </cell>
          <cell r="CH34">
            <v>65735</v>
          </cell>
          <cell r="CI34">
            <v>51573</v>
          </cell>
          <cell r="CK34">
            <v>38668</v>
          </cell>
          <cell r="CL34">
            <v>65735</v>
          </cell>
          <cell r="CM34">
            <v>51573</v>
          </cell>
          <cell r="CO34">
            <v>42631</v>
          </cell>
          <cell r="CP34">
            <v>72473</v>
          </cell>
          <cell r="CQ34">
            <v>67537</v>
          </cell>
          <cell r="CR34">
            <v>35073</v>
          </cell>
          <cell r="CS34">
            <v>59624</v>
          </cell>
          <cell r="CT34">
            <v>39756</v>
          </cell>
          <cell r="CV34">
            <v>35073</v>
          </cell>
          <cell r="CW34">
            <v>59624</v>
          </cell>
          <cell r="CX34">
            <v>39756</v>
          </cell>
          <cell r="CZ34">
            <v>35073</v>
          </cell>
          <cell r="DA34">
            <v>59624</v>
          </cell>
          <cell r="DB34">
            <v>39756</v>
          </cell>
          <cell r="DD34">
            <v>35073</v>
          </cell>
          <cell r="DE34">
            <v>59624</v>
          </cell>
          <cell r="DF34">
            <v>39756</v>
          </cell>
          <cell r="DH34">
            <v>35073</v>
          </cell>
          <cell r="DI34">
            <v>59624</v>
          </cell>
          <cell r="DJ34">
            <v>39756</v>
          </cell>
          <cell r="DK34">
            <v>27480</v>
          </cell>
          <cell r="DL34">
            <v>46717</v>
          </cell>
          <cell r="DM34">
            <v>27861</v>
          </cell>
          <cell r="DO34">
            <v>26172</v>
          </cell>
          <cell r="DP34">
            <v>44492</v>
          </cell>
          <cell r="DQ34">
            <v>31532</v>
          </cell>
          <cell r="DS34">
            <v>35079</v>
          </cell>
          <cell r="DT34">
            <v>59624</v>
          </cell>
          <cell r="DU34">
            <v>35796</v>
          </cell>
          <cell r="DV34">
            <v>0</v>
          </cell>
          <cell r="DW34">
            <v>7060367</v>
          </cell>
          <cell r="DX34">
            <v>7060367</v>
          </cell>
          <cell r="DY34">
            <v>292277</v>
          </cell>
          <cell r="DZ34">
            <v>0</v>
          </cell>
          <cell r="EA34">
            <v>292277</v>
          </cell>
          <cell r="EB34">
            <v>100984</v>
          </cell>
          <cell r="EC34">
            <v>0</v>
          </cell>
          <cell r="ED34">
            <v>100984</v>
          </cell>
          <cell r="EE34">
            <v>195225</v>
          </cell>
          <cell r="EF34">
            <v>7648853</v>
          </cell>
          <cell r="EG34">
            <v>3475663</v>
          </cell>
          <cell r="EH34">
            <v>1498217</v>
          </cell>
          <cell r="EI34">
            <v>4973880</v>
          </cell>
          <cell r="EJ34">
            <v>552106</v>
          </cell>
          <cell r="EK34">
            <v>306884</v>
          </cell>
          <cell r="EL34">
            <v>149901</v>
          </cell>
          <cell r="EM34">
            <v>1008891</v>
          </cell>
          <cell r="EN34">
            <v>1666082</v>
          </cell>
          <cell r="EO34">
            <v>7648853</v>
          </cell>
          <cell r="EP34">
            <v>0</v>
          </cell>
          <cell r="EQ34">
            <v>0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0</v>
          </cell>
          <cell r="EX34">
            <v>86439</v>
          </cell>
          <cell r="EY34">
            <v>836347</v>
          </cell>
          <cell r="EZ34">
            <v>207447</v>
          </cell>
          <cell r="FA34">
            <v>18044</v>
          </cell>
          <cell r="FB34">
            <v>139080</v>
          </cell>
          <cell r="FC34">
            <v>159213</v>
          </cell>
          <cell r="FD34">
            <v>1907</v>
          </cell>
          <cell r="FE34">
            <v>72119</v>
          </cell>
          <cell r="FF34">
            <v>366660</v>
          </cell>
          <cell r="FG34">
            <v>19951</v>
          </cell>
          <cell r="FH34">
            <v>211199</v>
          </cell>
          <cell r="FI34">
            <v>597810</v>
          </cell>
          <cell r="FJ34">
            <v>23765</v>
          </cell>
          <cell r="FK34">
            <v>1528</v>
          </cell>
          <cell r="FM34">
            <v>597810</v>
          </cell>
          <cell r="FN34">
            <v>31195</v>
          </cell>
          <cell r="FO34">
            <v>30798</v>
          </cell>
          <cell r="FP34">
            <v>3911</v>
          </cell>
          <cell r="FQ34">
            <v>28</v>
          </cell>
          <cell r="FR34">
            <v>88</v>
          </cell>
          <cell r="FS34">
            <v>116</v>
          </cell>
          <cell r="FT34">
            <v>44141</v>
          </cell>
          <cell r="FU34">
            <v>3505</v>
          </cell>
          <cell r="FV34">
            <v>0</v>
          </cell>
          <cell r="FW34">
            <v>0</v>
          </cell>
          <cell r="FX34">
            <v>8544</v>
          </cell>
          <cell r="FY34">
            <v>1573</v>
          </cell>
          <cell r="FZ34">
            <v>322</v>
          </cell>
          <cell r="GA34">
            <v>0</v>
          </cell>
          <cell r="GE34">
            <v>-1</v>
          </cell>
          <cell r="GF34">
            <v>36593</v>
          </cell>
          <cell r="GG34">
            <v>13194</v>
          </cell>
          <cell r="GH34">
            <v>264</v>
          </cell>
          <cell r="GI34">
            <v>12</v>
          </cell>
          <cell r="GJ34">
            <v>31594</v>
          </cell>
          <cell r="GK34">
            <v>7235</v>
          </cell>
          <cell r="GL34">
            <v>248</v>
          </cell>
          <cell r="GM34">
            <v>0</v>
          </cell>
          <cell r="GN34">
            <v>120872</v>
          </cell>
          <cell r="GO34">
            <v>25507</v>
          </cell>
          <cell r="GP34">
            <v>834</v>
          </cell>
          <cell r="GQ34">
            <v>11</v>
          </cell>
          <cell r="GR34">
            <v>128</v>
          </cell>
          <cell r="GT34">
            <v>398357</v>
          </cell>
          <cell r="GU34">
            <v>32315</v>
          </cell>
          <cell r="GV34">
            <v>327788</v>
          </cell>
          <cell r="GW34">
            <v>85274</v>
          </cell>
          <cell r="GX34">
            <v>1933</v>
          </cell>
          <cell r="GY34">
            <v>72719</v>
          </cell>
          <cell r="GZ34">
            <v>483631</v>
          </cell>
          <cell r="HA34">
            <v>34248</v>
          </cell>
          <cell r="HB34">
            <v>400507</v>
          </cell>
          <cell r="HC34">
            <v>918386</v>
          </cell>
          <cell r="HD34">
            <v>16190</v>
          </cell>
          <cell r="HE34">
            <v>934700</v>
          </cell>
          <cell r="HF34">
            <v>78545</v>
          </cell>
          <cell r="HG34">
            <v>184444</v>
          </cell>
          <cell r="HH34">
            <v>124</v>
          </cell>
          <cell r="HI34">
            <v>100810</v>
          </cell>
          <cell r="HJ34">
            <v>363799</v>
          </cell>
          <cell r="HK34">
            <v>1298499</v>
          </cell>
          <cell r="HL34">
            <v>331</v>
          </cell>
          <cell r="HM34">
            <v>118761</v>
          </cell>
          <cell r="HN34">
            <v>119092</v>
          </cell>
          <cell r="HO34">
            <v>1407</v>
          </cell>
          <cell r="HP34">
            <v>64674</v>
          </cell>
          <cell r="HQ34">
            <v>66081</v>
          </cell>
          <cell r="HR34">
            <v>0</v>
          </cell>
          <cell r="HS34">
            <v>711</v>
          </cell>
          <cell r="HT34">
            <v>711</v>
          </cell>
          <cell r="HU34">
            <v>3668</v>
          </cell>
          <cell r="HV34">
            <v>189552</v>
          </cell>
          <cell r="HW34">
            <v>231337</v>
          </cell>
          <cell r="HX34">
            <v>-1</v>
          </cell>
          <cell r="HY34">
            <v>231336</v>
          </cell>
          <cell r="HZ34">
            <v>420888</v>
          </cell>
          <cell r="IA34">
            <v>144626</v>
          </cell>
          <cell r="IB34">
            <v>329781</v>
          </cell>
          <cell r="IC34">
            <v>1488051</v>
          </cell>
          <cell r="ID34">
            <v>1488051</v>
          </cell>
          <cell r="IE34">
            <v>1719387</v>
          </cell>
          <cell r="IF34">
            <v>445158</v>
          </cell>
          <cell r="IG34">
            <v>421</v>
          </cell>
          <cell r="IJ34">
            <v>1</v>
          </cell>
          <cell r="IK34">
            <v>3.78E-2</v>
          </cell>
          <cell r="IL34">
            <v>1.8E-3</v>
          </cell>
          <cell r="IM34">
            <v>0.17599999999999999</v>
          </cell>
          <cell r="IN34">
            <v>0</v>
          </cell>
          <cell r="IO34">
            <v>0.14449999999999999</v>
          </cell>
          <cell r="IP34">
            <v>1E-4</v>
          </cell>
          <cell r="IQ34">
            <v>0.71479999999999999</v>
          </cell>
          <cell r="IR34">
            <v>6.7799999999999999E-2</v>
          </cell>
          <cell r="IS34">
            <v>0.29920000000000002</v>
          </cell>
          <cell r="IT34">
            <v>129686</v>
          </cell>
          <cell r="IU34">
            <v>35252</v>
          </cell>
          <cell r="IV34">
            <v>164938</v>
          </cell>
          <cell r="IW34">
            <v>0.45</v>
          </cell>
          <cell r="IX34">
            <v>1041176</v>
          </cell>
          <cell r="IZ34">
            <v>2988</v>
          </cell>
          <cell r="JA34">
            <v>168</v>
          </cell>
          <cell r="JB34">
            <v>1383</v>
          </cell>
          <cell r="JC34">
            <v>361</v>
          </cell>
          <cell r="JD34">
            <v>9</v>
          </cell>
          <cell r="JE34">
            <v>369</v>
          </cell>
          <cell r="JF34">
            <v>3349</v>
          </cell>
          <cell r="JG34">
            <v>177</v>
          </cell>
          <cell r="JH34">
            <v>1752</v>
          </cell>
          <cell r="JI34">
            <v>5278</v>
          </cell>
          <cell r="JJ34">
            <v>4539</v>
          </cell>
          <cell r="JK34">
            <v>739</v>
          </cell>
          <cell r="JL34">
            <v>43302</v>
          </cell>
          <cell r="JM34">
            <v>1646</v>
          </cell>
          <cell r="JN34">
            <v>45332</v>
          </cell>
          <cell r="JO34">
            <v>7176</v>
          </cell>
          <cell r="JP34">
            <v>929</v>
          </cell>
          <cell r="JQ34">
            <v>19400</v>
          </cell>
          <cell r="JR34">
            <v>50478</v>
          </cell>
          <cell r="JS34">
            <v>2575</v>
          </cell>
          <cell r="JT34">
            <v>64732</v>
          </cell>
          <cell r="JU34">
            <v>117785</v>
          </cell>
          <cell r="JV34">
            <v>90280</v>
          </cell>
          <cell r="JW34">
            <v>27505</v>
          </cell>
          <cell r="JX34">
            <v>22.32</v>
          </cell>
          <cell r="JY34">
            <v>15.07</v>
          </cell>
          <cell r="JZ34">
            <v>36.950000000000003</v>
          </cell>
          <cell r="KA34">
            <v>0.43</v>
          </cell>
          <cell r="KB34">
            <v>0.55000000000000004</v>
          </cell>
          <cell r="KC34">
            <v>460</v>
          </cell>
          <cell r="KD34">
            <v>941</v>
          </cell>
          <cell r="KE34">
            <v>887</v>
          </cell>
          <cell r="KF34">
            <v>1352</v>
          </cell>
          <cell r="KG34">
            <v>262</v>
          </cell>
          <cell r="KH34">
            <v>18283</v>
          </cell>
          <cell r="KI34">
            <v>5</v>
          </cell>
          <cell r="KJ34">
            <v>50</v>
          </cell>
          <cell r="KK34">
            <v>10</v>
          </cell>
          <cell r="KL34">
            <v>160</v>
          </cell>
          <cell r="KM34">
            <v>318330</v>
          </cell>
          <cell r="KN34">
            <v>89924</v>
          </cell>
          <cell r="KO34">
            <v>19184</v>
          </cell>
          <cell r="KQ34">
            <v>3898</v>
          </cell>
          <cell r="KR34">
            <v>57637</v>
          </cell>
          <cell r="KS34">
            <v>72046</v>
          </cell>
          <cell r="KT34">
            <v>17951</v>
          </cell>
          <cell r="KU34">
            <v>113</v>
          </cell>
          <cell r="KV34">
            <v>116</v>
          </cell>
          <cell r="KW34">
            <v>283723</v>
          </cell>
          <cell r="KY34">
            <v>2637709</v>
          </cell>
          <cell r="KZ34">
            <v>-1</v>
          </cell>
          <cell r="LC34" t="str">
            <v>FORSYTH COUNTY PUBLIC LIBRARY</v>
          </cell>
          <cell r="LD34" t="str">
            <v>County Owned</v>
          </cell>
          <cell r="LE34" t="str">
            <v>660 W 5TH ST</v>
          </cell>
          <cell r="LF34" t="str">
            <v>WINSTON-SALEM</v>
          </cell>
          <cell r="LG34">
            <v>27101</v>
          </cell>
          <cell r="LH34">
            <v>2705</v>
          </cell>
          <cell r="LI34" t="str">
            <v>660 W 5TH ST</v>
          </cell>
          <cell r="LJ34" t="str">
            <v>WINSTON-SALEM</v>
          </cell>
          <cell r="LK34">
            <v>27101</v>
          </cell>
          <cell r="LL34">
            <v>2705</v>
          </cell>
          <cell r="LM34" t="str">
            <v>FORSYTH</v>
          </cell>
          <cell r="LN34">
            <v>3367033011</v>
          </cell>
          <cell r="LP34">
            <v>199547</v>
          </cell>
          <cell r="LQ34">
            <v>103.8</v>
          </cell>
          <cell r="LS34">
            <v>33265</v>
          </cell>
          <cell r="LT34">
            <v>676</v>
          </cell>
          <cell r="LW34">
            <v>2</v>
          </cell>
          <cell r="LX34" t="str">
            <v>C-FORSYTH-F</v>
          </cell>
          <cell r="LY34">
            <v>0</v>
          </cell>
          <cell r="LZ34" t="str">
            <v>CE</v>
          </cell>
          <cell r="MA34">
            <v>11</v>
          </cell>
          <cell r="MB34">
            <v>10</v>
          </cell>
        </row>
        <row r="35">
          <cell r="A35" t="str">
            <v>NC0033</v>
          </cell>
          <cell r="B35">
            <v>0</v>
          </cell>
          <cell r="C35">
            <v>1375</v>
          </cell>
          <cell r="D35">
            <v>2017</v>
          </cell>
          <cell r="E35">
            <v>0</v>
          </cell>
          <cell r="F35" t="str">
            <v>NC0033</v>
          </cell>
          <cell r="G35" t="str">
            <v>C-FRANKLIN</v>
          </cell>
          <cell r="H35" t="str">
            <v>NO</v>
          </cell>
          <cell r="I35" t="str">
            <v>CO</v>
          </cell>
          <cell r="J35" t="str">
            <v>MO</v>
          </cell>
          <cell r="K35" t="str">
            <v>Y</v>
          </cell>
          <cell r="L35" t="str">
            <v>CO1</v>
          </cell>
          <cell r="M35" t="str">
            <v>N</v>
          </cell>
          <cell r="N35">
            <v>64206</v>
          </cell>
          <cell r="O35" t="str">
            <v>Yes</v>
          </cell>
          <cell r="R35">
            <v>70</v>
          </cell>
          <cell r="S35">
            <v>9</v>
          </cell>
          <cell r="T35">
            <v>514</v>
          </cell>
          <cell r="U35">
            <v>177</v>
          </cell>
          <cell r="V35">
            <v>16222</v>
          </cell>
          <cell r="W35">
            <v>2494</v>
          </cell>
          <cell r="Z35" t="str">
            <v>906 N MAIN ST</v>
          </cell>
          <cell r="AA35" t="str">
            <v>LOUISBURG</v>
          </cell>
          <cell r="AB35">
            <v>27549</v>
          </cell>
          <cell r="AC35">
            <v>1217</v>
          </cell>
          <cell r="AD35" t="str">
            <v>906 N MAIN ST</v>
          </cell>
          <cell r="AE35" t="str">
            <v>LOUISBURG</v>
          </cell>
          <cell r="AF35">
            <v>27549</v>
          </cell>
          <cell r="AG35">
            <v>2</v>
          </cell>
          <cell r="AH35" t="str">
            <v>FRANKLIN COUNTY LIBRARY</v>
          </cell>
          <cell r="AJ35" t="str">
            <v>County</v>
          </cell>
          <cell r="AK35" t="str">
            <v>FRANKLIN</v>
          </cell>
          <cell r="AL35" t="str">
            <v>Holt Kornegay</v>
          </cell>
          <cell r="AM35" t="str">
            <v>(919) 496-2111</v>
          </cell>
          <cell r="AN35" t="str">
            <v>(919) 496-1339</v>
          </cell>
          <cell r="AO35" t="str">
            <v>hkornegay@franklincountync.us</v>
          </cell>
          <cell r="AP35" t="str">
            <v>Wayne Hunt</v>
          </cell>
          <cell r="AQ35" t="str">
            <v>Administrative Support Specialist</v>
          </cell>
          <cell r="AR35" t="str">
            <v>(919) 496-2111</v>
          </cell>
          <cell r="AS35" t="str">
            <v>(919) 496-1339</v>
          </cell>
          <cell r="AT35" t="str">
            <v>whunt@franklincountync.us</v>
          </cell>
          <cell r="AU35" t="str">
            <v>www.franklincountync.us/services/library</v>
          </cell>
          <cell r="BC35">
            <v>1</v>
          </cell>
          <cell r="BD35">
            <v>3</v>
          </cell>
          <cell r="BE35">
            <v>1</v>
          </cell>
          <cell r="BF35">
            <v>0</v>
          </cell>
          <cell r="BG35">
            <v>5</v>
          </cell>
          <cell r="BI35">
            <v>9430</v>
          </cell>
          <cell r="BJ35">
            <v>3</v>
          </cell>
          <cell r="BK35">
            <v>0</v>
          </cell>
          <cell r="BL35">
            <v>3</v>
          </cell>
          <cell r="BM35">
            <v>10.57</v>
          </cell>
          <cell r="BN35">
            <v>13.57</v>
          </cell>
          <cell r="BO35">
            <v>0.22109999999999999</v>
          </cell>
          <cell r="BP35">
            <v>1200</v>
          </cell>
          <cell r="BQ35">
            <v>75141</v>
          </cell>
          <cell r="BT35">
            <v>0</v>
          </cell>
          <cell r="BU35">
            <v>32959</v>
          </cell>
          <cell r="BV35">
            <v>51087</v>
          </cell>
          <cell r="BW35">
            <v>35955</v>
          </cell>
          <cell r="BY35">
            <v>44169</v>
          </cell>
          <cell r="BZ35">
            <v>68461</v>
          </cell>
          <cell r="CA35">
            <v>45494</v>
          </cell>
          <cell r="CC35">
            <v>44169</v>
          </cell>
          <cell r="CD35">
            <v>68461</v>
          </cell>
          <cell r="CE35">
            <v>48108</v>
          </cell>
          <cell r="CG35">
            <v>36338</v>
          </cell>
          <cell r="CH35">
            <v>56323</v>
          </cell>
          <cell r="CI35">
            <v>46579</v>
          </cell>
          <cell r="CK35">
            <v>40062</v>
          </cell>
          <cell r="CL35">
            <v>62096</v>
          </cell>
          <cell r="CM35">
            <v>45827</v>
          </cell>
          <cell r="DH35">
            <v>32959</v>
          </cell>
          <cell r="DI35">
            <v>51087</v>
          </cell>
          <cell r="DJ35">
            <v>42366</v>
          </cell>
          <cell r="DO35">
            <v>22726</v>
          </cell>
          <cell r="DQ35">
            <v>24211</v>
          </cell>
          <cell r="DV35">
            <v>3000</v>
          </cell>
          <cell r="DW35">
            <v>787230</v>
          </cell>
          <cell r="DX35">
            <v>790230</v>
          </cell>
          <cell r="DY35">
            <v>114546</v>
          </cell>
          <cell r="DZ35">
            <v>0</v>
          </cell>
          <cell r="EA35">
            <v>114546</v>
          </cell>
          <cell r="EB35">
            <v>1205</v>
          </cell>
          <cell r="EC35">
            <v>0</v>
          </cell>
          <cell r="ED35">
            <v>1205</v>
          </cell>
          <cell r="EE35">
            <v>1600</v>
          </cell>
          <cell r="EF35">
            <v>907581</v>
          </cell>
          <cell r="EG35">
            <v>528582</v>
          </cell>
          <cell r="EH35">
            <v>180045</v>
          </cell>
          <cell r="EI35">
            <v>708627</v>
          </cell>
          <cell r="EJ35">
            <v>56867</v>
          </cell>
          <cell r="EK35">
            <v>6500</v>
          </cell>
          <cell r="EL35">
            <v>8956</v>
          </cell>
          <cell r="EM35">
            <v>72323</v>
          </cell>
          <cell r="EN35">
            <v>129466</v>
          </cell>
          <cell r="EO35">
            <v>910416</v>
          </cell>
          <cell r="EP35">
            <v>-2835</v>
          </cell>
          <cell r="EQ35">
            <v>-3.0999999999999999E-3</v>
          </cell>
          <cell r="ER35">
            <v>0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0</v>
          </cell>
          <cell r="EX35">
            <v>10966</v>
          </cell>
          <cell r="EY35">
            <v>196180</v>
          </cell>
          <cell r="EZ35">
            <v>36321</v>
          </cell>
          <cell r="FA35">
            <v>3107</v>
          </cell>
          <cell r="FB35">
            <v>27790</v>
          </cell>
          <cell r="FC35">
            <v>23410</v>
          </cell>
          <cell r="FD35">
            <v>663</v>
          </cell>
          <cell r="FE35">
            <v>11402</v>
          </cell>
          <cell r="FF35">
            <v>59731</v>
          </cell>
          <cell r="FG35">
            <v>3770</v>
          </cell>
          <cell r="FH35">
            <v>39192</v>
          </cell>
          <cell r="FI35">
            <v>102693</v>
          </cell>
          <cell r="FJ35">
            <v>343</v>
          </cell>
          <cell r="FK35">
            <v>108</v>
          </cell>
          <cell r="FM35">
            <v>102693</v>
          </cell>
          <cell r="FN35">
            <v>1652</v>
          </cell>
          <cell r="FO35">
            <v>4033</v>
          </cell>
          <cell r="FP35">
            <v>644</v>
          </cell>
          <cell r="FQ35">
            <v>2</v>
          </cell>
          <cell r="FR35">
            <v>88</v>
          </cell>
          <cell r="FS35">
            <v>90</v>
          </cell>
          <cell r="FT35">
            <v>44141</v>
          </cell>
          <cell r="FU35">
            <v>3505</v>
          </cell>
          <cell r="FV35">
            <v>0</v>
          </cell>
          <cell r="FW35">
            <v>0</v>
          </cell>
          <cell r="FX35">
            <v>8544</v>
          </cell>
          <cell r="FY35">
            <v>1573</v>
          </cell>
          <cell r="FZ35">
            <v>322</v>
          </cell>
          <cell r="GA35">
            <v>0</v>
          </cell>
          <cell r="GB35">
            <v>26436</v>
          </cell>
          <cell r="GC35">
            <v>1747</v>
          </cell>
          <cell r="GD35">
            <v>278</v>
          </cell>
          <cell r="GE35">
            <v>42</v>
          </cell>
          <cell r="GJ35">
            <v>0</v>
          </cell>
          <cell r="GK35">
            <v>0</v>
          </cell>
          <cell r="GL35">
            <v>29</v>
          </cell>
          <cell r="GM35">
            <v>0</v>
          </cell>
          <cell r="GN35">
            <v>79121</v>
          </cell>
          <cell r="GO35">
            <v>6825</v>
          </cell>
          <cell r="GP35">
            <v>629</v>
          </cell>
          <cell r="GQ35">
            <v>42</v>
          </cell>
          <cell r="GR35">
            <v>22</v>
          </cell>
          <cell r="GT35">
            <v>31519</v>
          </cell>
          <cell r="GU35">
            <v>4458</v>
          </cell>
          <cell r="GV35">
            <v>43303</v>
          </cell>
          <cell r="GW35">
            <v>7595</v>
          </cell>
          <cell r="GX35">
            <v>787</v>
          </cell>
          <cell r="GY35">
            <v>9996</v>
          </cell>
          <cell r="GZ35">
            <v>39114</v>
          </cell>
          <cell r="HA35">
            <v>5245</v>
          </cell>
          <cell r="HB35">
            <v>53299</v>
          </cell>
          <cell r="HC35">
            <v>97658</v>
          </cell>
          <cell r="HD35">
            <v>1724</v>
          </cell>
          <cell r="HE35">
            <v>99834</v>
          </cell>
          <cell r="HF35">
            <v>2145</v>
          </cell>
          <cell r="HG35">
            <v>15114</v>
          </cell>
          <cell r="HH35">
            <v>452</v>
          </cell>
          <cell r="HI35">
            <v>23224</v>
          </cell>
          <cell r="HJ35">
            <v>40483</v>
          </cell>
          <cell r="HK35">
            <v>140317</v>
          </cell>
          <cell r="HL35">
            <v>31</v>
          </cell>
          <cell r="HM35">
            <v>8828</v>
          </cell>
          <cell r="HN35">
            <v>8859</v>
          </cell>
          <cell r="HO35">
            <v>149</v>
          </cell>
          <cell r="HP35">
            <v>1525</v>
          </cell>
          <cell r="HQ35">
            <v>1674</v>
          </cell>
          <cell r="HR35">
            <v>0</v>
          </cell>
          <cell r="HS35">
            <v>43</v>
          </cell>
          <cell r="HT35">
            <v>43</v>
          </cell>
          <cell r="HU35">
            <v>179</v>
          </cell>
          <cell r="HV35">
            <v>10755</v>
          </cell>
          <cell r="HW35">
            <v>1099</v>
          </cell>
          <cell r="HX35">
            <v>0</v>
          </cell>
          <cell r="HY35">
            <v>1099</v>
          </cell>
          <cell r="HZ35">
            <v>11854</v>
          </cell>
          <cell r="IA35">
            <v>3819</v>
          </cell>
          <cell r="IB35">
            <v>18976</v>
          </cell>
          <cell r="IC35">
            <v>151072</v>
          </cell>
          <cell r="ID35">
            <v>151072</v>
          </cell>
          <cell r="IE35">
            <v>152171</v>
          </cell>
          <cell r="IF35">
            <v>65291</v>
          </cell>
          <cell r="IG35">
            <v>-1</v>
          </cell>
          <cell r="IK35">
            <v>2.3800000000000002E-2</v>
          </cell>
          <cell r="IL35">
            <v>5.9999999999999995E-4</v>
          </cell>
          <cell r="IM35">
            <v>0.4415</v>
          </cell>
          <cell r="IN35">
            <v>0</v>
          </cell>
          <cell r="IO35">
            <v>0.40329999999999999</v>
          </cell>
          <cell r="IP35">
            <v>5.0000000000000001E-4</v>
          </cell>
          <cell r="IQ35">
            <v>0.52349999999999997</v>
          </cell>
          <cell r="IR35">
            <v>4.3200000000000002E-2</v>
          </cell>
          <cell r="IS35">
            <v>0.43219999999999997</v>
          </cell>
          <cell r="IT35">
            <v>20115</v>
          </cell>
          <cell r="IU35">
            <v>7128</v>
          </cell>
          <cell r="IV35">
            <v>27243</v>
          </cell>
          <cell r="IW35">
            <v>0.42430000000000001</v>
          </cell>
          <cell r="IX35">
            <v>227985</v>
          </cell>
          <cell r="IZ35">
            <v>8</v>
          </cell>
          <cell r="JA35">
            <v>0</v>
          </cell>
          <cell r="JB35">
            <v>209</v>
          </cell>
          <cell r="JC35">
            <v>0</v>
          </cell>
          <cell r="JD35">
            <v>0</v>
          </cell>
          <cell r="JE35">
            <v>6</v>
          </cell>
          <cell r="JF35">
            <v>8</v>
          </cell>
          <cell r="JG35">
            <v>0</v>
          </cell>
          <cell r="JH35">
            <v>215</v>
          </cell>
          <cell r="JI35">
            <v>223</v>
          </cell>
          <cell r="JJ35">
            <v>217</v>
          </cell>
          <cell r="JK35">
            <v>6</v>
          </cell>
          <cell r="JL35">
            <v>42</v>
          </cell>
          <cell r="JM35">
            <v>0</v>
          </cell>
          <cell r="JN35">
            <v>1691</v>
          </cell>
          <cell r="JO35">
            <v>0</v>
          </cell>
          <cell r="JP35">
            <v>0</v>
          </cell>
          <cell r="JQ35">
            <v>425</v>
          </cell>
          <cell r="JR35">
            <v>42</v>
          </cell>
          <cell r="JS35">
            <v>0</v>
          </cell>
          <cell r="JT35">
            <v>2116</v>
          </cell>
          <cell r="JU35">
            <v>2158</v>
          </cell>
          <cell r="JV35">
            <v>1733</v>
          </cell>
          <cell r="JW35">
            <v>425</v>
          </cell>
          <cell r="JX35">
            <v>9.68</v>
          </cell>
          <cell r="JY35">
            <v>5.25</v>
          </cell>
          <cell r="JZ35">
            <v>9.84</v>
          </cell>
          <cell r="KA35">
            <v>0.02</v>
          </cell>
          <cell r="KB35">
            <v>0.98</v>
          </cell>
          <cell r="KE35">
            <v>2</v>
          </cell>
          <cell r="KF35">
            <v>24</v>
          </cell>
          <cell r="KM35">
            <v>12064</v>
          </cell>
          <cell r="KN35">
            <v>5824</v>
          </cell>
          <cell r="KO35">
            <v>2340</v>
          </cell>
          <cell r="KQ35">
            <v>448</v>
          </cell>
          <cell r="KR35">
            <v>20163</v>
          </cell>
          <cell r="KS35">
            <v>6035</v>
          </cell>
          <cell r="KT35">
            <v>5790</v>
          </cell>
          <cell r="KU35">
            <v>19</v>
          </cell>
          <cell r="KV35">
            <v>35</v>
          </cell>
          <cell r="KW35">
            <v>22603</v>
          </cell>
          <cell r="KY35">
            <v>18520</v>
          </cell>
          <cell r="KZ35">
            <v>5170</v>
          </cell>
          <cell r="LC35" t="str">
            <v>FRANKLIN COUNTY LIBRARY</v>
          </cell>
          <cell r="LD35" t="str">
            <v>County Owned</v>
          </cell>
          <cell r="LE35" t="str">
            <v>906 N MAIN ST</v>
          </cell>
          <cell r="LF35" t="str">
            <v>LOUISBURG</v>
          </cell>
          <cell r="LG35">
            <v>27549</v>
          </cell>
          <cell r="LH35">
            <v>2199</v>
          </cell>
          <cell r="LI35" t="str">
            <v>906 N MAIN ST</v>
          </cell>
          <cell r="LJ35" t="str">
            <v>LOUISBURG</v>
          </cell>
          <cell r="LK35">
            <v>27549</v>
          </cell>
          <cell r="LL35">
            <v>2199</v>
          </cell>
          <cell r="LM35" t="str">
            <v>FRANKLIN</v>
          </cell>
          <cell r="LN35">
            <v>9194962111</v>
          </cell>
          <cell r="LO35">
            <v>9194961339</v>
          </cell>
          <cell r="LP35">
            <v>16496</v>
          </cell>
          <cell r="LQ35">
            <v>12.57</v>
          </cell>
          <cell r="LS35">
            <v>9430</v>
          </cell>
          <cell r="LT35">
            <v>250</v>
          </cell>
          <cell r="LW35">
            <v>2</v>
          </cell>
          <cell r="LX35" t="str">
            <v>C-FRANKLIN-F</v>
          </cell>
          <cell r="LY35">
            <v>0</v>
          </cell>
          <cell r="LZ35" t="str">
            <v>CE</v>
          </cell>
          <cell r="MA35">
            <v>10</v>
          </cell>
          <cell r="MB35">
            <v>100</v>
          </cell>
        </row>
        <row r="36">
          <cell r="A36" t="str">
            <v>NC0105</v>
          </cell>
          <cell r="B36">
            <v>0</v>
          </cell>
          <cell r="C36">
            <v>1375</v>
          </cell>
          <cell r="D36">
            <v>2017</v>
          </cell>
          <cell r="E36">
            <v>0</v>
          </cell>
          <cell r="F36" t="str">
            <v>NC0105</v>
          </cell>
          <cell r="G36" t="str">
            <v>C-GASTON</v>
          </cell>
          <cell r="H36" t="str">
            <v>NO</v>
          </cell>
          <cell r="I36" t="str">
            <v>MJ</v>
          </cell>
          <cell r="J36" t="str">
            <v>MO</v>
          </cell>
          <cell r="K36" t="str">
            <v>Y</v>
          </cell>
          <cell r="L36" t="str">
            <v>MC1</v>
          </cell>
          <cell r="M36" t="str">
            <v>N</v>
          </cell>
          <cell r="N36">
            <v>211568</v>
          </cell>
          <cell r="O36" t="str">
            <v>Yes</v>
          </cell>
          <cell r="P36">
            <v>4540</v>
          </cell>
          <cell r="Q36">
            <v>1208</v>
          </cell>
          <cell r="R36">
            <v>795</v>
          </cell>
          <cell r="S36">
            <v>312</v>
          </cell>
          <cell r="T36">
            <v>33784</v>
          </cell>
          <cell r="U36">
            <v>1812</v>
          </cell>
          <cell r="V36">
            <v>115388</v>
          </cell>
          <cell r="W36">
            <v>13013</v>
          </cell>
          <cell r="X36">
            <v>1724000</v>
          </cell>
          <cell r="Y36">
            <v>314400</v>
          </cell>
          <cell r="Z36" t="str">
            <v>1555 East Garrison Boulevard</v>
          </cell>
          <cell r="AA36" t="str">
            <v>GASTONIA</v>
          </cell>
          <cell r="AB36">
            <v>28054</v>
          </cell>
          <cell r="AC36">
            <v>5156</v>
          </cell>
          <cell r="AD36" t="str">
            <v>1555 East Garrison Boulevard</v>
          </cell>
          <cell r="AE36" t="str">
            <v>Gastonia</v>
          </cell>
          <cell r="AF36">
            <v>28054</v>
          </cell>
          <cell r="AG36">
            <v>2</v>
          </cell>
          <cell r="AH36" t="str">
            <v>GASTON COUNTY PUBLIC LIBRARY</v>
          </cell>
          <cell r="AJ36" t="str">
            <v>County</v>
          </cell>
          <cell r="AK36" t="str">
            <v>GASTON</v>
          </cell>
          <cell r="AL36" t="str">
            <v>Laurel R. Morris</v>
          </cell>
          <cell r="AM36" t="str">
            <v>(704) 868-2164</v>
          </cell>
          <cell r="AN36" t="str">
            <v>(704) 853-6012</v>
          </cell>
          <cell r="AO36" t="str">
            <v>laurel.morris@gastongov.com</v>
          </cell>
          <cell r="AP36" t="str">
            <v>Laurel R. Morris</v>
          </cell>
          <cell r="AQ36" t="str">
            <v>Director</v>
          </cell>
          <cell r="AR36" t="str">
            <v>(704) 868-2164</v>
          </cell>
          <cell r="AS36" t="str">
            <v>(704) 853-6012</v>
          </cell>
          <cell r="AT36" t="str">
            <v>laurel.morris@gastongov.com</v>
          </cell>
          <cell r="AU36" t="str">
            <v>www.gastonlibrary.org</v>
          </cell>
          <cell r="BC36">
            <v>1</v>
          </cell>
          <cell r="BD36">
            <v>9</v>
          </cell>
          <cell r="BE36">
            <v>0</v>
          </cell>
          <cell r="BF36">
            <v>0</v>
          </cell>
          <cell r="BG36">
            <v>10</v>
          </cell>
          <cell r="BI36">
            <v>14222</v>
          </cell>
          <cell r="BJ36">
            <v>13.5</v>
          </cell>
          <cell r="BK36">
            <v>8.5</v>
          </cell>
          <cell r="BL36">
            <v>22</v>
          </cell>
          <cell r="BM36">
            <v>34</v>
          </cell>
          <cell r="BN36">
            <v>56</v>
          </cell>
          <cell r="BO36">
            <v>0.24110000000000001</v>
          </cell>
          <cell r="BP36">
            <v>2817</v>
          </cell>
          <cell r="BQ36">
            <v>103010</v>
          </cell>
          <cell r="BT36">
            <v>65564</v>
          </cell>
          <cell r="BU36">
            <v>35995</v>
          </cell>
          <cell r="BV36">
            <v>45895</v>
          </cell>
          <cell r="BW36">
            <v>40776</v>
          </cell>
          <cell r="BY36">
            <v>45180</v>
          </cell>
          <cell r="BZ36">
            <v>45180</v>
          </cell>
          <cell r="CA36">
            <v>45180</v>
          </cell>
          <cell r="CC36">
            <v>62165</v>
          </cell>
          <cell r="CD36">
            <v>62165</v>
          </cell>
          <cell r="CE36">
            <v>62165</v>
          </cell>
          <cell r="CG36">
            <v>64211</v>
          </cell>
          <cell r="CH36">
            <v>64211</v>
          </cell>
          <cell r="CI36">
            <v>64211</v>
          </cell>
          <cell r="CK36">
            <v>48975</v>
          </cell>
          <cell r="CL36">
            <v>48975</v>
          </cell>
          <cell r="CM36">
            <v>48975</v>
          </cell>
          <cell r="CO36">
            <v>57165</v>
          </cell>
          <cell r="CP36">
            <v>64386</v>
          </cell>
          <cell r="CQ36">
            <v>60776</v>
          </cell>
          <cell r="CR36">
            <v>38410</v>
          </cell>
          <cell r="CS36">
            <v>43549</v>
          </cell>
          <cell r="CT36">
            <v>40980</v>
          </cell>
          <cell r="CV36">
            <v>39142</v>
          </cell>
          <cell r="CW36">
            <v>56133</v>
          </cell>
          <cell r="CX36">
            <v>47888</v>
          </cell>
          <cell r="CZ36">
            <v>47140</v>
          </cell>
          <cell r="DA36">
            <v>47140</v>
          </cell>
          <cell r="DB36">
            <v>47140</v>
          </cell>
          <cell r="DO36">
            <v>25185</v>
          </cell>
          <cell r="DP36">
            <v>29497</v>
          </cell>
          <cell r="DQ36">
            <v>26752</v>
          </cell>
          <cell r="DV36">
            <v>0</v>
          </cell>
          <cell r="DW36">
            <v>3834335</v>
          </cell>
          <cell r="DX36">
            <v>3834335</v>
          </cell>
          <cell r="DY36">
            <v>225865</v>
          </cell>
          <cell r="DZ36">
            <v>0</v>
          </cell>
          <cell r="EA36">
            <v>225865</v>
          </cell>
          <cell r="EB36">
            <v>4414</v>
          </cell>
          <cell r="EC36">
            <v>0</v>
          </cell>
          <cell r="ED36">
            <v>4414</v>
          </cell>
          <cell r="EE36">
            <v>0</v>
          </cell>
          <cell r="EF36">
            <v>4064614</v>
          </cell>
          <cell r="EG36">
            <v>2061968</v>
          </cell>
          <cell r="EH36">
            <v>812560</v>
          </cell>
          <cell r="EI36">
            <v>2874528</v>
          </cell>
          <cell r="EJ36">
            <v>290000</v>
          </cell>
          <cell r="EK36">
            <v>71363</v>
          </cell>
          <cell r="EL36">
            <v>71490</v>
          </cell>
          <cell r="EM36">
            <v>432853</v>
          </cell>
          <cell r="EN36">
            <v>506780</v>
          </cell>
          <cell r="EO36">
            <v>3814161</v>
          </cell>
          <cell r="EP36">
            <v>250453</v>
          </cell>
          <cell r="EQ36">
            <v>6.1600000000000002E-2</v>
          </cell>
          <cell r="ER36">
            <v>0</v>
          </cell>
          <cell r="ES36">
            <v>0</v>
          </cell>
          <cell r="ET36">
            <v>0</v>
          </cell>
          <cell r="EU36">
            <v>25000</v>
          </cell>
          <cell r="EV36">
            <v>25000</v>
          </cell>
          <cell r="EW36">
            <v>25000</v>
          </cell>
          <cell r="EX36">
            <v>64310</v>
          </cell>
          <cell r="EY36">
            <v>577922</v>
          </cell>
          <cell r="EZ36">
            <v>104759</v>
          </cell>
          <cell r="FA36">
            <v>20972</v>
          </cell>
          <cell r="FB36">
            <v>92418</v>
          </cell>
          <cell r="FC36">
            <v>149597</v>
          </cell>
          <cell r="FD36">
            <v>0</v>
          </cell>
          <cell r="FE36">
            <v>50601</v>
          </cell>
          <cell r="FF36">
            <v>254356</v>
          </cell>
          <cell r="FG36">
            <v>20972</v>
          </cell>
          <cell r="FH36">
            <v>143019</v>
          </cell>
          <cell r="FI36">
            <v>418347</v>
          </cell>
          <cell r="FJ36">
            <v>2364</v>
          </cell>
          <cell r="FK36">
            <v>303</v>
          </cell>
          <cell r="FM36">
            <v>418347</v>
          </cell>
          <cell r="FN36">
            <v>13716</v>
          </cell>
          <cell r="FO36">
            <v>26292</v>
          </cell>
          <cell r="FP36">
            <v>0</v>
          </cell>
          <cell r="FQ36">
            <v>10</v>
          </cell>
          <cell r="FR36">
            <v>88</v>
          </cell>
          <cell r="FS36">
            <v>98</v>
          </cell>
          <cell r="FT36">
            <v>44141</v>
          </cell>
          <cell r="FU36">
            <v>3505</v>
          </cell>
          <cell r="FV36">
            <v>0</v>
          </cell>
          <cell r="FW36">
            <v>0</v>
          </cell>
          <cell r="FX36">
            <v>8544</v>
          </cell>
          <cell r="FY36">
            <v>1573</v>
          </cell>
          <cell r="FZ36">
            <v>322</v>
          </cell>
          <cell r="GA36">
            <v>0</v>
          </cell>
          <cell r="GF36">
            <v>36593</v>
          </cell>
          <cell r="GG36">
            <v>13194</v>
          </cell>
          <cell r="GH36">
            <v>264</v>
          </cell>
          <cell r="GI36">
            <v>12</v>
          </cell>
          <cell r="GJ36">
            <v>1169</v>
          </cell>
          <cell r="GK36">
            <v>7323</v>
          </cell>
          <cell r="GL36">
            <v>16</v>
          </cell>
          <cell r="GM36">
            <v>146</v>
          </cell>
          <cell r="GN36">
            <v>90447</v>
          </cell>
          <cell r="GO36">
            <v>25595</v>
          </cell>
          <cell r="GP36">
            <v>602</v>
          </cell>
          <cell r="GQ36">
            <v>158</v>
          </cell>
          <cell r="GR36">
            <v>260</v>
          </cell>
          <cell r="GT36">
            <v>241488</v>
          </cell>
          <cell r="GU36">
            <v>39212</v>
          </cell>
          <cell r="GV36">
            <v>285267</v>
          </cell>
          <cell r="GW36">
            <v>87774</v>
          </cell>
          <cell r="GX36">
            <v>0</v>
          </cell>
          <cell r="GY36">
            <v>63625</v>
          </cell>
          <cell r="GZ36">
            <v>329262</v>
          </cell>
          <cell r="HA36">
            <v>39212</v>
          </cell>
          <cell r="HB36">
            <v>348892</v>
          </cell>
          <cell r="HC36">
            <v>717366</v>
          </cell>
          <cell r="HD36">
            <v>0</v>
          </cell>
          <cell r="HE36">
            <v>717366</v>
          </cell>
          <cell r="HF36">
            <v>29826</v>
          </cell>
          <cell r="HG36">
            <v>189094</v>
          </cell>
          <cell r="HH36">
            <v>0</v>
          </cell>
          <cell r="HI36">
            <v>2977</v>
          </cell>
          <cell r="HJ36">
            <v>221897</v>
          </cell>
          <cell r="HK36">
            <v>939263</v>
          </cell>
          <cell r="HL36">
            <v>146</v>
          </cell>
          <cell r="HM36">
            <v>52116</v>
          </cell>
          <cell r="HN36">
            <v>52262</v>
          </cell>
          <cell r="HO36">
            <v>400</v>
          </cell>
          <cell r="HP36">
            <v>28712</v>
          </cell>
          <cell r="HQ36">
            <v>29112</v>
          </cell>
          <cell r="HR36">
            <v>0</v>
          </cell>
          <cell r="HS36">
            <v>345</v>
          </cell>
          <cell r="HT36">
            <v>345</v>
          </cell>
          <cell r="HU36">
            <v>4023</v>
          </cell>
          <cell r="HV36">
            <v>85742</v>
          </cell>
          <cell r="HW36">
            <v>43205</v>
          </cell>
          <cell r="HX36">
            <v>77409</v>
          </cell>
          <cell r="HY36">
            <v>120614</v>
          </cell>
          <cell r="HZ36">
            <v>206356</v>
          </cell>
          <cell r="IA36">
            <v>58938</v>
          </cell>
          <cell r="IB36">
            <v>248377</v>
          </cell>
          <cell r="IC36">
            <v>1025005</v>
          </cell>
          <cell r="ID36">
            <v>1025005</v>
          </cell>
          <cell r="IE36">
            <v>1145619</v>
          </cell>
          <cell r="IF36">
            <v>434972</v>
          </cell>
          <cell r="IG36">
            <v>10821</v>
          </cell>
          <cell r="IJ36">
            <v>1</v>
          </cell>
          <cell r="IK36">
            <v>4.65E-2</v>
          </cell>
          <cell r="IL36">
            <v>5.0000000000000001E-4</v>
          </cell>
          <cell r="IM36">
            <v>0.2021</v>
          </cell>
          <cell r="IN36">
            <v>0</v>
          </cell>
          <cell r="IO36">
            <v>0.1565</v>
          </cell>
          <cell r="IP36">
            <v>2.0000000000000001E-4</v>
          </cell>
          <cell r="IQ36">
            <v>0.72389999999999999</v>
          </cell>
          <cell r="IR36">
            <v>6.8000000000000005E-2</v>
          </cell>
          <cell r="IS36">
            <v>0.4244</v>
          </cell>
          <cell r="IT36">
            <v>67446</v>
          </cell>
          <cell r="IU36">
            <v>52814</v>
          </cell>
          <cell r="IV36">
            <v>120260</v>
          </cell>
          <cell r="IW36">
            <v>0.56840000000000002</v>
          </cell>
          <cell r="IX36">
            <v>575420</v>
          </cell>
          <cell r="IZ36">
            <v>1733</v>
          </cell>
          <cell r="JA36">
            <v>982</v>
          </cell>
          <cell r="JB36">
            <v>3414</v>
          </cell>
          <cell r="JC36">
            <v>158</v>
          </cell>
          <cell r="JD36">
            <v>18</v>
          </cell>
          <cell r="JE36">
            <v>378</v>
          </cell>
          <cell r="JF36">
            <v>1891</v>
          </cell>
          <cell r="JG36">
            <v>1000</v>
          </cell>
          <cell r="JH36">
            <v>3792</v>
          </cell>
          <cell r="JI36">
            <v>6683</v>
          </cell>
          <cell r="JJ36">
            <v>6129</v>
          </cell>
          <cell r="JK36">
            <v>554</v>
          </cell>
          <cell r="JL36">
            <v>16844</v>
          </cell>
          <cell r="JM36">
            <v>6198</v>
          </cell>
          <cell r="JN36">
            <v>76331</v>
          </cell>
          <cell r="JO36">
            <v>2055</v>
          </cell>
          <cell r="JP36">
            <v>1606</v>
          </cell>
          <cell r="JQ36">
            <v>28437</v>
          </cell>
          <cell r="JR36">
            <v>18899</v>
          </cell>
          <cell r="JS36">
            <v>7804</v>
          </cell>
          <cell r="JT36">
            <v>104768</v>
          </cell>
          <cell r="JU36">
            <v>131471</v>
          </cell>
          <cell r="JV36">
            <v>99373</v>
          </cell>
          <cell r="JW36">
            <v>32098</v>
          </cell>
          <cell r="JX36">
            <v>19.670000000000002</v>
          </cell>
          <cell r="JY36">
            <v>9.99</v>
          </cell>
          <cell r="JZ36">
            <v>27.63</v>
          </cell>
          <cell r="KA36">
            <v>0.14000000000000001</v>
          </cell>
          <cell r="KB36">
            <v>0.8</v>
          </cell>
          <cell r="KC36">
            <v>88</v>
          </cell>
          <cell r="KD36">
            <v>186</v>
          </cell>
          <cell r="KE36">
            <v>515</v>
          </cell>
          <cell r="KF36">
            <v>1171</v>
          </cell>
          <cell r="KM36">
            <v>160368</v>
          </cell>
          <cell r="KN36">
            <v>49868</v>
          </cell>
          <cell r="KO36">
            <v>5304</v>
          </cell>
          <cell r="KQ36">
            <v>326</v>
          </cell>
          <cell r="KR36">
            <v>18303</v>
          </cell>
          <cell r="KS36">
            <v>259</v>
          </cell>
          <cell r="KT36">
            <v>1318</v>
          </cell>
          <cell r="KU36">
            <v>64</v>
          </cell>
          <cell r="KV36">
            <v>84</v>
          </cell>
          <cell r="KW36">
            <v>107358</v>
          </cell>
          <cell r="KY36">
            <v>195531</v>
          </cell>
          <cell r="KZ36">
            <v>61194</v>
          </cell>
          <cell r="LC36" t="str">
            <v>GASTON COUNTY PUBLIC LIBRARY (REGIONAL HEADQUARTERS)</v>
          </cell>
          <cell r="LD36" t="str">
            <v>County Owned</v>
          </cell>
          <cell r="LE36" t="str">
            <v>1555 E. GARRISON BLVD</v>
          </cell>
          <cell r="LF36" t="str">
            <v>GASTONIA</v>
          </cell>
          <cell r="LG36">
            <v>28054</v>
          </cell>
          <cell r="LH36">
            <v>5156</v>
          </cell>
          <cell r="LI36" t="str">
            <v>1555 E GARRISON BLVD</v>
          </cell>
          <cell r="LJ36" t="str">
            <v>Gastonia</v>
          </cell>
          <cell r="LK36">
            <v>28054</v>
          </cell>
          <cell r="LL36">
            <v>5156</v>
          </cell>
          <cell r="LM36" t="str">
            <v>Gaston</v>
          </cell>
          <cell r="LN36">
            <v>7048682164</v>
          </cell>
          <cell r="LO36">
            <v>7048530609</v>
          </cell>
          <cell r="LP36">
            <v>92233</v>
          </cell>
          <cell r="LQ36">
            <v>56</v>
          </cell>
          <cell r="LS36">
            <v>14222</v>
          </cell>
          <cell r="LT36">
            <v>520</v>
          </cell>
          <cell r="LW36">
            <v>1</v>
          </cell>
          <cell r="LX36" t="str">
            <v>C-GASTON-G</v>
          </cell>
          <cell r="LY36">
            <v>0</v>
          </cell>
          <cell r="LZ36" t="str">
            <v>CE</v>
          </cell>
          <cell r="MA36">
            <v>13.87</v>
          </cell>
          <cell r="MB36">
            <v>18.87</v>
          </cell>
        </row>
        <row r="37">
          <cell r="A37" t="str">
            <v>NC0099</v>
          </cell>
          <cell r="B37">
            <v>0</v>
          </cell>
          <cell r="C37">
            <v>1375</v>
          </cell>
          <cell r="D37">
            <v>2017</v>
          </cell>
          <cell r="E37">
            <v>0</v>
          </cell>
          <cell r="F37" t="str">
            <v>NC0099</v>
          </cell>
          <cell r="G37" t="str">
            <v>M-WASHINGTON</v>
          </cell>
          <cell r="H37" t="str">
            <v>NO</v>
          </cell>
          <cell r="I37" t="str">
            <v>CI</v>
          </cell>
          <cell r="J37" t="str">
            <v>SO</v>
          </cell>
          <cell r="K37" t="str">
            <v>Y</v>
          </cell>
          <cell r="L37" t="str">
            <v>CI1</v>
          </cell>
          <cell r="M37" t="str">
            <v>N</v>
          </cell>
          <cell r="N37">
            <v>9639</v>
          </cell>
          <cell r="O37" t="str">
            <v>Yes</v>
          </cell>
          <cell r="P37">
            <v>271</v>
          </cell>
          <cell r="Q37">
            <v>36</v>
          </cell>
          <cell r="R37">
            <v>24</v>
          </cell>
          <cell r="S37">
            <v>8</v>
          </cell>
          <cell r="T37">
            <v>1110</v>
          </cell>
          <cell r="U37">
            <v>227</v>
          </cell>
          <cell r="V37">
            <v>9685</v>
          </cell>
          <cell r="W37">
            <v>1754</v>
          </cell>
          <cell r="Z37" t="str">
            <v>122 VAN NORDEN ST</v>
          </cell>
          <cell r="AA37" t="str">
            <v>WASHINGTON</v>
          </cell>
          <cell r="AB37">
            <v>27889</v>
          </cell>
          <cell r="AC37">
            <v>4847</v>
          </cell>
          <cell r="AD37" t="str">
            <v>122 VAN NORDEN ST</v>
          </cell>
          <cell r="AE37" t="str">
            <v>WASHINGTON</v>
          </cell>
          <cell r="AF37">
            <v>27889</v>
          </cell>
          <cell r="AG37">
            <v>1</v>
          </cell>
          <cell r="AH37" t="str">
            <v>GEORGE H. AND LAURA E. BROWN PUBLIC LIBRARY</v>
          </cell>
          <cell r="AJ37" t="str">
            <v>Municipal</v>
          </cell>
          <cell r="AK37" t="str">
            <v>BEAUFORT</v>
          </cell>
          <cell r="AL37" t="str">
            <v>Sandra Silvey</v>
          </cell>
          <cell r="AM37" t="str">
            <v>(252) 975-9356</v>
          </cell>
          <cell r="AO37" t="str">
            <v>ssilvey@washingtonnc.gov</v>
          </cell>
          <cell r="AP37" t="str">
            <v>Sandra Silvey</v>
          </cell>
          <cell r="AQ37" t="str">
            <v>Library Director</v>
          </cell>
          <cell r="AR37" t="str">
            <v>(252) 975-9356</v>
          </cell>
          <cell r="AT37" t="str">
            <v>ssilvey@washingtonnc.gov</v>
          </cell>
          <cell r="AU37" t="str">
            <v>www.washington-nc.libguides.com</v>
          </cell>
          <cell r="BC37">
            <v>1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I37">
            <v>2860</v>
          </cell>
          <cell r="BJ37">
            <v>1</v>
          </cell>
          <cell r="BK37">
            <v>0</v>
          </cell>
          <cell r="BL37">
            <v>1</v>
          </cell>
          <cell r="BM37">
            <v>6</v>
          </cell>
          <cell r="BN37">
            <v>7</v>
          </cell>
          <cell r="BO37">
            <v>0.1429</v>
          </cell>
          <cell r="BP37">
            <v>798</v>
          </cell>
          <cell r="BQ37">
            <v>58822</v>
          </cell>
          <cell r="BY37">
            <v>29147</v>
          </cell>
          <cell r="BZ37">
            <v>43137</v>
          </cell>
          <cell r="CA37">
            <v>30604</v>
          </cell>
          <cell r="CG37">
            <v>29147</v>
          </cell>
          <cell r="CH37">
            <v>43137</v>
          </cell>
          <cell r="CI37">
            <v>30604</v>
          </cell>
          <cell r="DM37">
            <v>23979</v>
          </cell>
          <cell r="DO37">
            <v>22837</v>
          </cell>
          <cell r="DP37">
            <v>33799</v>
          </cell>
          <cell r="DV37">
            <v>419739</v>
          </cell>
          <cell r="DW37">
            <v>7800</v>
          </cell>
          <cell r="DX37">
            <v>427539</v>
          </cell>
          <cell r="DY37">
            <v>9475</v>
          </cell>
          <cell r="DZ37">
            <v>0</v>
          </cell>
          <cell r="EA37">
            <v>9475</v>
          </cell>
          <cell r="EB37">
            <v>4555</v>
          </cell>
          <cell r="EC37">
            <v>0</v>
          </cell>
          <cell r="ED37">
            <v>4555</v>
          </cell>
          <cell r="EE37">
            <v>20569</v>
          </cell>
          <cell r="EF37">
            <v>462138</v>
          </cell>
          <cell r="EG37">
            <v>207228</v>
          </cell>
          <cell r="EH37">
            <v>70363</v>
          </cell>
          <cell r="EI37">
            <v>277591</v>
          </cell>
          <cell r="EJ37">
            <v>44129</v>
          </cell>
          <cell r="EK37">
            <v>9250</v>
          </cell>
          <cell r="EL37">
            <v>7684</v>
          </cell>
          <cell r="EM37">
            <v>61063</v>
          </cell>
          <cell r="EN37">
            <v>87972</v>
          </cell>
          <cell r="EO37">
            <v>426626</v>
          </cell>
          <cell r="EP37">
            <v>35512</v>
          </cell>
          <cell r="EQ37">
            <v>7.6799999999999993E-2</v>
          </cell>
          <cell r="ER37">
            <v>0</v>
          </cell>
          <cell r="ES37">
            <v>0</v>
          </cell>
          <cell r="ET37">
            <v>0</v>
          </cell>
          <cell r="EU37">
            <v>0</v>
          </cell>
          <cell r="EV37">
            <v>0</v>
          </cell>
          <cell r="EW37">
            <v>0</v>
          </cell>
          <cell r="EX37">
            <v>12336</v>
          </cell>
          <cell r="EY37">
            <v>151666</v>
          </cell>
          <cell r="EZ37">
            <v>17851</v>
          </cell>
          <cell r="FA37">
            <v>2523</v>
          </cell>
          <cell r="FB37">
            <v>10395</v>
          </cell>
          <cell r="FC37">
            <v>17089</v>
          </cell>
          <cell r="FD37">
            <v>268</v>
          </cell>
          <cell r="FE37">
            <v>5141</v>
          </cell>
          <cell r="FF37">
            <v>34940</v>
          </cell>
          <cell r="FG37">
            <v>2791</v>
          </cell>
          <cell r="FH37">
            <v>15536</v>
          </cell>
          <cell r="FI37">
            <v>53267</v>
          </cell>
          <cell r="FJ37">
            <v>3973</v>
          </cell>
          <cell r="FK37">
            <v>12</v>
          </cell>
          <cell r="FM37">
            <v>53267</v>
          </cell>
          <cell r="FN37">
            <v>3171</v>
          </cell>
          <cell r="FO37">
            <v>3902</v>
          </cell>
          <cell r="FP37">
            <v>613</v>
          </cell>
          <cell r="FQ37">
            <v>1</v>
          </cell>
          <cell r="FR37">
            <v>88</v>
          </cell>
          <cell r="FS37">
            <v>89</v>
          </cell>
          <cell r="FT37">
            <v>44141</v>
          </cell>
          <cell r="FU37">
            <v>3505</v>
          </cell>
          <cell r="FV37">
            <v>0</v>
          </cell>
          <cell r="FW37">
            <v>0</v>
          </cell>
          <cell r="FX37">
            <v>8544</v>
          </cell>
          <cell r="FY37">
            <v>1573</v>
          </cell>
          <cell r="FZ37">
            <v>322</v>
          </cell>
          <cell r="GA37">
            <v>0</v>
          </cell>
          <cell r="GB37">
            <v>26436</v>
          </cell>
          <cell r="GC37">
            <v>1747</v>
          </cell>
          <cell r="GD37">
            <v>278</v>
          </cell>
          <cell r="GE37">
            <v>0</v>
          </cell>
          <cell r="GJ37">
            <v>82</v>
          </cell>
          <cell r="GK37">
            <v>11</v>
          </cell>
          <cell r="GL37">
            <v>0</v>
          </cell>
          <cell r="GM37">
            <v>0</v>
          </cell>
          <cell r="GN37">
            <v>79203</v>
          </cell>
          <cell r="GO37">
            <v>6836</v>
          </cell>
          <cell r="GP37">
            <v>600</v>
          </cell>
          <cell r="GQ37">
            <v>0</v>
          </cell>
          <cell r="GR37">
            <v>44</v>
          </cell>
          <cell r="GT37">
            <v>30390</v>
          </cell>
          <cell r="GU37">
            <v>4592</v>
          </cell>
          <cell r="GV37">
            <v>15227</v>
          </cell>
          <cell r="GW37">
            <v>7523</v>
          </cell>
          <cell r="GX37">
            <v>254</v>
          </cell>
          <cell r="GY37">
            <v>4003</v>
          </cell>
          <cell r="GZ37">
            <v>37913</v>
          </cell>
          <cell r="HA37">
            <v>4846</v>
          </cell>
          <cell r="HB37">
            <v>19230</v>
          </cell>
          <cell r="HC37">
            <v>61989</v>
          </cell>
          <cell r="HD37">
            <v>364</v>
          </cell>
          <cell r="HE37">
            <v>63661</v>
          </cell>
          <cell r="HF37">
            <v>6829</v>
          </cell>
          <cell r="HG37">
            <v>24291</v>
          </cell>
          <cell r="HH37">
            <v>1308</v>
          </cell>
          <cell r="HI37">
            <v>611</v>
          </cell>
          <cell r="HJ37">
            <v>31731</v>
          </cell>
          <cell r="HK37">
            <v>95392</v>
          </cell>
          <cell r="HL37">
            <v>6</v>
          </cell>
          <cell r="HM37">
            <v>7089</v>
          </cell>
          <cell r="HN37">
            <v>7095</v>
          </cell>
          <cell r="HO37">
            <v>5</v>
          </cell>
          <cell r="HP37">
            <v>822</v>
          </cell>
          <cell r="HQ37">
            <v>827</v>
          </cell>
          <cell r="HR37">
            <v>0</v>
          </cell>
          <cell r="HS37">
            <v>14</v>
          </cell>
          <cell r="HT37">
            <v>14</v>
          </cell>
          <cell r="HU37">
            <v>181</v>
          </cell>
          <cell r="HV37">
            <v>8117</v>
          </cell>
          <cell r="HW37">
            <v>315</v>
          </cell>
          <cell r="HX37">
            <v>253</v>
          </cell>
          <cell r="HY37">
            <v>568</v>
          </cell>
          <cell r="HZ37">
            <v>8685</v>
          </cell>
          <cell r="IA37">
            <v>7656</v>
          </cell>
          <cell r="IB37">
            <v>31961</v>
          </cell>
          <cell r="IC37">
            <v>103509</v>
          </cell>
          <cell r="ID37">
            <v>103509</v>
          </cell>
          <cell r="IE37">
            <v>104077</v>
          </cell>
          <cell r="IF37">
            <v>28492</v>
          </cell>
          <cell r="IG37">
            <v>1239</v>
          </cell>
          <cell r="IJ37">
            <v>1</v>
          </cell>
          <cell r="IK37">
            <v>2.9700000000000001E-2</v>
          </cell>
          <cell r="IL37">
            <v>1E-4</v>
          </cell>
          <cell r="IM37">
            <v>0.57120000000000004</v>
          </cell>
          <cell r="IN37">
            <v>0</v>
          </cell>
          <cell r="IO37">
            <v>0.5222</v>
          </cell>
          <cell r="IP37">
            <v>5.9999999999999995E-4</v>
          </cell>
          <cell r="IQ37">
            <v>0.35120000000000001</v>
          </cell>
          <cell r="IR37">
            <v>6.6000000000000003E-2</v>
          </cell>
          <cell r="IS37">
            <v>0.27529999999999999</v>
          </cell>
          <cell r="IT37">
            <v>12176</v>
          </cell>
          <cell r="IU37">
            <v>3243</v>
          </cell>
          <cell r="IV37">
            <v>15419</v>
          </cell>
          <cell r="IW37">
            <v>1.5995999999999999</v>
          </cell>
          <cell r="IX37">
            <v>95564</v>
          </cell>
          <cell r="IZ37">
            <v>145</v>
          </cell>
          <cell r="JA37">
            <v>22</v>
          </cell>
          <cell r="JB37">
            <v>80</v>
          </cell>
          <cell r="JC37">
            <v>4</v>
          </cell>
          <cell r="JD37">
            <v>0</v>
          </cell>
          <cell r="JE37">
            <v>20</v>
          </cell>
          <cell r="JF37">
            <v>149</v>
          </cell>
          <cell r="JG37">
            <v>22</v>
          </cell>
          <cell r="JH37">
            <v>100</v>
          </cell>
          <cell r="JI37">
            <v>271</v>
          </cell>
          <cell r="JJ37">
            <v>247</v>
          </cell>
          <cell r="JK37">
            <v>24</v>
          </cell>
          <cell r="JL37">
            <v>236</v>
          </cell>
          <cell r="JM37">
            <v>569</v>
          </cell>
          <cell r="JN37">
            <v>1376</v>
          </cell>
          <cell r="JO37">
            <v>533</v>
          </cell>
          <cell r="JP37">
            <v>0</v>
          </cell>
          <cell r="JQ37">
            <v>1485</v>
          </cell>
          <cell r="JR37">
            <v>769</v>
          </cell>
          <cell r="JS37">
            <v>569</v>
          </cell>
          <cell r="JT37">
            <v>2861</v>
          </cell>
          <cell r="JU37">
            <v>4199</v>
          </cell>
          <cell r="JV37">
            <v>2181</v>
          </cell>
          <cell r="JW37">
            <v>2018</v>
          </cell>
          <cell r="JX37">
            <v>15.49</v>
          </cell>
          <cell r="JY37">
            <v>5.16</v>
          </cell>
          <cell r="JZ37">
            <v>28.61</v>
          </cell>
          <cell r="KA37">
            <v>0.18</v>
          </cell>
          <cell r="KB37">
            <v>0.68</v>
          </cell>
          <cell r="KC37">
            <v>24</v>
          </cell>
          <cell r="KD37">
            <v>27</v>
          </cell>
          <cell r="KE37">
            <v>52</v>
          </cell>
          <cell r="KF37">
            <v>23</v>
          </cell>
          <cell r="KG37">
            <v>82</v>
          </cell>
          <cell r="KH37">
            <v>1666</v>
          </cell>
          <cell r="KI37">
            <v>0</v>
          </cell>
          <cell r="KJ37">
            <v>0</v>
          </cell>
          <cell r="KK37">
            <v>21</v>
          </cell>
          <cell r="KL37">
            <v>931</v>
          </cell>
          <cell r="KM37">
            <v>18468</v>
          </cell>
          <cell r="KN37">
            <v>6656</v>
          </cell>
          <cell r="KO37">
            <v>1612</v>
          </cell>
          <cell r="KQ37">
            <v>452</v>
          </cell>
          <cell r="KR37">
            <v>2056</v>
          </cell>
          <cell r="KS37">
            <v>4778</v>
          </cell>
          <cell r="KT37">
            <v>2493</v>
          </cell>
          <cell r="KU37">
            <v>8</v>
          </cell>
          <cell r="KV37">
            <v>27</v>
          </cell>
          <cell r="KW37">
            <v>7667</v>
          </cell>
          <cell r="KZ37">
            <v>9968</v>
          </cell>
          <cell r="LC37" t="str">
            <v>GEORGE H. AND LAURA E. BROWN PUBLIC LIBRARY</v>
          </cell>
          <cell r="LD37" t="str">
            <v>City Owned</v>
          </cell>
          <cell r="LE37" t="str">
            <v>122 VAN NORDEN ST</v>
          </cell>
          <cell r="LF37" t="str">
            <v>WASHINGTON</v>
          </cell>
          <cell r="LG37">
            <v>27889</v>
          </cell>
          <cell r="LH37">
            <v>4847</v>
          </cell>
          <cell r="LI37" t="str">
            <v>122 VAN NORDEN ST</v>
          </cell>
          <cell r="LJ37" t="str">
            <v>WASHINGTON</v>
          </cell>
          <cell r="LK37">
            <v>27889</v>
          </cell>
          <cell r="LL37">
            <v>4847</v>
          </cell>
          <cell r="LM37" t="str">
            <v>BEAUFORT</v>
          </cell>
          <cell r="LN37">
            <v>2529464300</v>
          </cell>
          <cell r="LP37">
            <v>12000</v>
          </cell>
          <cell r="LQ37">
            <v>7</v>
          </cell>
          <cell r="LS37">
            <v>2860</v>
          </cell>
          <cell r="LT37">
            <v>52</v>
          </cell>
          <cell r="LW37">
            <v>2</v>
          </cell>
          <cell r="LX37" t="str">
            <v>M-WASHINGTON-W</v>
          </cell>
          <cell r="LY37">
            <v>0</v>
          </cell>
          <cell r="LZ37" t="str">
            <v>CE</v>
          </cell>
          <cell r="MA37">
            <v>10</v>
          </cell>
          <cell r="MB37">
            <v>100</v>
          </cell>
        </row>
        <row r="38">
          <cell r="A38" t="str">
            <v>NC0034</v>
          </cell>
          <cell r="B38">
            <v>0</v>
          </cell>
          <cell r="C38">
            <v>1375</v>
          </cell>
          <cell r="D38">
            <v>2017</v>
          </cell>
          <cell r="E38">
            <v>0</v>
          </cell>
          <cell r="F38" t="str">
            <v>NC0034</v>
          </cell>
          <cell r="G38" t="str">
            <v>C-GRANVILLE</v>
          </cell>
          <cell r="H38" t="str">
            <v>NO</v>
          </cell>
          <cell r="I38" t="str">
            <v>CO</v>
          </cell>
          <cell r="J38" t="str">
            <v>MO</v>
          </cell>
          <cell r="K38" t="str">
            <v>Y</v>
          </cell>
          <cell r="L38" t="str">
            <v>CO1</v>
          </cell>
          <cell r="M38" t="str">
            <v>N</v>
          </cell>
          <cell r="N38">
            <v>58547</v>
          </cell>
          <cell r="O38" t="str">
            <v>Yes</v>
          </cell>
          <cell r="P38">
            <v>335</v>
          </cell>
          <cell r="Q38">
            <v>90</v>
          </cell>
          <cell r="R38">
            <v>30</v>
          </cell>
          <cell r="S38">
            <v>15</v>
          </cell>
          <cell r="T38">
            <v>1681</v>
          </cell>
          <cell r="U38">
            <v>-1</v>
          </cell>
          <cell r="V38">
            <v>12248</v>
          </cell>
          <cell r="W38">
            <v>1785</v>
          </cell>
          <cell r="X38">
            <v>52053</v>
          </cell>
          <cell r="Z38" t="str">
            <v>PO BOX 339</v>
          </cell>
          <cell r="AA38" t="str">
            <v>OXFORD</v>
          </cell>
          <cell r="AB38">
            <v>27565</v>
          </cell>
          <cell r="AC38">
            <v>339</v>
          </cell>
          <cell r="AD38" t="str">
            <v>210 MAIN ST</v>
          </cell>
          <cell r="AE38" t="str">
            <v>OXFORD</v>
          </cell>
          <cell r="AF38">
            <v>27565</v>
          </cell>
          <cell r="AG38">
            <v>2</v>
          </cell>
          <cell r="AH38" t="str">
            <v>GRANVILLE COUNTY LIBRARY SYSTEM</v>
          </cell>
          <cell r="AJ38" t="str">
            <v>County</v>
          </cell>
          <cell r="AK38" t="str">
            <v>GRANVILLE</v>
          </cell>
          <cell r="AL38" t="str">
            <v>Jonathan Bradsher</v>
          </cell>
          <cell r="AM38" t="str">
            <v>(919) 693-1121</v>
          </cell>
          <cell r="AN38" t="str">
            <v>(919) 693-2244</v>
          </cell>
          <cell r="AO38" t="str">
            <v>Jonathan.bradsher@granvillecounty.org</v>
          </cell>
          <cell r="AP38" t="str">
            <v>Jonathan Bradsher</v>
          </cell>
          <cell r="AQ38" t="str">
            <v>Director</v>
          </cell>
          <cell r="AR38" t="str">
            <v>(919) 693-1121</v>
          </cell>
          <cell r="AS38" t="str">
            <v>(919) 693-2244</v>
          </cell>
          <cell r="AT38" t="str">
            <v>Jonathan.bradsher@granvillecounty.org</v>
          </cell>
          <cell r="AU38" t="str">
            <v>www.granville.lib.nc.us</v>
          </cell>
          <cell r="BC38">
            <v>1</v>
          </cell>
          <cell r="BD38">
            <v>3</v>
          </cell>
          <cell r="BE38">
            <v>0</v>
          </cell>
          <cell r="BF38">
            <v>3</v>
          </cell>
          <cell r="BG38">
            <v>7</v>
          </cell>
          <cell r="BI38">
            <v>7644</v>
          </cell>
          <cell r="BJ38">
            <v>5</v>
          </cell>
          <cell r="BK38">
            <v>0</v>
          </cell>
          <cell r="BL38">
            <v>5</v>
          </cell>
          <cell r="BM38">
            <v>18.5</v>
          </cell>
          <cell r="BN38">
            <v>23.5</v>
          </cell>
          <cell r="BO38">
            <v>0.21279999999999999</v>
          </cell>
          <cell r="BP38">
            <v>3000</v>
          </cell>
          <cell r="BQ38">
            <v>73429</v>
          </cell>
          <cell r="BU38">
            <v>33036</v>
          </cell>
          <cell r="BV38">
            <v>64101</v>
          </cell>
          <cell r="BW38">
            <v>48569</v>
          </cell>
          <cell r="CC38">
            <v>29963</v>
          </cell>
          <cell r="CD38">
            <v>58139</v>
          </cell>
          <cell r="CE38">
            <v>44051</v>
          </cell>
          <cell r="CG38">
            <v>22356</v>
          </cell>
          <cell r="CH38">
            <v>43381</v>
          </cell>
          <cell r="CI38">
            <v>32869</v>
          </cell>
          <cell r="CK38">
            <v>22356</v>
          </cell>
          <cell r="CL38">
            <v>43381</v>
          </cell>
          <cell r="CM38">
            <v>32869</v>
          </cell>
          <cell r="CR38">
            <v>25890</v>
          </cell>
          <cell r="CS38">
            <v>50235</v>
          </cell>
          <cell r="CT38">
            <v>38062</v>
          </cell>
          <cell r="DO38">
            <v>22356</v>
          </cell>
          <cell r="DP38">
            <v>43381</v>
          </cell>
          <cell r="DQ38">
            <v>32869</v>
          </cell>
          <cell r="DV38">
            <v>0</v>
          </cell>
          <cell r="DW38">
            <v>1697908</v>
          </cell>
          <cell r="DX38">
            <v>1697908</v>
          </cell>
          <cell r="DY38">
            <v>108151</v>
          </cell>
          <cell r="DZ38">
            <v>0</v>
          </cell>
          <cell r="EA38">
            <v>108151</v>
          </cell>
          <cell r="EB38">
            <v>18475</v>
          </cell>
          <cell r="EC38">
            <v>0</v>
          </cell>
          <cell r="ED38">
            <v>18475</v>
          </cell>
          <cell r="EE38">
            <v>5471</v>
          </cell>
          <cell r="EF38">
            <v>1830005</v>
          </cell>
          <cell r="EG38">
            <v>547775</v>
          </cell>
          <cell r="EH38">
            <v>160579</v>
          </cell>
          <cell r="EI38">
            <v>708354</v>
          </cell>
          <cell r="EJ38">
            <v>131647</v>
          </cell>
          <cell r="EK38">
            <v>32993</v>
          </cell>
          <cell r="EL38">
            <v>22061</v>
          </cell>
          <cell r="EM38">
            <v>186701</v>
          </cell>
          <cell r="EN38">
            <v>116678</v>
          </cell>
          <cell r="EO38">
            <v>1011733</v>
          </cell>
          <cell r="EP38">
            <v>818272</v>
          </cell>
          <cell r="EQ38">
            <v>0.4471</v>
          </cell>
          <cell r="ER38">
            <v>614764</v>
          </cell>
          <cell r="ES38">
            <v>0</v>
          </cell>
          <cell r="ET38">
            <v>0</v>
          </cell>
          <cell r="EU38">
            <v>0</v>
          </cell>
          <cell r="EV38">
            <v>614764</v>
          </cell>
          <cell r="EW38">
            <v>0</v>
          </cell>
          <cell r="EX38">
            <v>19877</v>
          </cell>
          <cell r="EY38">
            <v>228430</v>
          </cell>
          <cell r="EZ38">
            <v>41928</v>
          </cell>
          <cell r="FA38">
            <v>6719</v>
          </cell>
          <cell r="FB38">
            <v>26289</v>
          </cell>
          <cell r="FC38">
            <v>32259</v>
          </cell>
          <cell r="FD38">
            <v>996</v>
          </cell>
          <cell r="FE38">
            <v>11892</v>
          </cell>
          <cell r="FF38">
            <v>74187</v>
          </cell>
          <cell r="FG38">
            <v>7715</v>
          </cell>
          <cell r="FH38">
            <v>38181</v>
          </cell>
          <cell r="FI38">
            <v>120083</v>
          </cell>
          <cell r="FJ38">
            <v>6877</v>
          </cell>
          <cell r="FK38">
            <v>175</v>
          </cell>
          <cell r="FM38">
            <v>120083</v>
          </cell>
          <cell r="FN38">
            <v>3638</v>
          </cell>
          <cell r="FO38">
            <v>5776</v>
          </cell>
          <cell r="FP38">
            <v>11</v>
          </cell>
          <cell r="FQ38">
            <v>5</v>
          </cell>
          <cell r="FR38">
            <v>88</v>
          </cell>
          <cell r="FS38">
            <v>93</v>
          </cell>
          <cell r="FT38">
            <v>44141</v>
          </cell>
          <cell r="FU38">
            <v>3505</v>
          </cell>
          <cell r="FV38">
            <v>0</v>
          </cell>
          <cell r="FW38">
            <v>0</v>
          </cell>
          <cell r="FX38">
            <v>8544</v>
          </cell>
          <cell r="FY38">
            <v>1573</v>
          </cell>
          <cell r="FZ38">
            <v>322</v>
          </cell>
          <cell r="GA38">
            <v>0</v>
          </cell>
          <cell r="GB38">
            <v>26436</v>
          </cell>
          <cell r="GC38">
            <v>1747</v>
          </cell>
          <cell r="GD38">
            <v>278</v>
          </cell>
          <cell r="GE38">
            <v>0</v>
          </cell>
          <cell r="GJ38">
            <v>10</v>
          </cell>
          <cell r="GK38">
            <v>5201</v>
          </cell>
          <cell r="GL38">
            <v>10</v>
          </cell>
          <cell r="GM38">
            <v>10</v>
          </cell>
          <cell r="GN38">
            <v>79131</v>
          </cell>
          <cell r="GO38">
            <v>12026</v>
          </cell>
          <cell r="GP38">
            <v>610</v>
          </cell>
          <cell r="GQ38">
            <v>10</v>
          </cell>
          <cell r="GR38">
            <v>12</v>
          </cell>
          <cell r="GT38">
            <v>38139</v>
          </cell>
          <cell r="GU38">
            <v>5673</v>
          </cell>
          <cell r="GV38">
            <v>33401</v>
          </cell>
          <cell r="GW38">
            <v>11504</v>
          </cell>
          <cell r="GX38">
            <v>296</v>
          </cell>
          <cell r="GY38">
            <v>5564</v>
          </cell>
          <cell r="GZ38">
            <v>49643</v>
          </cell>
          <cell r="HA38">
            <v>5969</v>
          </cell>
          <cell r="HB38">
            <v>38965</v>
          </cell>
          <cell r="HC38">
            <v>94577</v>
          </cell>
          <cell r="HD38">
            <v>1255</v>
          </cell>
          <cell r="HE38">
            <v>97814</v>
          </cell>
          <cell r="HF38">
            <v>3224</v>
          </cell>
          <cell r="HG38">
            <v>25958</v>
          </cell>
          <cell r="HH38">
            <v>1982</v>
          </cell>
          <cell r="HI38">
            <v>1084</v>
          </cell>
          <cell r="HJ38">
            <v>30266</v>
          </cell>
          <cell r="HK38">
            <v>128080</v>
          </cell>
          <cell r="HL38">
            <v>26</v>
          </cell>
          <cell r="HM38">
            <v>10467</v>
          </cell>
          <cell r="HN38">
            <v>10493</v>
          </cell>
          <cell r="HO38">
            <v>475</v>
          </cell>
          <cell r="HP38">
            <v>1299</v>
          </cell>
          <cell r="HQ38">
            <v>1774</v>
          </cell>
          <cell r="HR38">
            <v>0</v>
          </cell>
          <cell r="HS38">
            <v>25</v>
          </cell>
          <cell r="HT38">
            <v>25</v>
          </cell>
          <cell r="HU38">
            <v>79</v>
          </cell>
          <cell r="HV38">
            <v>12371</v>
          </cell>
          <cell r="HW38">
            <v>21754</v>
          </cell>
          <cell r="HX38">
            <v>0</v>
          </cell>
          <cell r="HY38">
            <v>21754</v>
          </cell>
          <cell r="HZ38">
            <v>34125</v>
          </cell>
          <cell r="IA38">
            <v>4998</v>
          </cell>
          <cell r="IB38">
            <v>30981</v>
          </cell>
          <cell r="IC38">
            <v>140451</v>
          </cell>
          <cell r="ID38">
            <v>140451</v>
          </cell>
          <cell r="IE38">
            <v>162205</v>
          </cell>
          <cell r="IF38">
            <v>51555</v>
          </cell>
          <cell r="IG38">
            <v>-1</v>
          </cell>
          <cell r="IK38">
            <v>2.8000000000000001E-2</v>
          </cell>
          <cell r="IL38">
            <v>8.0000000000000004E-4</v>
          </cell>
          <cell r="IM38">
            <v>0.40179999999999999</v>
          </cell>
          <cell r="IN38">
            <v>0</v>
          </cell>
          <cell r="IO38">
            <v>0.34639999999999999</v>
          </cell>
          <cell r="IP38">
            <v>4.0000000000000002E-4</v>
          </cell>
          <cell r="IQ38">
            <v>0.52569999999999995</v>
          </cell>
          <cell r="IR38">
            <v>6.8599999999999994E-2</v>
          </cell>
          <cell r="IS38">
            <v>0.36709999999999998</v>
          </cell>
          <cell r="IT38">
            <v>35548</v>
          </cell>
          <cell r="IU38">
            <v>5327</v>
          </cell>
          <cell r="IV38">
            <v>40875</v>
          </cell>
          <cell r="IW38">
            <v>0.69820000000000004</v>
          </cell>
          <cell r="IX38">
            <v>191721</v>
          </cell>
          <cell r="IZ38">
            <v>197</v>
          </cell>
          <cell r="JA38">
            <v>40</v>
          </cell>
          <cell r="JB38">
            <v>218</v>
          </cell>
          <cell r="JC38">
            <v>9</v>
          </cell>
          <cell r="JD38">
            <v>2</v>
          </cell>
          <cell r="JE38">
            <v>3</v>
          </cell>
          <cell r="JF38">
            <v>206</v>
          </cell>
          <cell r="JG38">
            <v>42</v>
          </cell>
          <cell r="JH38">
            <v>221</v>
          </cell>
          <cell r="JI38">
            <v>469</v>
          </cell>
          <cell r="JJ38">
            <v>455</v>
          </cell>
          <cell r="JK38">
            <v>14</v>
          </cell>
          <cell r="JL38">
            <v>1786</v>
          </cell>
          <cell r="JM38">
            <v>738</v>
          </cell>
          <cell r="JN38">
            <v>4334</v>
          </cell>
          <cell r="JO38">
            <v>53</v>
          </cell>
          <cell r="JP38">
            <v>92</v>
          </cell>
          <cell r="JQ38">
            <v>0</v>
          </cell>
          <cell r="JR38">
            <v>1839</v>
          </cell>
          <cell r="JS38">
            <v>830</v>
          </cell>
          <cell r="JT38">
            <v>4334</v>
          </cell>
          <cell r="JU38">
            <v>7003</v>
          </cell>
          <cell r="JV38">
            <v>6858</v>
          </cell>
          <cell r="JW38">
            <v>145</v>
          </cell>
          <cell r="JX38">
            <v>14.93</v>
          </cell>
          <cell r="JY38">
            <v>8.93</v>
          </cell>
          <cell r="JZ38">
            <v>19.61</v>
          </cell>
          <cell r="KA38">
            <v>0.26</v>
          </cell>
          <cell r="KB38">
            <v>0.62</v>
          </cell>
          <cell r="KC38">
            <v>230</v>
          </cell>
          <cell r="KD38">
            <v>9000</v>
          </cell>
          <cell r="KE38">
            <v>40</v>
          </cell>
          <cell r="KF38">
            <v>128</v>
          </cell>
          <cell r="KG38">
            <v>0</v>
          </cell>
          <cell r="KH38">
            <v>0</v>
          </cell>
          <cell r="KI38">
            <v>0</v>
          </cell>
          <cell r="KJ38">
            <v>0</v>
          </cell>
          <cell r="KK38">
            <v>5</v>
          </cell>
          <cell r="KL38">
            <v>37</v>
          </cell>
          <cell r="KM38">
            <v>34119</v>
          </cell>
          <cell r="KN38">
            <v>9868</v>
          </cell>
          <cell r="KO38">
            <v>1331</v>
          </cell>
          <cell r="KQ38">
            <v>350</v>
          </cell>
          <cell r="KR38">
            <v>7500</v>
          </cell>
          <cell r="KS38">
            <v>506</v>
          </cell>
          <cell r="KT38">
            <v>71</v>
          </cell>
          <cell r="KU38">
            <v>22</v>
          </cell>
          <cell r="KV38">
            <v>46</v>
          </cell>
          <cell r="KW38">
            <v>56883</v>
          </cell>
          <cell r="KY38">
            <v>0</v>
          </cell>
          <cell r="KZ38">
            <v>0</v>
          </cell>
          <cell r="LC38" t="str">
            <v>RICHARD H. THORNTON LIBRARY</v>
          </cell>
          <cell r="LD38" t="str">
            <v>County Owned</v>
          </cell>
          <cell r="LE38" t="str">
            <v>PO BOX 339</v>
          </cell>
          <cell r="LF38" t="str">
            <v>OXFORD</v>
          </cell>
          <cell r="LG38">
            <v>27565</v>
          </cell>
          <cell r="LH38">
            <v>339</v>
          </cell>
          <cell r="LI38" t="str">
            <v>210 MAIN ST</v>
          </cell>
          <cell r="LJ38" t="str">
            <v>OXFORD</v>
          </cell>
          <cell r="LK38">
            <v>27565</v>
          </cell>
          <cell r="LL38">
            <v>339</v>
          </cell>
          <cell r="LM38" t="str">
            <v>GRANVILLE</v>
          </cell>
          <cell r="LN38">
            <v>9196931121</v>
          </cell>
          <cell r="LO38">
            <v>9196932244</v>
          </cell>
          <cell r="LP38">
            <v>31653</v>
          </cell>
          <cell r="LQ38">
            <v>18</v>
          </cell>
          <cell r="LS38">
            <v>7644</v>
          </cell>
          <cell r="LT38">
            <v>52</v>
          </cell>
          <cell r="LW38">
            <v>2</v>
          </cell>
          <cell r="LX38" t="str">
            <v>C-GRANVILLE-T</v>
          </cell>
          <cell r="LY38">
            <v>0</v>
          </cell>
          <cell r="LZ38" t="str">
            <v>CE</v>
          </cell>
          <cell r="MA38">
            <v>1.4</v>
          </cell>
          <cell r="MB38">
            <v>1.6</v>
          </cell>
        </row>
        <row r="39">
          <cell r="A39" t="str">
            <v>NC0035</v>
          </cell>
          <cell r="B39">
            <v>0</v>
          </cell>
          <cell r="C39">
            <v>1375</v>
          </cell>
          <cell r="D39">
            <v>2017</v>
          </cell>
          <cell r="E39">
            <v>0</v>
          </cell>
          <cell r="F39" t="str">
            <v>NC0035</v>
          </cell>
          <cell r="G39" t="str">
            <v>C-GUILFORD</v>
          </cell>
          <cell r="H39" t="str">
            <v>NO</v>
          </cell>
          <cell r="I39" t="str">
            <v>CI</v>
          </cell>
          <cell r="J39" t="str">
            <v>MO</v>
          </cell>
          <cell r="K39" t="str">
            <v>Y</v>
          </cell>
          <cell r="L39" t="str">
            <v>CO2</v>
          </cell>
          <cell r="M39" t="str">
            <v>N</v>
          </cell>
          <cell r="N39">
            <v>517124</v>
          </cell>
          <cell r="O39" t="str">
            <v>Yes</v>
          </cell>
          <cell r="P39">
            <v>4509</v>
          </cell>
          <cell r="Q39">
            <v>1016</v>
          </cell>
          <cell r="R39">
            <v>512</v>
          </cell>
          <cell r="S39">
            <v>120</v>
          </cell>
          <cell r="T39">
            <v>19602</v>
          </cell>
          <cell r="U39">
            <v>1345</v>
          </cell>
          <cell r="V39">
            <v>180395</v>
          </cell>
          <cell r="W39">
            <v>21000</v>
          </cell>
          <cell r="Z39" t="str">
            <v>PO BOX 3178</v>
          </cell>
          <cell r="AA39" t="str">
            <v>GREENSBORO</v>
          </cell>
          <cell r="AB39">
            <v>27402</v>
          </cell>
          <cell r="AC39">
            <v>3178</v>
          </cell>
          <cell r="AD39" t="str">
            <v>219 N CHURCH ST</v>
          </cell>
          <cell r="AE39" t="str">
            <v>GREENSBORO</v>
          </cell>
          <cell r="AF39">
            <v>27401</v>
          </cell>
          <cell r="AG39">
            <v>2</v>
          </cell>
          <cell r="AH39" t="str">
            <v>GREENSBORO PUBLIC LIBRARY</v>
          </cell>
          <cell r="AJ39" t="str">
            <v>County</v>
          </cell>
          <cell r="AK39" t="str">
            <v>GUILFORD</v>
          </cell>
          <cell r="AL39" t="str">
            <v>Brigitte H. Blanton</v>
          </cell>
          <cell r="AM39" t="str">
            <v>(336) 373-2716</v>
          </cell>
          <cell r="AN39" t="str">
            <v>(336) 333-6781</v>
          </cell>
          <cell r="AO39" t="str">
            <v>brigitte.blanton@greensboro-nc.gov</v>
          </cell>
          <cell r="AP39" t="str">
            <v>Dena Keesee</v>
          </cell>
          <cell r="AQ39" t="str">
            <v>Spec Administrative Support</v>
          </cell>
          <cell r="AR39" t="str">
            <v>(336) 373-2698</v>
          </cell>
          <cell r="AS39" t="str">
            <v>(336) 333-6781</v>
          </cell>
          <cell r="AT39" t="str">
            <v>dena.keesee@greensboro-nc.gov</v>
          </cell>
          <cell r="AU39" t="str">
            <v>www.greensborolibrary.org</v>
          </cell>
          <cell r="BC39">
            <v>1</v>
          </cell>
          <cell r="BD39">
            <v>7</v>
          </cell>
          <cell r="BE39">
            <v>0</v>
          </cell>
          <cell r="BF39">
            <v>0</v>
          </cell>
          <cell r="BG39">
            <v>8</v>
          </cell>
          <cell r="BI39">
            <v>27652</v>
          </cell>
          <cell r="BJ39">
            <v>26</v>
          </cell>
          <cell r="BK39">
            <v>9</v>
          </cell>
          <cell r="BL39">
            <v>35</v>
          </cell>
          <cell r="BM39">
            <v>60</v>
          </cell>
          <cell r="BN39">
            <v>95</v>
          </cell>
          <cell r="BO39">
            <v>0.2737</v>
          </cell>
          <cell r="BP39">
            <v>16888</v>
          </cell>
          <cell r="BQ39">
            <v>120467</v>
          </cell>
          <cell r="BT39">
            <v>88000</v>
          </cell>
          <cell r="BU39">
            <v>46161</v>
          </cell>
          <cell r="BV39">
            <v>59122</v>
          </cell>
          <cell r="BW39">
            <v>54621</v>
          </cell>
          <cell r="CA39">
            <v>63096</v>
          </cell>
          <cell r="CE39">
            <v>63788</v>
          </cell>
          <cell r="CI39">
            <v>63788</v>
          </cell>
          <cell r="CM39">
            <v>46161</v>
          </cell>
          <cell r="CQ39">
            <v>60364</v>
          </cell>
          <cell r="CR39">
            <v>39009</v>
          </cell>
          <cell r="CS39">
            <v>52189</v>
          </cell>
          <cell r="CT39">
            <v>45191</v>
          </cell>
          <cell r="CV39">
            <v>37000</v>
          </cell>
          <cell r="CW39">
            <v>58366</v>
          </cell>
          <cell r="CX39">
            <v>47168</v>
          </cell>
          <cell r="DB39">
            <v>48383</v>
          </cell>
          <cell r="DQ39">
            <v>36065</v>
          </cell>
          <cell r="DS39">
            <v>38436</v>
          </cell>
          <cell r="DT39">
            <v>55051</v>
          </cell>
          <cell r="DU39">
            <v>44470</v>
          </cell>
          <cell r="DV39">
            <v>7147636</v>
          </cell>
          <cell r="DW39">
            <v>1356847</v>
          </cell>
          <cell r="DX39">
            <v>8504483</v>
          </cell>
          <cell r="DY39">
            <v>379326</v>
          </cell>
          <cell r="DZ39">
            <v>0</v>
          </cell>
          <cell r="EA39">
            <v>379326</v>
          </cell>
          <cell r="EB39">
            <v>0</v>
          </cell>
          <cell r="EC39">
            <v>0</v>
          </cell>
          <cell r="ED39">
            <v>0</v>
          </cell>
          <cell r="EE39">
            <v>198100</v>
          </cell>
          <cell r="EF39">
            <v>9081909</v>
          </cell>
          <cell r="EG39">
            <v>4124737</v>
          </cell>
          <cell r="EH39">
            <v>1549652</v>
          </cell>
          <cell r="EI39">
            <v>5674389</v>
          </cell>
          <cell r="EJ39">
            <v>472487</v>
          </cell>
          <cell r="EK39">
            <v>174804</v>
          </cell>
          <cell r="EL39">
            <v>364457</v>
          </cell>
          <cell r="EM39">
            <v>1011748</v>
          </cell>
          <cell r="EN39">
            <v>1597345</v>
          </cell>
          <cell r="EO39">
            <v>8283482</v>
          </cell>
          <cell r="EP39">
            <v>798427</v>
          </cell>
          <cell r="EQ39">
            <v>8.7900000000000006E-2</v>
          </cell>
          <cell r="ER39">
            <v>0</v>
          </cell>
          <cell r="ES39">
            <v>0</v>
          </cell>
          <cell r="ET39">
            <v>0</v>
          </cell>
          <cell r="EU39">
            <v>0</v>
          </cell>
          <cell r="EV39">
            <v>0</v>
          </cell>
          <cell r="EW39">
            <v>0</v>
          </cell>
          <cell r="EX39">
            <v>111461</v>
          </cell>
          <cell r="EY39">
            <v>778156</v>
          </cell>
          <cell r="EZ39">
            <v>124030</v>
          </cell>
          <cell r="FA39">
            <v>28845</v>
          </cell>
          <cell r="FB39">
            <v>132408</v>
          </cell>
          <cell r="FC39">
            <v>162011</v>
          </cell>
          <cell r="FD39">
            <v>2683</v>
          </cell>
          <cell r="FE39">
            <v>73835</v>
          </cell>
          <cell r="FF39">
            <v>286041</v>
          </cell>
          <cell r="FG39">
            <v>31528</v>
          </cell>
          <cell r="FH39">
            <v>206243</v>
          </cell>
          <cell r="FI39">
            <v>523812</v>
          </cell>
          <cell r="FJ39">
            <v>1167</v>
          </cell>
          <cell r="FK39">
            <v>704</v>
          </cell>
          <cell r="FM39">
            <v>523812</v>
          </cell>
          <cell r="FN39">
            <v>23126</v>
          </cell>
          <cell r="FO39">
            <v>60950</v>
          </cell>
          <cell r="FP39">
            <v>10491</v>
          </cell>
          <cell r="FQ39">
            <v>14</v>
          </cell>
          <cell r="FR39">
            <v>88</v>
          </cell>
          <cell r="FS39">
            <v>102</v>
          </cell>
          <cell r="FT39">
            <v>44141</v>
          </cell>
          <cell r="FU39">
            <v>3505</v>
          </cell>
          <cell r="FV39">
            <v>0</v>
          </cell>
          <cell r="FW39">
            <v>0</v>
          </cell>
          <cell r="FX39">
            <v>8544</v>
          </cell>
          <cell r="FY39">
            <v>1573</v>
          </cell>
          <cell r="FZ39">
            <v>322</v>
          </cell>
          <cell r="GA39">
            <v>0</v>
          </cell>
          <cell r="GF39">
            <v>36593</v>
          </cell>
          <cell r="GG39">
            <v>13194</v>
          </cell>
          <cell r="GH39">
            <v>264</v>
          </cell>
          <cell r="GI39">
            <v>12</v>
          </cell>
          <cell r="GJ39">
            <v>39234</v>
          </cell>
          <cell r="GK39">
            <v>10215</v>
          </cell>
          <cell r="GL39">
            <v>207</v>
          </cell>
          <cell r="GM39">
            <v>0</v>
          </cell>
          <cell r="GN39">
            <v>128512</v>
          </cell>
          <cell r="GO39">
            <v>28487</v>
          </cell>
          <cell r="GP39">
            <v>793</v>
          </cell>
          <cell r="GQ39">
            <v>12</v>
          </cell>
          <cell r="GR39">
            <v>154</v>
          </cell>
          <cell r="GT39">
            <v>247073</v>
          </cell>
          <cell r="GU39">
            <v>63877</v>
          </cell>
          <cell r="GV39">
            <v>513016</v>
          </cell>
          <cell r="GW39">
            <v>100886</v>
          </cell>
          <cell r="GX39">
            <v>1851</v>
          </cell>
          <cell r="GY39">
            <v>116161</v>
          </cell>
          <cell r="GZ39">
            <v>347959</v>
          </cell>
          <cell r="HA39">
            <v>65728</v>
          </cell>
          <cell r="HB39">
            <v>629177</v>
          </cell>
          <cell r="HC39">
            <v>1042864</v>
          </cell>
          <cell r="HD39">
            <v>0</v>
          </cell>
          <cell r="HE39">
            <v>1043317</v>
          </cell>
          <cell r="HF39">
            <v>48497</v>
          </cell>
          <cell r="HG39">
            <v>279046</v>
          </cell>
          <cell r="HH39">
            <v>453</v>
          </cell>
          <cell r="HI39">
            <v>2888</v>
          </cell>
          <cell r="HJ39">
            <v>330431</v>
          </cell>
          <cell r="HK39">
            <v>1373748</v>
          </cell>
          <cell r="HL39">
            <v>173</v>
          </cell>
          <cell r="HM39">
            <v>217352</v>
          </cell>
          <cell r="HN39">
            <v>217525</v>
          </cell>
          <cell r="HO39">
            <v>36</v>
          </cell>
          <cell r="HP39">
            <v>116401</v>
          </cell>
          <cell r="HQ39">
            <v>116437</v>
          </cell>
          <cell r="HR39">
            <v>0</v>
          </cell>
          <cell r="HS39">
            <v>1072</v>
          </cell>
          <cell r="HT39">
            <v>1072</v>
          </cell>
          <cell r="HU39">
            <v>6866</v>
          </cell>
          <cell r="HV39">
            <v>341900</v>
          </cell>
          <cell r="HW39">
            <v>312292</v>
          </cell>
          <cell r="HX39">
            <v>44045</v>
          </cell>
          <cell r="HY39">
            <v>356337</v>
          </cell>
          <cell r="HZ39">
            <v>698237</v>
          </cell>
          <cell r="IA39">
            <v>164934</v>
          </cell>
          <cell r="IB39">
            <v>445052</v>
          </cell>
          <cell r="IC39">
            <v>1715648</v>
          </cell>
          <cell r="ID39">
            <v>1715648</v>
          </cell>
          <cell r="IE39">
            <v>2071985</v>
          </cell>
          <cell r="IF39">
            <v>694905</v>
          </cell>
          <cell r="IG39">
            <v>3248</v>
          </cell>
          <cell r="IJ39">
            <v>1</v>
          </cell>
          <cell r="IK39">
            <v>7.9299999999999995E-2</v>
          </cell>
          <cell r="IL39">
            <v>8.9999999999999998E-4</v>
          </cell>
          <cell r="IM39">
            <v>0.20280000000000001</v>
          </cell>
          <cell r="IN39">
            <v>0</v>
          </cell>
          <cell r="IO39">
            <v>0.1651</v>
          </cell>
          <cell r="IP39">
            <v>1E-4</v>
          </cell>
          <cell r="IQ39">
            <v>0.67310000000000003</v>
          </cell>
          <cell r="IR39">
            <v>6.6299999999999998E-2</v>
          </cell>
          <cell r="IS39">
            <v>0.40500000000000003</v>
          </cell>
          <cell r="IT39">
            <v>215117</v>
          </cell>
          <cell r="IU39">
            <v>63515</v>
          </cell>
          <cell r="IV39">
            <v>278632</v>
          </cell>
          <cell r="IW39">
            <v>0.53879999999999995</v>
          </cell>
          <cell r="IX39">
            <v>2692069</v>
          </cell>
          <cell r="IZ39">
            <v>1572</v>
          </cell>
          <cell r="JA39">
            <v>335</v>
          </cell>
          <cell r="JB39">
            <v>2066</v>
          </cell>
          <cell r="JC39">
            <v>105</v>
          </cell>
          <cell r="JD39">
            <v>1</v>
          </cell>
          <cell r="JE39">
            <v>468</v>
          </cell>
          <cell r="JF39">
            <v>1677</v>
          </cell>
          <cell r="JG39">
            <v>336</v>
          </cell>
          <cell r="JH39">
            <v>2534</v>
          </cell>
          <cell r="JI39">
            <v>4547</v>
          </cell>
          <cell r="JJ39">
            <v>3973</v>
          </cell>
          <cell r="JK39">
            <v>574</v>
          </cell>
          <cell r="JL39">
            <v>9039</v>
          </cell>
          <cell r="JM39">
            <v>3190</v>
          </cell>
          <cell r="JN39">
            <v>57959</v>
          </cell>
          <cell r="JO39">
            <v>2426</v>
          </cell>
          <cell r="JP39">
            <v>7</v>
          </cell>
          <cell r="JQ39">
            <v>18290</v>
          </cell>
          <cell r="JR39">
            <v>11465</v>
          </cell>
          <cell r="JS39">
            <v>3197</v>
          </cell>
          <cell r="JT39">
            <v>76249</v>
          </cell>
          <cell r="JU39">
            <v>90911</v>
          </cell>
          <cell r="JV39">
            <v>70188</v>
          </cell>
          <cell r="JW39">
            <v>20723</v>
          </cell>
          <cell r="JX39">
            <v>19.989999999999998</v>
          </cell>
          <cell r="JY39">
            <v>6.84</v>
          </cell>
          <cell r="JZ39">
            <v>30.09</v>
          </cell>
          <cell r="KA39">
            <v>0.13</v>
          </cell>
          <cell r="KB39">
            <v>0.84</v>
          </cell>
          <cell r="KC39">
            <v>92</v>
          </cell>
          <cell r="KD39">
            <v>1040</v>
          </cell>
          <cell r="KE39">
            <v>181</v>
          </cell>
          <cell r="KF39">
            <v>700</v>
          </cell>
          <cell r="KG39">
            <v>1317</v>
          </cell>
          <cell r="KH39">
            <v>34772</v>
          </cell>
          <cell r="KI39">
            <v>265</v>
          </cell>
          <cell r="KJ39">
            <v>710</v>
          </cell>
          <cell r="KK39">
            <v>353</v>
          </cell>
          <cell r="KL39">
            <v>13328</v>
          </cell>
          <cell r="KM39">
            <v>320853</v>
          </cell>
          <cell r="KN39">
            <v>120965</v>
          </cell>
          <cell r="KO39">
            <v>346</v>
          </cell>
          <cell r="KQ39">
            <v>5789</v>
          </cell>
          <cell r="KR39">
            <v>33874</v>
          </cell>
          <cell r="KS39">
            <v>716</v>
          </cell>
          <cell r="KT39">
            <v>453</v>
          </cell>
          <cell r="KU39">
            <v>124</v>
          </cell>
          <cell r="KV39">
            <v>256</v>
          </cell>
          <cell r="KW39">
            <v>351983</v>
          </cell>
          <cell r="KY39">
            <v>1097326</v>
          </cell>
          <cell r="KZ39">
            <v>0</v>
          </cell>
          <cell r="LC39" t="str">
            <v>GREENSBORO PUBLIC LIBRARY</v>
          </cell>
          <cell r="LD39" t="str">
            <v>City Owned</v>
          </cell>
          <cell r="LE39" t="str">
            <v>PO BOX 3178</v>
          </cell>
          <cell r="LF39" t="str">
            <v>GREENSBORO</v>
          </cell>
          <cell r="LG39">
            <v>27402</v>
          </cell>
          <cell r="LH39">
            <v>3178</v>
          </cell>
          <cell r="LI39" t="str">
            <v>219 N CHURCH ST</v>
          </cell>
          <cell r="LJ39" t="str">
            <v>GREENSBORO</v>
          </cell>
          <cell r="LK39">
            <v>27401</v>
          </cell>
          <cell r="LL39">
            <v>2941</v>
          </cell>
          <cell r="LM39" t="str">
            <v>GUILFORD</v>
          </cell>
          <cell r="LN39">
            <v>3363732474</v>
          </cell>
          <cell r="LO39">
            <v>3363336781</v>
          </cell>
          <cell r="LP39">
            <v>177988</v>
          </cell>
          <cell r="LQ39">
            <v>95.01</v>
          </cell>
          <cell r="LS39">
            <v>27652</v>
          </cell>
          <cell r="LT39">
            <v>416</v>
          </cell>
          <cell r="LW39">
            <v>12</v>
          </cell>
          <cell r="LX39" t="str">
            <v>C-GUILFORD-CE</v>
          </cell>
          <cell r="LY39">
            <v>0</v>
          </cell>
          <cell r="LZ39" t="str">
            <v>CE</v>
          </cell>
          <cell r="MA39">
            <v>50.17</v>
          </cell>
          <cell r="MB39">
            <v>94.93</v>
          </cell>
        </row>
        <row r="40">
          <cell r="A40" t="str">
            <v>NC0036</v>
          </cell>
          <cell r="B40">
            <v>0</v>
          </cell>
          <cell r="C40">
            <v>1375</v>
          </cell>
          <cell r="D40">
            <v>2017</v>
          </cell>
          <cell r="E40">
            <v>0</v>
          </cell>
          <cell r="F40" t="str">
            <v>NC0036</v>
          </cell>
          <cell r="G40" t="str">
            <v>C-HALIFAX</v>
          </cell>
          <cell r="H40" t="str">
            <v>NO</v>
          </cell>
          <cell r="I40" t="str">
            <v>CO</v>
          </cell>
          <cell r="J40" t="str">
            <v>MO</v>
          </cell>
          <cell r="K40" t="str">
            <v>Y</v>
          </cell>
          <cell r="L40" t="str">
            <v>CO2</v>
          </cell>
          <cell r="M40" t="str">
            <v>N</v>
          </cell>
          <cell r="N40">
            <v>37237</v>
          </cell>
          <cell r="O40" t="str">
            <v>Yes</v>
          </cell>
          <cell r="P40">
            <v>434</v>
          </cell>
          <cell r="Q40">
            <v>48</v>
          </cell>
          <cell r="R40">
            <v>26</v>
          </cell>
          <cell r="S40">
            <v>6</v>
          </cell>
          <cell r="T40">
            <v>462</v>
          </cell>
          <cell r="U40">
            <v>110</v>
          </cell>
          <cell r="V40">
            <v>3695</v>
          </cell>
          <cell r="W40">
            <v>56</v>
          </cell>
          <cell r="X40">
            <v>38364</v>
          </cell>
          <cell r="Y40">
            <v>14925</v>
          </cell>
          <cell r="Z40" t="str">
            <v>PO BOX 97</v>
          </cell>
          <cell r="AA40" t="str">
            <v>HALIFAX</v>
          </cell>
          <cell r="AB40">
            <v>27839</v>
          </cell>
          <cell r="AC40">
            <v>97</v>
          </cell>
          <cell r="AD40" t="str">
            <v>33 GRANVILLE ST</v>
          </cell>
          <cell r="AE40" t="str">
            <v>HALIFAX</v>
          </cell>
          <cell r="AF40">
            <v>27839</v>
          </cell>
          <cell r="AG40">
            <v>1</v>
          </cell>
          <cell r="AH40" t="str">
            <v>HALIFAX COUNTY LIBRARY SYSTEM</v>
          </cell>
          <cell r="AJ40" t="str">
            <v>County</v>
          </cell>
          <cell r="AK40" t="str">
            <v>HALIFAX</v>
          </cell>
          <cell r="AL40" t="str">
            <v>Virginia Orvedahl</v>
          </cell>
          <cell r="AM40" t="str">
            <v>(252) 583-3631</v>
          </cell>
          <cell r="AN40" t="str">
            <v>(252) 583-8661</v>
          </cell>
          <cell r="AO40" t="str">
            <v>orvedahlg@halifaxnc.com</v>
          </cell>
          <cell r="AP40" t="str">
            <v>Ginny Orvedahl</v>
          </cell>
          <cell r="AQ40" t="str">
            <v>Director</v>
          </cell>
          <cell r="AR40" t="str">
            <v>(252) 583-3631</v>
          </cell>
          <cell r="AS40" t="str">
            <v>(252) 583-8661</v>
          </cell>
          <cell r="AT40" t="str">
            <v>orvedahlg@halifaxnc.com</v>
          </cell>
          <cell r="AU40" t="str">
            <v>www.halifaxnc.libguides.com/hcl</v>
          </cell>
          <cell r="BC40">
            <v>1</v>
          </cell>
          <cell r="BD40">
            <v>4</v>
          </cell>
          <cell r="BE40">
            <v>0</v>
          </cell>
          <cell r="BF40">
            <v>1</v>
          </cell>
          <cell r="BG40">
            <v>6</v>
          </cell>
          <cell r="BI40">
            <v>12428</v>
          </cell>
          <cell r="BJ40">
            <v>1</v>
          </cell>
          <cell r="BK40">
            <v>0</v>
          </cell>
          <cell r="BL40">
            <v>1</v>
          </cell>
          <cell r="BM40">
            <v>9</v>
          </cell>
          <cell r="BN40">
            <v>10</v>
          </cell>
          <cell r="BO40">
            <v>0.1</v>
          </cell>
          <cell r="BP40">
            <v>1100</v>
          </cell>
          <cell r="BQ40">
            <v>70149</v>
          </cell>
          <cell r="BT40">
            <v>0</v>
          </cell>
          <cell r="BU40">
            <v>28326</v>
          </cell>
          <cell r="BV40">
            <v>37693</v>
          </cell>
          <cell r="BW40">
            <v>31577</v>
          </cell>
          <cell r="CR40">
            <v>25330</v>
          </cell>
          <cell r="CS40">
            <v>40610</v>
          </cell>
          <cell r="CT40">
            <v>25330</v>
          </cell>
          <cell r="DK40">
            <v>25017</v>
          </cell>
          <cell r="DL40">
            <v>40610</v>
          </cell>
          <cell r="DM40">
            <v>25017</v>
          </cell>
          <cell r="DV40">
            <v>0</v>
          </cell>
          <cell r="DW40">
            <v>503169</v>
          </cell>
          <cell r="DX40">
            <v>503169</v>
          </cell>
          <cell r="DY40">
            <v>97983</v>
          </cell>
          <cell r="DZ40">
            <v>0</v>
          </cell>
          <cell r="EA40">
            <v>97983</v>
          </cell>
          <cell r="EB40">
            <v>3515</v>
          </cell>
          <cell r="EC40">
            <v>0</v>
          </cell>
          <cell r="ED40">
            <v>3515</v>
          </cell>
          <cell r="EE40">
            <v>14978</v>
          </cell>
          <cell r="EF40">
            <v>619645</v>
          </cell>
          <cell r="EG40">
            <v>354056</v>
          </cell>
          <cell r="EH40">
            <v>133282</v>
          </cell>
          <cell r="EI40">
            <v>487338</v>
          </cell>
          <cell r="EJ40">
            <v>9960</v>
          </cell>
          <cell r="EK40">
            <v>4000</v>
          </cell>
          <cell r="EL40">
            <v>0</v>
          </cell>
          <cell r="EM40">
            <v>13960</v>
          </cell>
          <cell r="EN40">
            <v>52893</v>
          </cell>
          <cell r="EO40">
            <v>554191</v>
          </cell>
          <cell r="EP40">
            <v>65454</v>
          </cell>
          <cell r="EQ40">
            <v>0.1056</v>
          </cell>
          <cell r="ER40">
            <v>15632</v>
          </cell>
          <cell r="ES40">
            <v>0</v>
          </cell>
          <cell r="ET40">
            <v>0</v>
          </cell>
          <cell r="EU40">
            <v>0</v>
          </cell>
          <cell r="EV40">
            <v>15632</v>
          </cell>
          <cell r="EW40">
            <v>13420</v>
          </cell>
          <cell r="EX40">
            <v>4693</v>
          </cell>
          <cell r="EY40">
            <v>158469</v>
          </cell>
          <cell r="EZ40">
            <v>43304</v>
          </cell>
          <cell r="FA40">
            <v>416</v>
          </cell>
          <cell r="FB40">
            <v>15245</v>
          </cell>
          <cell r="FC40">
            <v>24811</v>
          </cell>
          <cell r="FD40">
            <v>278</v>
          </cell>
          <cell r="FE40">
            <v>11151</v>
          </cell>
          <cell r="FF40">
            <v>68115</v>
          </cell>
          <cell r="FG40">
            <v>694</v>
          </cell>
          <cell r="FH40">
            <v>26396</v>
          </cell>
          <cell r="FI40">
            <v>95205</v>
          </cell>
          <cell r="FJ40">
            <v>2700</v>
          </cell>
          <cell r="FK40">
            <v>14</v>
          </cell>
          <cell r="FM40">
            <v>95205</v>
          </cell>
          <cell r="FN40">
            <v>1117</v>
          </cell>
          <cell r="FO40">
            <v>71</v>
          </cell>
          <cell r="FP40">
            <v>1188</v>
          </cell>
          <cell r="FQ40">
            <v>1</v>
          </cell>
          <cell r="FR40">
            <v>88</v>
          </cell>
          <cell r="FS40">
            <v>89</v>
          </cell>
          <cell r="FT40">
            <v>44141</v>
          </cell>
          <cell r="FU40">
            <v>3505</v>
          </cell>
          <cell r="FV40">
            <v>0</v>
          </cell>
          <cell r="FW40">
            <v>0</v>
          </cell>
          <cell r="FX40">
            <v>8544</v>
          </cell>
          <cell r="FY40">
            <v>1573</v>
          </cell>
          <cell r="FZ40">
            <v>322</v>
          </cell>
          <cell r="GA40">
            <v>0</v>
          </cell>
          <cell r="GE40">
            <v>0</v>
          </cell>
          <cell r="GJ40">
            <v>0</v>
          </cell>
          <cell r="GK40">
            <v>0</v>
          </cell>
          <cell r="GL40">
            <v>0</v>
          </cell>
          <cell r="GM40">
            <v>0</v>
          </cell>
          <cell r="GN40">
            <v>52685</v>
          </cell>
          <cell r="GO40">
            <v>5078</v>
          </cell>
          <cell r="GP40">
            <v>322</v>
          </cell>
          <cell r="GQ40">
            <v>0</v>
          </cell>
          <cell r="GR40">
            <v>110</v>
          </cell>
          <cell r="GT40">
            <v>71645</v>
          </cell>
          <cell r="GU40">
            <v>1114</v>
          </cell>
          <cell r="GV40">
            <v>11139</v>
          </cell>
          <cell r="GW40">
            <v>5413</v>
          </cell>
          <cell r="GX40">
            <v>134</v>
          </cell>
          <cell r="GY40">
            <v>1923</v>
          </cell>
          <cell r="GZ40">
            <v>77058</v>
          </cell>
          <cell r="HA40">
            <v>1248</v>
          </cell>
          <cell r="HB40">
            <v>13062</v>
          </cell>
          <cell r="HC40">
            <v>91368</v>
          </cell>
          <cell r="HD40">
            <v>256</v>
          </cell>
          <cell r="HE40">
            <v>91624</v>
          </cell>
          <cell r="HF40">
            <v>615</v>
          </cell>
          <cell r="HG40">
            <v>109</v>
          </cell>
          <cell r="HH40">
            <v>0</v>
          </cell>
          <cell r="HI40">
            <v>0</v>
          </cell>
          <cell r="HJ40">
            <v>724</v>
          </cell>
          <cell r="HK40">
            <v>92348</v>
          </cell>
          <cell r="HL40">
            <v>63</v>
          </cell>
          <cell r="HM40">
            <v>114</v>
          </cell>
          <cell r="HN40">
            <v>177</v>
          </cell>
          <cell r="HO40">
            <v>17</v>
          </cell>
          <cell r="HP40">
            <v>0</v>
          </cell>
          <cell r="HQ40">
            <v>17</v>
          </cell>
          <cell r="HR40">
            <v>0</v>
          </cell>
          <cell r="HS40">
            <v>0</v>
          </cell>
          <cell r="HT40">
            <v>0</v>
          </cell>
          <cell r="HU40">
            <v>0</v>
          </cell>
          <cell r="HV40">
            <v>194</v>
          </cell>
          <cell r="HW40">
            <v>3344</v>
          </cell>
          <cell r="HX40">
            <v>1200</v>
          </cell>
          <cell r="HY40">
            <v>4544</v>
          </cell>
          <cell r="HZ40">
            <v>4738</v>
          </cell>
          <cell r="IA40">
            <v>632</v>
          </cell>
          <cell r="IB40">
            <v>741</v>
          </cell>
          <cell r="IC40">
            <v>92542</v>
          </cell>
          <cell r="ID40">
            <v>92542</v>
          </cell>
          <cell r="IE40">
            <v>97086</v>
          </cell>
          <cell r="IF40">
            <v>11150</v>
          </cell>
          <cell r="IG40">
            <v>670</v>
          </cell>
          <cell r="IJ40">
            <v>1</v>
          </cell>
          <cell r="IK40">
            <v>2.5000000000000001E-3</v>
          </cell>
          <cell r="IL40">
            <v>1E-4</v>
          </cell>
          <cell r="IM40">
            <v>0.36649999999999999</v>
          </cell>
          <cell r="IN40">
            <v>0</v>
          </cell>
          <cell r="IO40">
            <v>0.33250000000000002</v>
          </cell>
          <cell r="IP40">
            <v>5.9999999999999995E-4</v>
          </cell>
          <cell r="IQ40">
            <v>0.6008</v>
          </cell>
          <cell r="IR40">
            <v>3.9100000000000003E-2</v>
          </cell>
          <cell r="IS40">
            <v>0.1205</v>
          </cell>
          <cell r="IT40">
            <v>16717</v>
          </cell>
          <cell r="IU40">
            <v>5319</v>
          </cell>
          <cell r="IV40">
            <v>22036</v>
          </cell>
          <cell r="IW40">
            <v>0.59179999999999999</v>
          </cell>
          <cell r="IX40">
            <v>69000</v>
          </cell>
          <cell r="IZ40">
            <v>109</v>
          </cell>
          <cell r="JA40">
            <v>12</v>
          </cell>
          <cell r="JB40">
            <v>133</v>
          </cell>
          <cell r="JC40">
            <v>67</v>
          </cell>
          <cell r="JD40">
            <v>0</v>
          </cell>
          <cell r="JE40">
            <v>27</v>
          </cell>
          <cell r="JF40">
            <v>176</v>
          </cell>
          <cell r="JG40">
            <v>12</v>
          </cell>
          <cell r="JH40">
            <v>160</v>
          </cell>
          <cell r="JI40">
            <v>348</v>
          </cell>
          <cell r="JJ40">
            <v>254</v>
          </cell>
          <cell r="JK40">
            <v>94</v>
          </cell>
          <cell r="JL40">
            <v>874</v>
          </cell>
          <cell r="JM40">
            <v>102</v>
          </cell>
          <cell r="JN40">
            <v>2817</v>
          </cell>
          <cell r="JO40">
            <v>596</v>
          </cell>
          <cell r="JP40">
            <v>0</v>
          </cell>
          <cell r="JQ40">
            <v>802</v>
          </cell>
          <cell r="JR40">
            <v>1470</v>
          </cell>
          <cell r="JS40">
            <v>102</v>
          </cell>
          <cell r="JT40">
            <v>3619</v>
          </cell>
          <cell r="JU40">
            <v>5191</v>
          </cell>
          <cell r="JV40">
            <v>3793</v>
          </cell>
          <cell r="JW40">
            <v>1398</v>
          </cell>
          <cell r="JX40">
            <v>14.92</v>
          </cell>
          <cell r="JY40">
            <v>8.35</v>
          </cell>
          <cell r="JZ40">
            <v>22.62</v>
          </cell>
          <cell r="KA40">
            <v>0.28000000000000003</v>
          </cell>
          <cell r="KB40">
            <v>0.7</v>
          </cell>
          <cell r="KE40">
            <v>24</v>
          </cell>
          <cell r="KF40">
            <v>200</v>
          </cell>
          <cell r="KG40">
            <v>53</v>
          </cell>
          <cell r="KH40">
            <v>1245</v>
          </cell>
          <cell r="KM40">
            <v>17929</v>
          </cell>
          <cell r="KN40">
            <v>13395</v>
          </cell>
          <cell r="KO40">
            <v>9455</v>
          </cell>
          <cell r="KQ40">
            <v>110</v>
          </cell>
          <cell r="KR40">
            <v>1051</v>
          </cell>
          <cell r="KS40">
            <v>2</v>
          </cell>
          <cell r="KT40">
            <v>18</v>
          </cell>
          <cell r="KU40">
            <v>18</v>
          </cell>
          <cell r="KV40">
            <v>53</v>
          </cell>
          <cell r="KW40">
            <v>36200</v>
          </cell>
          <cell r="KY40">
            <v>4002</v>
          </cell>
          <cell r="KZ40">
            <v>26100</v>
          </cell>
          <cell r="LC40" t="str">
            <v>HALIFAX COUNTY LIBRARY</v>
          </cell>
          <cell r="LD40" t="str">
            <v>Leased</v>
          </cell>
          <cell r="LE40" t="str">
            <v>PO BOX 97</v>
          </cell>
          <cell r="LF40" t="str">
            <v>HALIFAX</v>
          </cell>
          <cell r="LG40">
            <v>27839</v>
          </cell>
          <cell r="LH40">
            <v>97</v>
          </cell>
          <cell r="LI40" t="str">
            <v>33 GRANVILLE ST</v>
          </cell>
          <cell r="LJ40" t="str">
            <v>HALIFAX</v>
          </cell>
          <cell r="LK40">
            <v>27839</v>
          </cell>
          <cell r="LL40">
            <v>97</v>
          </cell>
          <cell r="LM40" t="str">
            <v>HALIFAX</v>
          </cell>
          <cell r="LN40">
            <v>2525833631</v>
          </cell>
          <cell r="LO40">
            <v>2525838661</v>
          </cell>
          <cell r="LP40">
            <v>28109</v>
          </cell>
          <cell r="LQ40">
            <v>10</v>
          </cell>
          <cell r="LS40">
            <v>12428</v>
          </cell>
          <cell r="LT40">
            <v>260</v>
          </cell>
          <cell r="LW40">
            <v>2</v>
          </cell>
          <cell r="LX40" t="str">
            <v>C-HALIFAX-H</v>
          </cell>
          <cell r="LY40">
            <v>0</v>
          </cell>
          <cell r="LZ40" t="str">
            <v>CE</v>
          </cell>
          <cell r="MA40">
            <v>43.86</v>
          </cell>
          <cell r="MB40">
            <v>47.26</v>
          </cell>
        </row>
        <row r="41">
          <cell r="A41" t="str">
            <v>NC0037</v>
          </cell>
          <cell r="B41">
            <v>0</v>
          </cell>
          <cell r="C41">
            <v>1375</v>
          </cell>
          <cell r="D41">
            <v>2017</v>
          </cell>
          <cell r="E41">
            <v>0</v>
          </cell>
          <cell r="F41" t="str">
            <v>NC0037</v>
          </cell>
          <cell r="G41" t="str">
            <v>C-HARNETT</v>
          </cell>
          <cell r="H41" t="str">
            <v>NO</v>
          </cell>
          <cell r="I41" t="str">
            <v>CO</v>
          </cell>
          <cell r="J41" t="str">
            <v>MO</v>
          </cell>
          <cell r="K41" t="str">
            <v>Y</v>
          </cell>
          <cell r="L41" t="str">
            <v>CO1</v>
          </cell>
          <cell r="M41" t="str">
            <v>N</v>
          </cell>
          <cell r="N41">
            <v>127127</v>
          </cell>
          <cell r="O41" t="str">
            <v>Yes</v>
          </cell>
          <cell r="R41">
            <v>103</v>
          </cell>
          <cell r="S41">
            <v>10</v>
          </cell>
          <cell r="T41">
            <v>4174</v>
          </cell>
          <cell r="U41">
            <v>153</v>
          </cell>
          <cell r="V41">
            <v>33591</v>
          </cell>
          <cell r="W41">
            <v>2531</v>
          </cell>
          <cell r="Z41" t="str">
            <v>PO BOX 1149</v>
          </cell>
          <cell r="AA41" t="str">
            <v>LILLINGTON</v>
          </cell>
          <cell r="AB41">
            <v>27546</v>
          </cell>
          <cell r="AC41">
            <v>1149</v>
          </cell>
          <cell r="AD41" t="str">
            <v>601 S MAIN ST</v>
          </cell>
          <cell r="AE41" t="str">
            <v>LILLINGTON</v>
          </cell>
          <cell r="AF41">
            <v>27546</v>
          </cell>
          <cell r="AG41">
            <v>2</v>
          </cell>
          <cell r="AH41" t="str">
            <v>HARNETT COUNTY PUBLIC LIBRARY</v>
          </cell>
          <cell r="AJ41" t="str">
            <v>County</v>
          </cell>
          <cell r="AK41" t="str">
            <v>HARNETT</v>
          </cell>
          <cell r="AL41" t="str">
            <v>Angela McCauley</v>
          </cell>
          <cell r="AM41" t="str">
            <v>(910) 893-3446</v>
          </cell>
          <cell r="AN41" t="str">
            <v>(910) 893-3001</v>
          </cell>
          <cell r="AO41" t="str">
            <v>amccauley@harnett.org</v>
          </cell>
          <cell r="AP41" t="str">
            <v>Angela McCauley</v>
          </cell>
          <cell r="AQ41" t="str">
            <v>Library Director</v>
          </cell>
          <cell r="AR41" t="str">
            <v>(910) 893-3446</v>
          </cell>
          <cell r="AS41" t="str">
            <v>(910) 893-3001</v>
          </cell>
          <cell r="AT41" t="str">
            <v>amccauley@harnett.org</v>
          </cell>
          <cell r="AU41" t="str">
            <v>www.harnett.org/library</v>
          </cell>
          <cell r="BC41">
            <v>1</v>
          </cell>
          <cell r="BD41">
            <v>6</v>
          </cell>
          <cell r="BE41">
            <v>0</v>
          </cell>
          <cell r="BF41">
            <v>1</v>
          </cell>
          <cell r="BG41">
            <v>8</v>
          </cell>
          <cell r="BI41">
            <v>11345</v>
          </cell>
          <cell r="BJ41">
            <v>2</v>
          </cell>
          <cell r="BK41">
            <v>3</v>
          </cell>
          <cell r="BL41">
            <v>5</v>
          </cell>
          <cell r="BM41">
            <v>11</v>
          </cell>
          <cell r="BN41">
            <v>16</v>
          </cell>
          <cell r="BO41">
            <v>0.125</v>
          </cell>
          <cell r="BP41">
            <v>501</v>
          </cell>
          <cell r="BQ41">
            <v>74559</v>
          </cell>
          <cell r="BT41">
            <v>0</v>
          </cell>
          <cell r="BU41">
            <v>25720</v>
          </cell>
          <cell r="BV41">
            <v>53364</v>
          </cell>
          <cell r="BW41">
            <v>39542</v>
          </cell>
          <cell r="BY41">
            <v>38763</v>
          </cell>
          <cell r="BZ41">
            <v>38763</v>
          </cell>
          <cell r="CA41">
            <v>38763</v>
          </cell>
          <cell r="CG41">
            <v>38763</v>
          </cell>
          <cell r="CH41">
            <v>38763</v>
          </cell>
          <cell r="CI41">
            <v>38763</v>
          </cell>
          <cell r="CK41">
            <v>35487</v>
          </cell>
          <cell r="CL41">
            <v>35487</v>
          </cell>
          <cell r="CM41">
            <v>35487</v>
          </cell>
          <cell r="CV41">
            <v>38763</v>
          </cell>
          <cell r="CW41">
            <v>38763</v>
          </cell>
          <cell r="CX41">
            <v>38763</v>
          </cell>
          <cell r="DO41">
            <v>29573</v>
          </cell>
          <cell r="DP41">
            <v>29573</v>
          </cell>
          <cell r="DQ41">
            <v>29573</v>
          </cell>
          <cell r="DS41">
            <v>43692</v>
          </cell>
          <cell r="DT41">
            <v>43692</v>
          </cell>
          <cell r="DU41">
            <v>43692</v>
          </cell>
          <cell r="DV41">
            <v>477552</v>
          </cell>
          <cell r="DW41">
            <v>971654</v>
          </cell>
          <cell r="DX41">
            <v>1449206</v>
          </cell>
          <cell r="DY41">
            <v>166317</v>
          </cell>
          <cell r="DZ41">
            <v>0</v>
          </cell>
          <cell r="EA41">
            <v>166317</v>
          </cell>
          <cell r="EB41">
            <v>0</v>
          </cell>
          <cell r="EC41">
            <v>0</v>
          </cell>
          <cell r="ED41">
            <v>0</v>
          </cell>
          <cell r="EE41">
            <v>26464</v>
          </cell>
          <cell r="EF41">
            <v>1641987</v>
          </cell>
          <cell r="EG41">
            <v>752729</v>
          </cell>
          <cell r="EH41">
            <v>272271</v>
          </cell>
          <cell r="EI41">
            <v>1025000</v>
          </cell>
          <cell r="EJ41">
            <v>140777</v>
          </cell>
          <cell r="EK41">
            <v>35251</v>
          </cell>
          <cell r="EL41">
            <v>7074</v>
          </cell>
          <cell r="EM41">
            <v>183102</v>
          </cell>
          <cell r="EN41">
            <v>169195</v>
          </cell>
          <cell r="EO41">
            <v>1377297</v>
          </cell>
          <cell r="EP41">
            <v>264690</v>
          </cell>
          <cell r="EQ41">
            <v>0.16120000000000001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X41">
            <v>20477</v>
          </cell>
          <cell r="EY41">
            <v>285094</v>
          </cell>
          <cell r="EZ41">
            <v>50589</v>
          </cell>
          <cell r="FA41">
            <v>4764</v>
          </cell>
          <cell r="FB41">
            <v>54645</v>
          </cell>
          <cell r="FC41">
            <v>42922</v>
          </cell>
          <cell r="FD41">
            <v>1034</v>
          </cell>
          <cell r="FE41">
            <v>28239</v>
          </cell>
          <cell r="FF41">
            <v>93511</v>
          </cell>
          <cell r="FG41">
            <v>5798</v>
          </cell>
          <cell r="FH41">
            <v>82884</v>
          </cell>
          <cell r="FI41">
            <v>182193</v>
          </cell>
          <cell r="FJ41">
            <v>650</v>
          </cell>
          <cell r="FK41">
            <v>123</v>
          </cell>
          <cell r="FM41">
            <v>182193</v>
          </cell>
          <cell r="FN41">
            <v>5106</v>
          </cell>
          <cell r="FO41">
            <v>9962</v>
          </cell>
          <cell r="FP41">
            <v>58</v>
          </cell>
          <cell r="FQ41">
            <v>0</v>
          </cell>
          <cell r="FR41">
            <v>88</v>
          </cell>
          <cell r="FS41">
            <v>88</v>
          </cell>
          <cell r="FT41">
            <v>44141</v>
          </cell>
          <cell r="FU41">
            <v>3505</v>
          </cell>
          <cell r="FV41">
            <v>0</v>
          </cell>
          <cell r="FW41">
            <v>0</v>
          </cell>
          <cell r="FX41">
            <v>8544</v>
          </cell>
          <cell r="FY41">
            <v>1573</v>
          </cell>
          <cell r="FZ41">
            <v>322</v>
          </cell>
          <cell r="GA41">
            <v>0</v>
          </cell>
          <cell r="GB41">
            <v>26436</v>
          </cell>
          <cell r="GC41">
            <v>1747</v>
          </cell>
          <cell r="GD41">
            <v>278</v>
          </cell>
          <cell r="GJ41">
            <v>211</v>
          </cell>
          <cell r="GK41">
            <v>152</v>
          </cell>
          <cell r="GL41">
            <v>5</v>
          </cell>
          <cell r="GM41">
            <v>0</v>
          </cell>
          <cell r="GN41">
            <v>79332</v>
          </cell>
          <cell r="GO41">
            <v>6977</v>
          </cell>
          <cell r="GP41">
            <v>605</v>
          </cell>
          <cell r="GQ41">
            <v>0</v>
          </cell>
          <cell r="GR41">
            <v>23</v>
          </cell>
          <cell r="GT41">
            <v>55477</v>
          </cell>
          <cell r="GU41">
            <v>5307</v>
          </cell>
          <cell r="GV41">
            <v>97336</v>
          </cell>
          <cell r="GW41">
            <v>19770</v>
          </cell>
          <cell r="GX41">
            <v>565</v>
          </cell>
          <cell r="GY41">
            <v>21140</v>
          </cell>
          <cell r="GZ41">
            <v>75247</v>
          </cell>
          <cell r="HA41">
            <v>5872</v>
          </cell>
          <cell r="HB41">
            <v>118476</v>
          </cell>
          <cell r="HC41">
            <v>199595</v>
          </cell>
          <cell r="HD41">
            <v>723</v>
          </cell>
          <cell r="HE41">
            <v>201431</v>
          </cell>
          <cell r="HF41">
            <v>7584</v>
          </cell>
          <cell r="HG41">
            <v>30311</v>
          </cell>
          <cell r="HH41">
            <v>1113</v>
          </cell>
          <cell r="HI41">
            <v>343</v>
          </cell>
          <cell r="HJ41">
            <v>38238</v>
          </cell>
          <cell r="HK41">
            <v>239669</v>
          </cell>
          <cell r="HL41">
            <v>143</v>
          </cell>
          <cell r="HM41">
            <v>12133</v>
          </cell>
          <cell r="HN41">
            <v>12276</v>
          </cell>
          <cell r="HO41">
            <v>225</v>
          </cell>
          <cell r="HP41">
            <v>5226</v>
          </cell>
          <cell r="HQ41">
            <v>5451</v>
          </cell>
          <cell r="HR41">
            <v>0</v>
          </cell>
          <cell r="HS41">
            <v>42</v>
          </cell>
          <cell r="HT41">
            <v>42</v>
          </cell>
          <cell r="HU41">
            <v>168</v>
          </cell>
          <cell r="HV41">
            <v>17937</v>
          </cell>
          <cell r="HW41">
            <v>5743</v>
          </cell>
          <cell r="HX41">
            <v>72742</v>
          </cell>
          <cell r="HY41">
            <v>78485</v>
          </cell>
          <cell r="HZ41">
            <v>96422</v>
          </cell>
          <cell r="IA41">
            <v>13035</v>
          </cell>
          <cell r="IB41">
            <v>43388</v>
          </cell>
          <cell r="IC41">
            <v>257606</v>
          </cell>
          <cell r="ID41">
            <v>257606</v>
          </cell>
          <cell r="IE41">
            <v>336091</v>
          </cell>
          <cell r="IF41">
            <v>132097</v>
          </cell>
          <cell r="IG41">
            <v>878</v>
          </cell>
          <cell r="IJ41">
            <v>3</v>
          </cell>
          <cell r="IK41">
            <v>3.7100000000000001E-2</v>
          </cell>
          <cell r="IL41">
            <v>4.0000000000000002E-4</v>
          </cell>
          <cell r="IM41">
            <v>0.3049</v>
          </cell>
          <cell r="IN41">
            <v>0</v>
          </cell>
          <cell r="IO41">
            <v>0.27829999999999999</v>
          </cell>
          <cell r="IP41">
            <v>2.9999999999999997E-4</v>
          </cell>
          <cell r="IQ41">
            <v>0.6391</v>
          </cell>
          <cell r="IR41">
            <v>4.24E-2</v>
          </cell>
          <cell r="IS41">
            <v>0.51280000000000003</v>
          </cell>
          <cell r="IT41">
            <v>49782</v>
          </cell>
          <cell r="IU41">
            <v>12283</v>
          </cell>
          <cell r="IV41">
            <v>62065</v>
          </cell>
          <cell r="IW41">
            <v>0.48820000000000002</v>
          </cell>
          <cell r="IX41">
            <v>255162</v>
          </cell>
          <cell r="IZ41">
            <v>131</v>
          </cell>
          <cell r="JA41">
            <v>40</v>
          </cell>
          <cell r="JB41">
            <v>423</v>
          </cell>
          <cell r="JC41">
            <v>2</v>
          </cell>
          <cell r="JD41">
            <v>0</v>
          </cell>
          <cell r="JE41">
            <v>142</v>
          </cell>
          <cell r="JF41">
            <v>133</v>
          </cell>
          <cell r="JG41">
            <v>40</v>
          </cell>
          <cell r="JH41">
            <v>565</v>
          </cell>
          <cell r="JI41">
            <v>738</v>
          </cell>
          <cell r="JJ41">
            <v>594</v>
          </cell>
          <cell r="JK41">
            <v>144</v>
          </cell>
          <cell r="JL41">
            <v>798</v>
          </cell>
          <cell r="JM41">
            <v>276</v>
          </cell>
          <cell r="JN41">
            <v>11252</v>
          </cell>
          <cell r="JO41">
            <v>95</v>
          </cell>
          <cell r="JP41">
            <v>0</v>
          </cell>
          <cell r="JQ41">
            <v>3394</v>
          </cell>
          <cell r="JR41">
            <v>893</v>
          </cell>
          <cell r="JS41">
            <v>276</v>
          </cell>
          <cell r="JT41">
            <v>14646</v>
          </cell>
          <cell r="JU41">
            <v>15815</v>
          </cell>
          <cell r="JV41">
            <v>12326</v>
          </cell>
          <cell r="JW41">
            <v>3489</v>
          </cell>
          <cell r="JX41">
            <v>21.43</v>
          </cell>
          <cell r="JY41">
            <v>6.71</v>
          </cell>
          <cell r="JZ41">
            <v>25.92</v>
          </cell>
          <cell r="KA41">
            <v>0.06</v>
          </cell>
          <cell r="KB41">
            <v>0.93</v>
          </cell>
          <cell r="KC41">
            <v>0</v>
          </cell>
          <cell r="KD41">
            <v>0</v>
          </cell>
          <cell r="KE41">
            <v>9</v>
          </cell>
          <cell r="KF41">
            <v>22</v>
          </cell>
          <cell r="KK41">
            <v>3</v>
          </cell>
          <cell r="KL41">
            <v>194</v>
          </cell>
          <cell r="KM41">
            <v>5572</v>
          </cell>
          <cell r="KN41">
            <v>3264</v>
          </cell>
          <cell r="KO41">
            <v>2088</v>
          </cell>
          <cell r="KQ41">
            <v>834</v>
          </cell>
          <cell r="KR41">
            <v>3607</v>
          </cell>
          <cell r="KS41">
            <v>9417</v>
          </cell>
          <cell r="KT41">
            <v>8754</v>
          </cell>
          <cell r="KU41">
            <v>29</v>
          </cell>
          <cell r="KV41">
            <v>99</v>
          </cell>
          <cell r="KW41">
            <v>32276</v>
          </cell>
          <cell r="KY41">
            <v>104535</v>
          </cell>
          <cell r="LC41" t="str">
            <v>HARNETT COUNTY PUBLIC LIBRARY</v>
          </cell>
          <cell r="LD41" t="str">
            <v>County Owned</v>
          </cell>
          <cell r="LE41" t="str">
            <v>PO BOX 1149</v>
          </cell>
          <cell r="LF41" t="str">
            <v>LILLINGTON</v>
          </cell>
          <cell r="LG41">
            <v>27546</v>
          </cell>
          <cell r="LH41">
            <v>1149</v>
          </cell>
          <cell r="LI41" t="str">
            <v>601 S MAIN ST</v>
          </cell>
          <cell r="LJ41" t="str">
            <v>LILLINGTON</v>
          </cell>
          <cell r="LK41">
            <v>27546</v>
          </cell>
          <cell r="LL41">
            <v>1149</v>
          </cell>
          <cell r="LM41" t="str">
            <v>HARNETT</v>
          </cell>
          <cell r="LN41">
            <v>9108933446</v>
          </cell>
          <cell r="LO41">
            <v>9108933001</v>
          </cell>
          <cell r="LP41">
            <v>32745</v>
          </cell>
          <cell r="LQ41">
            <v>26.8</v>
          </cell>
          <cell r="LS41">
            <v>11345</v>
          </cell>
          <cell r="LT41">
            <v>317</v>
          </cell>
          <cell r="LW41">
            <v>2</v>
          </cell>
          <cell r="LX41" t="str">
            <v>C-HARNETT-H</v>
          </cell>
          <cell r="LY41">
            <v>0</v>
          </cell>
          <cell r="LZ41" t="str">
            <v>CE</v>
          </cell>
          <cell r="MA41">
            <v>150</v>
          </cell>
          <cell r="MB41">
            <v>180</v>
          </cell>
        </row>
        <row r="42">
          <cell r="A42" t="str">
            <v>NC0102</v>
          </cell>
          <cell r="B42">
            <v>0</v>
          </cell>
          <cell r="C42">
            <v>1375</v>
          </cell>
          <cell r="D42">
            <v>2017</v>
          </cell>
          <cell r="E42">
            <v>0</v>
          </cell>
          <cell r="F42" t="str">
            <v>NC0102</v>
          </cell>
          <cell r="G42" t="str">
            <v>M-NASHVILLE</v>
          </cell>
          <cell r="H42" t="str">
            <v>NO</v>
          </cell>
          <cell r="I42" t="str">
            <v>CI</v>
          </cell>
          <cell r="J42" t="str">
            <v>SO</v>
          </cell>
          <cell r="K42" t="str">
            <v>Y</v>
          </cell>
          <cell r="L42" t="str">
            <v>CI1</v>
          </cell>
          <cell r="M42" t="str">
            <v>N</v>
          </cell>
          <cell r="N42">
            <v>5500</v>
          </cell>
          <cell r="O42" t="str">
            <v>No</v>
          </cell>
          <cell r="P42">
            <v>63</v>
          </cell>
          <cell r="Q42">
            <v>45</v>
          </cell>
          <cell r="R42">
            <v>7</v>
          </cell>
          <cell r="S42">
            <v>3</v>
          </cell>
          <cell r="T42">
            <v>216</v>
          </cell>
          <cell r="U42">
            <v>54</v>
          </cell>
          <cell r="V42">
            <v>1053</v>
          </cell>
          <cell r="W42">
            <v>243</v>
          </cell>
          <cell r="Z42" t="str">
            <v>114 W CHURCH ST</v>
          </cell>
          <cell r="AA42" t="str">
            <v>NASHVILLE</v>
          </cell>
          <cell r="AB42">
            <v>27856</v>
          </cell>
          <cell r="AD42" t="str">
            <v>114 W CHURCH ST</v>
          </cell>
          <cell r="AE42" t="str">
            <v>NASHVILLE</v>
          </cell>
          <cell r="AF42">
            <v>27856</v>
          </cell>
          <cell r="AG42">
            <v>2</v>
          </cell>
          <cell r="AH42" t="str">
            <v>HAROLD D. COOLEY LIBRARY</v>
          </cell>
          <cell r="AJ42" t="str">
            <v>Municipal</v>
          </cell>
          <cell r="AK42" t="str">
            <v>NASH</v>
          </cell>
          <cell r="AL42" t="str">
            <v>Emily Enderle</v>
          </cell>
          <cell r="AM42" t="str">
            <v>(252) 459-2106</v>
          </cell>
          <cell r="AN42" t="str">
            <v>(252) 459-8926</v>
          </cell>
          <cell r="AO42" t="str">
            <v>emily.enderle@townofnashvillenc.gov</v>
          </cell>
          <cell r="AP42" t="str">
            <v>Emily Enderle</v>
          </cell>
          <cell r="AQ42" t="str">
            <v>Library Director</v>
          </cell>
          <cell r="AR42" t="str">
            <v>(252) 459-2106</v>
          </cell>
          <cell r="AS42" t="str">
            <v>(252) 459-8926</v>
          </cell>
          <cell r="AT42" t="str">
            <v>emily.enderle@townofnashvillenc.gov</v>
          </cell>
          <cell r="AU42" t="str">
            <v>www.youseemore.com/cooleylibrary/default.asp</v>
          </cell>
          <cell r="BC42">
            <v>1</v>
          </cell>
          <cell r="BD42">
            <v>0</v>
          </cell>
          <cell r="BE42">
            <v>0</v>
          </cell>
          <cell r="BF42">
            <v>0</v>
          </cell>
          <cell r="BG42">
            <v>1</v>
          </cell>
          <cell r="BI42">
            <v>2465</v>
          </cell>
          <cell r="BJ42">
            <v>1</v>
          </cell>
          <cell r="BK42">
            <v>0</v>
          </cell>
          <cell r="BL42">
            <v>1</v>
          </cell>
          <cell r="BM42">
            <v>3.25</v>
          </cell>
          <cell r="BN42">
            <v>4.25</v>
          </cell>
          <cell r="BO42">
            <v>0.23530000000000001</v>
          </cell>
          <cell r="BP42">
            <v>108</v>
          </cell>
          <cell r="BQ42">
            <v>44885</v>
          </cell>
          <cell r="DL42">
            <v>29227</v>
          </cell>
          <cell r="DO42">
            <v>10</v>
          </cell>
          <cell r="DP42">
            <v>12</v>
          </cell>
          <cell r="DV42">
            <v>182824</v>
          </cell>
          <cell r="DW42">
            <v>14000</v>
          </cell>
          <cell r="DX42">
            <v>196824</v>
          </cell>
          <cell r="DY42">
            <v>3855</v>
          </cell>
          <cell r="DZ42">
            <v>0</v>
          </cell>
          <cell r="EA42">
            <v>3855</v>
          </cell>
          <cell r="EB42">
            <v>0</v>
          </cell>
          <cell r="EC42">
            <v>0</v>
          </cell>
          <cell r="ED42">
            <v>0</v>
          </cell>
          <cell r="EE42">
            <v>0</v>
          </cell>
          <cell r="EF42">
            <v>200679</v>
          </cell>
          <cell r="EG42">
            <v>112831</v>
          </cell>
          <cell r="EH42">
            <v>32673</v>
          </cell>
          <cell r="EI42">
            <v>145504</v>
          </cell>
          <cell r="EJ42">
            <v>8209</v>
          </cell>
          <cell r="EK42">
            <v>3522</v>
          </cell>
          <cell r="EL42">
            <v>3855</v>
          </cell>
          <cell r="EM42">
            <v>15586</v>
          </cell>
          <cell r="EN42">
            <v>39320</v>
          </cell>
          <cell r="EO42">
            <v>200410</v>
          </cell>
          <cell r="EP42">
            <v>269</v>
          </cell>
          <cell r="EQ42">
            <v>1.2999999999999999E-3</v>
          </cell>
          <cell r="ER42">
            <v>0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5339</v>
          </cell>
          <cell r="EY42">
            <v>79273</v>
          </cell>
          <cell r="EZ42">
            <v>7092</v>
          </cell>
          <cell r="FA42">
            <v>918</v>
          </cell>
          <cell r="FB42">
            <v>6694</v>
          </cell>
          <cell r="FC42">
            <v>2813</v>
          </cell>
          <cell r="FD42">
            <v>64</v>
          </cell>
          <cell r="FE42">
            <v>1641</v>
          </cell>
          <cell r="FF42">
            <v>9905</v>
          </cell>
          <cell r="FG42">
            <v>982</v>
          </cell>
          <cell r="FH42">
            <v>8335</v>
          </cell>
          <cell r="FI42">
            <v>19222</v>
          </cell>
          <cell r="FJ42">
            <v>6</v>
          </cell>
          <cell r="FK42">
            <v>28</v>
          </cell>
          <cell r="FM42">
            <v>19222</v>
          </cell>
          <cell r="FN42">
            <v>352</v>
          </cell>
          <cell r="FO42">
            <v>1482</v>
          </cell>
          <cell r="FP42">
            <v>11</v>
          </cell>
          <cell r="FQ42">
            <v>-1</v>
          </cell>
          <cell r="FR42">
            <v>88</v>
          </cell>
          <cell r="FS42">
            <v>87</v>
          </cell>
          <cell r="FT42">
            <v>44141</v>
          </cell>
          <cell r="FU42">
            <v>3505</v>
          </cell>
          <cell r="FV42">
            <v>0</v>
          </cell>
          <cell r="FW42">
            <v>0</v>
          </cell>
          <cell r="FX42">
            <v>8544</v>
          </cell>
          <cell r="FY42">
            <v>1573</v>
          </cell>
          <cell r="FZ42">
            <v>322</v>
          </cell>
          <cell r="GA42">
            <v>0</v>
          </cell>
          <cell r="GE42">
            <v>0</v>
          </cell>
          <cell r="GJ42">
            <v>0</v>
          </cell>
          <cell r="GK42">
            <v>0</v>
          </cell>
          <cell r="GL42">
            <v>0</v>
          </cell>
          <cell r="GM42">
            <v>0</v>
          </cell>
          <cell r="GN42">
            <v>52685</v>
          </cell>
          <cell r="GO42">
            <v>5078</v>
          </cell>
          <cell r="GP42">
            <v>322</v>
          </cell>
          <cell r="GQ42">
            <v>0</v>
          </cell>
          <cell r="GR42">
            <v>10</v>
          </cell>
          <cell r="GT42">
            <v>10074</v>
          </cell>
          <cell r="GU42">
            <v>631</v>
          </cell>
          <cell r="GV42">
            <v>10689</v>
          </cell>
          <cell r="GW42">
            <v>745</v>
          </cell>
          <cell r="GX42">
            <v>22</v>
          </cell>
          <cell r="GY42">
            <v>2710</v>
          </cell>
          <cell r="GZ42">
            <v>10819</v>
          </cell>
          <cell r="HA42">
            <v>653</v>
          </cell>
          <cell r="HB42">
            <v>13399</v>
          </cell>
          <cell r="HC42">
            <v>24871</v>
          </cell>
          <cell r="HD42">
            <v>300</v>
          </cell>
          <cell r="HE42">
            <v>25171</v>
          </cell>
          <cell r="HF42">
            <v>888</v>
          </cell>
          <cell r="HG42">
            <v>5106</v>
          </cell>
          <cell r="HJ42">
            <v>5994</v>
          </cell>
          <cell r="HK42">
            <v>31165</v>
          </cell>
          <cell r="HL42">
            <v>3</v>
          </cell>
          <cell r="HM42">
            <v>0</v>
          </cell>
          <cell r="HN42">
            <v>3</v>
          </cell>
          <cell r="HO42">
            <v>69</v>
          </cell>
          <cell r="HP42">
            <v>0</v>
          </cell>
          <cell r="HQ42">
            <v>69</v>
          </cell>
          <cell r="HR42">
            <v>0</v>
          </cell>
          <cell r="HS42">
            <v>0</v>
          </cell>
          <cell r="HT42">
            <v>0</v>
          </cell>
          <cell r="HU42">
            <v>0</v>
          </cell>
          <cell r="HV42">
            <v>72</v>
          </cell>
          <cell r="HW42">
            <v>406</v>
          </cell>
          <cell r="HY42">
            <v>406</v>
          </cell>
          <cell r="HZ42">
            <v>478</v>
          </cell>
          <cell r="IA42">
            <v>957</v>
          </cell>
          <cell r="IB42">
            <v>6063</v>
          </cell>
          <cell r="IC42">
            <v>31237</v>
          </cell>
          <cell r="ID42">
            <v>31237</v>
          </cell>
          <cell r="IE42">
            <v>31643</v>
          </cell>
          <cell r="IF42">
            <v>13399</v>
          </cell>
          <cell r="IG42">
            <v>326</v>
          </cell>
          <cell r="IJ42">
            <v>1</v>
          </cell>
          <cell r="IK42">
            <v>2.2800000000000001E-2</v>
          </cell>
          <cell r="IL42">
            <v>4.0000000000000002E-4</v>
          </cell>
          <cell r="IM42">
            <v>0.73270000000000002</v>
          </cell>
          <cell r="IN42">
            <v>0</v>
          </cell>
          <cell r="IO42">
            <v>0.66459999999999997</v>
          </cell>
          <cell r="IP42">
            <v>1.1000000000000001E-3</v>
          </cell>
          <cell r="IQ42">
            <v>0.24249999999999999</v>
          </cell>
          <cell r="IR42">
            <v>6.8500000000000005E-2</v>
          </cell>
          <cell r="IS42">
            <v>0.4289</v>
          </cell>
          <cell r="IT42">
            <v>2599</v>
          </cell>
          <cell r="IU42">
            <v>377</v>
          </cell>
          <cell r="IV42">
            <v>2976</v>
          </cell>
          <cell r="IW42">
            <v>0.54110000000000003</v>
          </cell>
          <cell r="IX42">
            <v>46149</v>
          </cell>
          <cell r="IZ42">
            <v>46</v>
          </cell>
          <cell r="JA42">
            <v>12</v>
          </cell>
          <cell r="JB42">
            <v>75</v>
          </cell>
          <cell r="JC42">
            <v>0</v>
          </cell>
          <cell r="JD42">
            <v>0</v>
          </cell>
          <cell r="JE42">
            <v>0</v>
          </cell>
          <cell r="JF42">
            <v>46</v>
          </cell>
          <cell r="JG42">
            <v>12</v>
          </cell>
          <cell r="JH42">
            <v>75</v>
          </cell>
          <cell r="JI42">
            <v>133</v>
          </cell>
          <cell r="JJ42">
            <v>133</v>
          </cell>
          <cell r="JK42">
            <v>0</v>
          </cell>
          <cell r="JL42">
            <v>267</v>
          </cell>
          <cell r="JM42">
            <v>-1</v>
          </cell>
          <cell r="JN42">
            <v>910</v>
          </cell>
          <cell r="JO42">
            <v>-1</v>
          </cell>
          <cell r="JP42">
            <v>0</v>
          </cell>
          <cell r="JQ42">
            <v>0</v>
          </cell>
          <cell r="JR42">
            <v>266</v>
          </cell>
          <cell r="JS42">
            <v>-1</v>
          </cell>
          <cell r="JT42">
            <v>910</v>
          </cell>
          <cell r="JU42">
            <v>1175</v>
          </cell>
          <cell r="JV42">
            <v>1176</v>
          </cell>
          <cell r="JW42">
            <v>-1</v>
          </cell>
          <cell r="JX42">
            <v>8.83</v>
          </cell>
          <cell r="JY42">
            <v>5.78</v>
          </cell>
          <cell r="JZ42">
            <v>12.13</v>
          </cell>
          <cell r="KA42">
            <v>0.23</v>
          </cell>
          <cell r="KB42">
            <v>0.77</v>
          </cell>
          <cell r="KC42">
            <v>5</v>
          </cell>
          <cell r="KE42">
            <v>1</v>
          </cell>
          <cell r="KG42">
            <v>64</v>
          </cell>
          <cell r="KK42">
            <v>11</v>
          </cell>
          <cell r="KM42">
            <v>2523</v>
          </cell>
          <cell r="KN42">
            <v>1401</v>
          </cell>
          <cell r="KO42">
            <v>791</v>
          </cell>
          <cell r="KQ42">
            <v>2368</v>
          </cell>
          <cell r="KS42">
            <v>3446</v>
          </cell>
          <cell r="KT42">
            <v>4900</v>
          </cell>
          <cell r="KU42">
            <v>4</v>
          </cell>
          <cell r="KV42">
            <v>25</v>
          </cell>
          <cell r="KW42">
            <v>8054</v>
          </cell>
          <cell r="KY42">
            <v>39142</v>
          </cell>
          <cell r="KZ42">
            <v>5261</v>
          </cell>
          <cell r="LC42" t="str">
            <v>HAROLD D. COOLEY LIBRARY</v>
          </cell>
          <cell r="LD42" t="str">
            <v>City Owned</v>
          </cell>
          <cell r="LE42" t="str">
            <v>114 W CHURCH ST</v>
          </cell>
          <cell r="LF42" t="str">
            <v>NASHVILLE</v>
          </cell>
          <cell r="LG42">
            <v>27856</v>
          </cell>
          <cell r="LH42">
            <v>1310</v>
          </cell>
          <cell r="LI42" t="str">
            <v>114 W CHURCH ST</v>
          </cell>
          <cell r="LJ42" t="str">
            <v>NASHVILLE</v>
          </cell>
          <cell r="LK42">
            <v>27856</v>
          </cell>
          <cell r="LL42">
            <v>1310</v>
          </cell>
          <cell r="LM42" t="str">
            <v>NASH</v>
          </cell>
          <cell r="LN42">
            <v>2524592106</v>
          </cell>
          <cell r="LO42">
            <v>2524598926</v>
          </cell>
          <cell r="LP42">
            <v>6000</v>
          </cell>
          <cell r="LQ42">
            <v>2</v>
          </cell>
          <cell r="LS42">
            <v>2465</v>
          </cell>
          <cell r="LT42">
            <v>52</v>
          </cell>
          <cell r="LW42">
            <v>1</v>
          </cell>
          <cell r="LX42" t="str">
            <v>M-NASHVILLE-C</v>
          </cell>
          <cell r="LY42">
            <v>0</v>
          </cell>
          <cell r="LZ42" t="str">
            <v>CE</v>
          </cell>
          <cell r="MA42">
            <v>2</v>
          </cell>
          <cell r="MB42">
            <v>16.399999999999999</v>
          </cell>
        </row>
        <row r="43">
          <cell r="A43" t="str">
            <v>NC0038</v>
          </cell>
          <cell r="B43">
            <v>0</v>
          </cell>
          <cell r="C43">
            <v>1375</v>
          </cell>
          <cell r="D43">
            <v>2017</v>
          </cell>
          <cell r="E43">
            <v>0</v>
          </cell>
          <cell r="F43" t="str">
            <v>NC0038</v>
          </cell>
          <cell r="G43" t="str">
            <v>C-HAYWOOD</v>
          </cell>
          <cell r="H43" t="str">
            <v>NO</v>
          </cell>
          <cell r="I43" t="str">
            <v>CO</v>
          </cell>
          <cell r="J43" t="str">
            <v>MO</v>
          </cell>
          <cell r="K43" t="str">
            <v>Y</v>
          </cell>
          <cell r="L43" t="str">
            <v>CO1</v>
          </cell>
          <cell r="M43" t="str">
            <v>N</v>
          </cell>
          <cell r="N43">
            <v>60631</v>
          </cell>
          <cell r="O43" t="str">
            <v>Yes</v>
          </cell>
          <cell r="P43">
            <v>455</v>
          </cell>
          <cell r="Q43">
            <v>92</v>
          </cell>
          <cell r="R43">
            <v>119</v>
          </cell>
          <cell r="S43">
            <v>39</v>
          </cell>
          <cell r="T43">
            <v>3829</v>
          </cell>
          <cell r="U43">
            <v>1513</v>
          </cell>
          <cell r="V43">
            <v>23506</v>
          </cell>
          <cell r="W43">
            <v>2130</v>
          </cell>
          <cell r="Z43" t="str">
            <v>678 S HAYWOOD ST</v>
          </cell>
          <cell r="AA43" t="str">
            <v>WAYNESVILLE</v>
          </cell>
          <cell r="AB43">
            <v>28786</v>
          </cell>
          <cell r="AC43">
            <v>3197</v>
          </cell>
          <cell r="AD43" t="str">
            <v>678 S HAYWOOD ST</v>
          </cell>
          <cell r="AE43" t="str">
            <v>WAYNESVILLE</v>
          </cell>
          <cell r="AF43">
            <v>28786</v>
          </cell>
          <cell r="AG43">
            <v>3</v>
          </cell>
          <cell r="AH43" t="str">
            <v>HAYWOOD COUNTY PUBLIC LIBRARY</v>
          </cell>
          <cell r="AJ43" t="str">
            <v>County</v>
          </cell>
          <cell r="AK43" t="str">
            <v>HAYWOOD</v>
          </cell>
          <cell r="AL43" t="str">
            <v>Sharon Woodrow</v>
          </cell>
          <cell r="AM43" t="str">
            <v>(828) 356-2504</v>
          </cell>
          <cell r="AN43" t="str">
            <v>(828) 452-6746</v>
          </cell>
          <cell r="AO43" t="str">
            <v>swoodrow@haywoodnc.net</v>
          </cell>
          <cell r="AP43" t="str">
            <v>Sharon Woodrow</v>
          </cell>
          <cell r="AQ43" t="str">
            <v>Library Director</v>
          </cell>
          <cell r="AR43" t="str">
            <v>(828) 356-2504</v>
          </cell>
          <cell r="AS43" t="str">
            <v>(828) 452-6746</v>
          </cell>
          <cell r="AT43" t="str">
            <v>swoodrow@haywoodnc.net</v>
          </cell>
          <cell r="AU43" t="str">
            <v>www.haywoodlibrary.org</v>
          </cell>
          <cell r="BC43">
            <v>1</v>
          </cell>
          <cell r="BD43">
            <v>3</v>
          </cell>
          <cell r="BE43">
            <v>0</v>
          </cell>
          <cell r="BF43">
            <v>1</v>
          </cell>
          <cell r="BG43">
            <v>5</v>
          </cell>
          <cell r="BI43">
            <v>7022</v>
          </cell>
          <cell r="BJ43">
            <v>5</v>
          </cell>
          <cell r="BK43">
            <v>2</v>
          </cell>
          <cell r="BL43">
            <v>7</v>
          </cell>
          <cell r="BM43">
            <v>10</v>
          </cell>
          <cell r="BN43">
            <v>17</v>
          </cell>
          <cell r="BO43">
            <v>0.29409999999999997</v>
          </cell>
          <cell r="BP43">
            <v>2300</v>
          </cell>
          <cell r="BQ43">
            <v>73288</v>
          </cell>
          <cell r="BT43">
            <v>48336</v>
          </cell>
          <cell r="BV43">
            <v>42194</v>
          </cell>
          <cell r="BZ43">
            <v>42194</v>
          </cell>
          <cell r="CD43">
            <v>58392</v>
          </cell>
          <cell r="CH43">
            <v>32379</v>
          </cell>
          <cell r="CL43">
            <v>34339</v>
          </cell>
          <cell r="CP43">
            <v>50541</v>
          </cell>
          <cell r="CS43">
            <v>34907</v>
          </cell>
          <cell r="CW43">
            <v>38256</v>
          </cell>
          <cell r="DA43">
            <v>28289</v>
          </cell>
          <cell r="DE43">
            <v>31324</v>
          </cell>
          <cell r="DL43">
            <v>34339</v>
          </cell>
          <cell r="DP43">
            <v>28334</v>
          </cell>
          <cell r="DV43">
            <v>1819</v>
          </cell>
          <cell r="DW43">
            <v>1217343</v>
          </cell>
          <cell r="DX43">
            <v>1219162</v>
          </cell>
          <cell r="DY43">
            <v>105804</v>
          </cell>
          <cell r="DZ43">
            <v>0</v>
          </cell>
          <cell r="EA43">
            <v>105804</v>
          </cell>
          <cell r="EB43">
            <v>0</v>
          </cell>
          <cell r="EC43">
            <v>48091</v>
          </cell>
          <cell r="ED43">
            <v>48091</v>
          </cell>
          <cell r="EE43">
            <v>0</v>
          </cell>
          <cell r="EF43">
            <v>1373057</v>
          </cell>
          <cell r="EG43">
            <v>715832</v>
          </cell>
          <cell r="EH43">
            <v>301395</v>
          </cell>
          <cell r="EI43">
            <v>1017227</v>
          </cell>
          <cell r="EJ43">
            <v>63531</v>
          </cell>
          <cell r="EK43">
            <v>33859</v>
          </cell>
          <cell r="EL43">
            <v>15261</v>
          </cell>
          <cell r="EM43">
            <v>112651</v>
          </cell>
          <cell r="EN43">
            <v>193495</v>
          </cell>
          <cell r="EO43">
            <v>1323373</v>
          </cell>
          <cell r="EP43">
            <v>49684</v>
          </cell>
          <cell r="EQ43">
            <v>3.6200000000000003E-2</v>
          </cell>
          <cell r="ER43">
            <v>0</v>
          </cell>
          <cell r="ES43">
            <v>0</v>
          </cell>
          <cell r="ET43">
            <v>0</v>
          </cell>
          <cell r="EU43">
            <v>5046</v>
          </cell>
          <cell r="EV43">
            <v>5046</v>
          </cell>
          <cell r="EW43">
            <v>5046</v>
          </cell>
          <cell r="EX43">
            <v>36016</v>
          </cell>
          <cell r="EY43">
            <v>258356</v>
          </cell>
          <cell r="EZ43">
            <v>43802</v>
          </cell>
          <cell r="FA43">
            <v>4348</v>
          </cell>
          <cell r="FB43">
            <v>24815</v>
          </cell>
          <cell r="FC43">
            <v>47395</v>
          </cell>
          <cell r="FD43">
            <v>9</v>
          </cell>
          <cell r="FE43">
            <v>9917</v>
          </cell>
          <cell r="FF43">
            <v>91197</v>
          </cell>
          <cell r="FG43">
            <v>4357</v>
          </cell>
          <cell r="FH43">
            <v>34732</v>
          </cell>
          <cell r="FI43">
            <v>130286</v>
          </cell>
          <cell r="FJ43">
            <v>153</v>
          </cell>
          <cell r="FK43">
            <v>227</v>
          </cell>
          <cell r="FM43">
            <v>130286</v>
          </cell>
          <cell r="FN43">
            <v>8498</v>
          </cell>
          <cell r="FO43">
            <v>6855</v>
          </cell>
          <cell r="FP43">
            <v>209</v>
          </cell>
          <cell r="FQ43">
            <v>7</v>
          </cell>
          <cell r="FR43">
            <v>88</v>
          </cell>
          <cell r="FS43">
            <v>95</v>
          </cell>
          <cell r="FT43">
            <v>44141</v>
          </cell>
          <cell r="FU43">
            <v>3505</v>
          </cell>
          <cell r="FV43">
            <v>0</v>
          </cell>
          <cell r="FW43">
            <v>0</v>
          </cell>
          <cell r="FX43">
            <v>8544</v>
          </cell>
          <cell r="FY43">
            <v>1573</v>
          </cell>
          <cell r="FZ43">
            <v>322</v>
          </cell>
          <cell r="GA43">
            <v>0</v>
          </cell>
          <cell r="GF43">
            <v>36593</v>
          </cell>
          <cell r="GG43">
            <v>13194</v>
          </cell>
          <cell r="GH43">
            <v>264</v>
          </cell>
          <cell r="GI43">
            <v>12</v>
          </cell>
          <cell r="GJ43">
            <v>150</v>
          </cell>
          <cell r="GK43">
            <v>3700</v>
          </cell>
          <cell r="GL43">
            <v>0</v>
          </cell>
          <cell r="GM43">
            <v>35</v>
          </cell>
          <cell r="GN43">
            <v>89428</v>
          </cell>
          <cell r="GO43">
            <v>21972</v>
          </cell>
          <cell r="GP43">
            <v>586</v>
          </cell>
          <cell r="GQ43">
            <v>47</v>
          </cell>
          <cell r="GR43">
            <v>18</v>
          </cell>
          <cell r="GT43">
            <v>96856</v>
          </cell>
          <cell r="GU43">
            <v>7214</v>
          </cell>
          <cell r="GV43">
            <v>57588</v>
          </cell>
          <cell r="GW43">
            <v>38488</v>
          </cell>
          <cell r="GX43">
            <v>176</v>
          </cell>
          <cell r="GY43">
            <v>11071</v>
          </cell>
          <cell r="GZ43">
            <v>135344</v>
          </cell>
          <cell r="HA43">
            <v>7390</v>
          </cell>
          <cell r="HB43">
            <v>68659</v>
          </cell>
          <cell r="HC43">
            <v>211393</v>
          </cell>
          <cell r="HD43">
            <v>4722</v>
          </cell>
          <cell r="HE43">
            <v>216929</v>
          </cell>
          <cell r="HF43">
            <v>21289</v>
          </cell>
          <cell r="HG43">
            <v>56000</v>
          </cell>
          <cell r="HH43">
            <v>814</v>
          </cell>
          <cell r="HI43">
            <v>336</v>
          </cell>
          <cell r="HJ43">
            <v>77625</v>
          </cell>
          <cell r="HK43">
            <v>294554</v>
          </cell>
          <cell r="HL43">
            <v>20</v>
          </cell>
          <cell r="HM43">
            <v>21521</v>
          </cell>
          <cell r="HN43">
            <v>21541</v>
          </cell>
          <cell r="HO43">
            <v>214</v>
          </cell>
          <cell r="HP43">
            <v>11149</v>
          </cell>
          <cell r="HQ43">
            <v>11363</v>
          </cell>
          <cell r="HR43">
            <v>0</v>
          </cell>
          <cell r="HS43">
            <v>119</v>
          </cell>
          <cell r="HT43">
            <v>119</v>
          </cell>
          <cell r="HU43">
            <v>898</v>
          </cell>
          <cell r="HV43">
            <v>33921</v>
          </cell>
          <cell r="HW43">
            <v>1829</v>
          </cell>
          <cell r="HX43">
            <v>11578</v>
          </cell>
          <cell r="HY43">
            <v>13407</v>
          </cell>
          <cell r="HZ43">
            <v>47328</v>
          </cell>
          <cell r="IA43">
            <v>32652</v>
          </cell>
          <cell r="IB43">
            <v>88771</v>
          </cell>
          <cell r="IC43">
            <v>328475</v>
          </cell>
          <cell r="ID43">
            <v>328475</v>
          </cell>
          <cell r="IE43">
            <v>341882</v>
          </cell>
          <cell r="IF43">
            <v>81577</v>
          </cell>
          <cell r="IG43">
            <v>1040</v>
          </cell>
          <cell r="IJ43">
            <v>2</v>
          </cell>
          <cell r="IK43">
            <v>2.8799999999999999E-2</v>
          </cell>
          <cell r="IL43">
            <v>8.9999999999999998E-4</v>
          </cell>
          <cell r="IM43">
            <v>0.43359999999999999</v>
          </cell>
          <cell r="IN43">
            <v>0</v>
          </cell>
          <cell r="IO43">
            <v>0.34610000000000002</v>
          </cell>
          <cell r="IP43">
            <v>4.0000000000000002E-4</v>
          </cell>
          <cell r="IQ43">
            <v>0.50429999999999997</v>
          </cell>
          <cell r="IR43">
            <v>0.1179</v>
          </cell>
          <cell r="IS43">
            <v>0.24840000000000001</v>
          </cell>
          <cell r="IT43">
            <v>33004</v>
          </cell>
          <cell r="IU43">
            <v>6102</v>
          </cell>
          <cell r="IV43">
            <v>39106</v>
          </cell>
          <cell r="IW43">
            <v>0.64500000000000002</v>
          </cell>
          <cell r="IX43">
            <v>266104</v>
          </cell>
          <cell r="IZ43">
            <v>426</v>
          </cell>
          <cell r="JA43">
            <v>6</v>
          </cell>
          <cell r="JB43">
            <v>468</v>
          </cell>
          <cell r="JC43">
            <v>28</v>
          </cell>
          <cell r="JD43">
            <v>0</v>
          </cell>
          <cell r="JE43">
            <v>71</v>
          </cell>
          <cell r="JF43">
            <v>454</v>
          </cell>
          <cell r="JG43">
            <v>6</v>
          </cell>
          <cell r="JH43">
            <v>539</v>
          </cell>
          <cell r="JI43">
            <v>999</v>
          </cell>
          <cell r="JJ43">
            <v>900</v>
          </cell>
          <cell r="JK43">
            <v>99</v>
          </cell>
          <cell r="JL43">
            <v>4506</v>
          </cell>
          <cell r="JM43">
            <v>157</v>
          </cell>
          <cell r="JN43">
            <v>9882</v>
          </cell>
          <cell r="JO43">
            <v>484</v>
          </cell>
          <cell r="JP43">
            <v>0</v>
          </cell>
          <cell r="JQ43">
            <v>2116</v>
          </cell>
          <cell r="JR43">
            <v>4990</v>
          </cell>
          <cell r="JS43">
            <v>157</v>
          </cell>
          <cell r="JT43">
            <v>11998</v>
          </cell>
          <cell r="JU43">
            <v>17145</v>
          </cell>
          <cell r="JV43">
            <v>14545</v>
          </cell>
          <cell r="JW43">
            <v>2600</v>
          </cell>
          <cell r="JX43">
            <v>17.16</v>
          </cell>
          <cell r="JY43">
            <v>10.99</v>
          </cell>
          <cell r="JZ43">
            <v>22.26</v>
          </cell>
          <cell r="KA43">
            <v>0.28999999999999998</v>
          </cell>
          <cell r="KB43">
            <v>0.7</v>
          </cell>
          <cell r="KC43">
            <v>9</v>
          </cell>
          <cell r="KD43">
            <v>81</v>
          </cell>
          <cell r="KE43">
            <v>75</v>
          </cell>
          <cell r="KF43">
            <v>100</v>
          </cell>
          <cell r="KG43">
            <v>252</v>
          </cell>
          <cell r="KH43">
            <v>2716</v>
          </cell>
          <cell r="KK43">
            <v>6</v>
          </cell>
          <cell r="KL43">
            <v>48</v>
          </cell>
          <cell r="KM43">
            <v>894</v>
          </cell>
          <cell r="KN43">
            <v>5000</v>
          </cell>
          <cell r="KO43">
            <v>104</v>
          </cell>
          <cell r="KQ43">
            <v>1552</v>
          </cell>
          <cell r="KR43">
            <v>19249</v>
          </cell>
          <cell r="KS43">
            <v>26476</v>
          </cell>
          <cell r="KT43">
            <v>28146</v>
          </cell>
          <cell r="KU43">
            <v>28</v>
          </cell>
          <cell r="KV43">
            <v>38</v>
          </cell>
          <cell r="KW43">
            <v>25013</v>
          </cell>
          <cell r="KY43">
            <v>117475</v>
          </cell>
          <cell r="KZ43">
            <v>3860</v>
          </cell>
          <cell r="LC43" t="str">
            <v>HAYWOOD COUNTY PUBLIC LIBRARY</v>
          </cell>
          <cell r="LD43" t="str">
            <v>County Owned</v>
          </cell>
          <cell r="LE43" t="str">
            <v>678 S HAYWOOD ST</v>
          </cell>
          <cell r="LF43" t="str">
            <v>WAYNESVILLE</v>
          </cell>
          <cell r="LG43">
            <v>28786</v>
          </cell>
          <cell r="LH43">
            <v>3197</v>
          </cell>
          <cell r="LI43" t="str">
            <v>678 S HAYWOOD ST</v>
          </cell>
          <cell r="LJ43" t="str">
            <v>WAYNESVILLE</v>
          </cell>
          <cell r="LK43">
            <v>28786</v>
          </cell>
          <cell r="LL43">
            <v>3197</v>
          </cell>
          <cell r="LM43" t="str">
            <v>HAYWOOD</v>
          </cell>
          <cell r="LN43">
            <v>8284525169</v>
          </cell>
          <cell r="LO43">
            <v>8284526746</v>
          </cell>
          <cell r="LP43">
            <v>34328</v>
          </cell>
          <cell r="LQ43">
            <v>17</v>
          </cell>
          <cell r="LS43">
            <v>7022</v>
          </cell>
          <cell r="LT43">
            <v>208</v>
          </cell>
          <cell r="LW43">
            <v>2</v>
          </cell>
          <cell r="LX43" t="str">
            <v>C-HAYWOOD-H</v>
          </cell>
          <cell r="LY43">
            <v>0</v>
          </cell>
          <cell r="LZ43" t="str">
            <v>CE</v>
          </cell>
          <cell r="MA43">
            <v>94.62</v>
          </cell>
          <cell r="MB43">
            <v>94.56</v>
          </cell>
        </row>
        <row r="44">
          <cell r="A44" t="str">
            <v>NC0039</v>
          </cell>
          <cell r="B44">
            <v>0</v>
          </cell>
          <cell r="C44">
            <v>1375</v>
          </cell>
          <cell r="D44">
            <v>2017</v>
          </cell>
          <cell r="E44">
            <v>0</v>
          </cell>
          <cell r="F44" t="str">
            <v>NC0039</v>
          </cell>
          <cell r="G44" t="str">
            <v>C-HENDERSON</v>
          </cell>
          <cell r="H44" t="str">
            <v>NO</v>
          </cell>
          <cell r="I44" t="str">
            <v>CO</v>
          </cell>
          <cell r="J44" t="str">
            <v>MO</v>
          </cell>
          <cell r="K44" t="str">
            <v>Y</v>
          </cell>
          <cell r="L44" t="str">
            <v>CO1</v>
          </cell>
          <cell r="M44" t="str">
            <v>N</v>
          </cell>
          <cell r="N44">
            <v>112511</v>
          </cell>
          <cell r="O44" t="str">
            <v>Yes</v>
          </cell>
          <cell r="P44">
            <v>1947</v>
          </cell>
          <cell r="Q44">
            <v>480</v>
          </cell>
          <cell r="R44">
            <v>131</v>
          </cell>
          <cell r="S44">
            <v>30</v>
          </cell>
          <cell r="T44">
            <v>4454</v>
          </cell>
          <cell r="U44">
            <v>396</v>
          </cell>
          <cell r="V44">
            <v>69251</v>
          </cell>
          <cell r="W44">
            <v>12345</v>
          </cell>
          <cell r="X44">
            <v>345600</v>
          </cell>
          <cell r="Y44">
            <v>131250</v>
          </cell>
          <cell r="Z44" t="str">
            <v>301 N WASHINGTON ST</v>
          </cell>
          <cell r="AA44" t="str">
            <v>HENDERSONVILLE</v>
          </cell>
          <cell r="AB44">
            <v>28739</v>
          </cell>
          <cell r="AC44">
            <v>4300</v>
          </cell>
          <cell r="AD44" t="str">
            <v>301 N WASHINGTON ST</v>
          </cell>
          <cell r="AE44" t="str">
            <v>HENDERSONVILLE</v>
          </cell>
          <cell r="AF44">
            <v>28739</v>
          </cell>
          <cell r="AG44">
            <v>3</v>
          </cell>
          <cell r="AH44" t="str">
            <v>HENDERSON COUNTY PUBLIC LIBRARY</v>
          </cell>
          <cell r="AJ44" t="str">
            <v>County</v>
          </cell>
          <cell r="AK44" t="str">
            <v>HENDERSON</v>
          </cell>
          <cell r="AL44" t="str">
            <v>Trina Rushing</v>
          </cell>
          <cell r="AM44" t="str">
            <v>(828) 697-4725</v>
          </cell>
          <cell r="AN44" t="str">
            <v>(828) 692-8449</v>
          </cell>
          <cell r="AO44" t="str">
            <v>trushing@henderson.lib.nc.us</v>
          </cell>
          <cell r="AP44" t="str">
            <v>Trina Rushing</v>
          </cell>
          <cell r="AQ44" t="str">
            <v>Library Director</v>
          </cell>
          <cell r="AR44" t="str">
            <v>(828) 697-4725</v>
          </cell>
          <cell r="AS44" t="str">
            <v>(828) 692-8449</v>
          </cell>
          <cell r="AT44" t="str">
            <v>trushing@hendersoncountync.org</v>
          </cell>
          <cell r="AU44" t="str">
            <v>www.henderson.lib.nc.us</v>
          </cell>
          <cell r="BC44">
            <v>1</v>
          </cell>
          <cell r="BD44">
            <v>5</v>
          </cell>
          <cell r="BE44">
            <v>0</v>
          </cell>
          <cell r="BF44">
            <v>0</v>
          </cell>
          <cell r="BG44">
            <v>6</v>
          </cell>
          <cell r="BI44">
            <v>13600</v>
          </cell>
          <cell r="BJ44">
            <v>9.3800000000000008</v>
          </cell>
          <cell r="BK44">
            <v>0</v>
          </cell>
          <cell r="BL44">
            <v>9.3800000000000008</v>
          </cell>
          <cell r="BM44">
            <v>27.02</v>
          </cell>
          <cell r="BN44">
            <v>36.4</v>
          </cell>
          <cell r="BO44">
            <v>0.25769999999999998</v>
          </cell>
          <cell r="BP44">
            <v>16771</v>
          </cell>
          <cell r="BQ44">
            <v>79567</v>
          </cell>
          <cell r="BU44">
            <v>31551</v>
          </cell>
          <cell r="BV44">
            <v>42413</v>
          </cell>
          <cell r="BW44">
            <v>36769</v>
          </cell>
          <cell r="BY44">
            <v>47805</v>
          </cell>
          <cell r="BZ44">
            <v>47805</v>
          </cell>
          <cell r="CA44">
            <v>47805</v>
          </cell>
          <cell r="CC44">
            <v>45862</v>
          </cell>
          <cell r="CD44">
            <v>48310</v>
          </cell>
          <cell r="CE44">
            <v>47086</v>
          </cell>
          <cell r="CG44">
            <v>53343</v>
          </cell>
          <cell r="CH44">
            <v>53343</v>
          </cell>
          <cell r="CI44">
            <v>53343</v>
          </cell>
          <cell r="CK44">
            <v>36036</v>
          </cell>
          <cell r="CL44">
            <v>36036</v>
          </cell>
          <cell r="CM44">
            <v>36036</v>
          </cell>
          <cell r="CR44">
            <v>40010</v>
          </cell>
          <cell r="CS44">
            <v>40010</v>
          </cell>
          <cell r="CT44">
            <v>40010</v>
          </cell>
          <cell r="CV44">
            <v>44193</v>
          </cell>
          <cell r="CW44">
            <v>45727</v>
          </cell>
          <cell r="CX44">
            <v>44960</v>
          </cell>
          <cell r="CZ44">
            <v>30869</v>
          </cell>
          <cell r="DA44">
            <v>37889</v>
          </cell>
          <cell r="DB44">
            <v>34574</v>
          </cell>
          <cell r="DH44">
            <v>42296</v>
          </cell>
          <cell r="DI44">
            <v>42296</v>
          </cell>
          <cell r="DJ44">
            <v>42296</v>
          </cell>
          <cell r="DO44">
            <v>24726</v>
          </cell>
          <cell r="DP44">
            <v>29582</v>
          </cell>
          <cell r="DQ44">
            <v>27062</v>
          </cell>
          <cell r="DV44">
            <v>0</v>
          </cell>
          <cell r="DW44">
            <v>2796071</v>
          </cell>
          <cell r="DX44">
            <v>2796071</v>
          </cell>
          <cell r="DY44">
            <v>139801</v>
          </cell>
          <cell r="DZ44">
            <v>0</v>
          </cell>
          <cell r="EA44">
            <v>139801</v>
          </cell>
          <cell r="EB44">
            <v>1156</v>
          </cell>
          <cell r="EC44">
            <v>0</v>
          </cell>
          <cell r="ED44">
            <v>1156</v>
          </cell>
          <cell r="EE44">
            <v>139759</v>
          </cell>
          <cell r="EF44">
            <v>3076787</v>
          </cell>
          <cell r="EG44">
            <v>1501663</v>
          </cell>
          <cell r="EH44">
            <v>682070</v>
          </cell>
          <cell r="EI44">
            <v>2183733</v>
          </cell>
          <cell r="EJ44">
            <v>329649</v>
          </cell>
          <cell r="EK44">
            <v>99267</v>
          </cell>
          <cell r="EL44">
            <v>43466</v>
          </cell>
          <cell r="EM44">
            <v>472382</v>
          </cell>
          <cell r="EN44">
            <v>284278</v>
          </cell>
          <cell r="EO44">
            <v>2940393</v>
          </cell>
          <cell r="EP44">
            <v>136394</v>
          </cell>
          <cell r="EQ44">
            <v>4.4299999999999999E-2</v>
          </cell>
          <cell r="ER44">
            <v>0</v>
          </cell>
          <cell r="ES44">
            <v>0</v>
          </cell>
          <cell r="ET44">
            <v>0</v>
          </cell>
          <cell r="EU44">
            <v>0</v>
          </cell>
          <cell r="EV44">
            <v>0</v>
          </cell>
          <cell r="EW44">
            <v>0</v>
          </cell>
          <cell r="EX44">
            <v>50007</v>
          </cell>
          <cell r="EY44">
            <v>400455</v>
          </cell>
          <cell r="EZ44">
            <v>92658</v>
          </cell>
          <cell r="FA44">
            <v>10641</v>
          </cell>
          <cell r="FB44">
            <v>52735</v>
          </cell>
          <cell r="FC44">
            <v>71485</v>
          </cell>
          <cell r="FD44">
            <v>3617</v>
          </cell>
          <cell r="FE44">
            <v>24594</v>
          </cell>
          <cell r="FF44">
            <v>164143</v>
          </cell>
          <cell r="FG44">
            <v>14258</v>
          </cell>
          <cell r="FH44">
            <v>77329</v>
          </cell>
          <cell r="FI44">
            <v>255730</v>
          </cell>
          <cell r="FJ44">
            <v>854</v>
          </cell>
          <cell r="FK44">
            <v>314</v>
          </cell>
          <cell r="FM44">
            <v>255730</v>
          </cell>
          <cell r="FN44">
            <v>13663</v>
          </cell>
          <cell r="FO44">
            <v>17995</v>
          </cell>
          <cell r="FP44">
            <v>42</v>
          </cell>
          <cell r="FQ44">
            <v>9</v>
          </cell>
          <cell r="FR44">
            <v>88</v>
          </cell>
          <cell r="FS44">
            <v>97</v>
          </cell>
          <cell r="FT44">
            <v>44141</v>
          </cell>
          <cell r="FU44">
            <v>3505</v>
          </cell>
          <cell r="FV44">
            <v>0</v>
          </cell>
          <cell r="FW44">
            <v>0</v>
          </cell>
          <cell r="FX44">
            <v>8544</v>
          </cell>
          <cell r="FY44">
            <v>1573</v>
          </cell>
          <cell r="FZ44">
            <v>322</v>
          </cell>
          <cell r="GA44">
            <v>0</v>
          </cell>
          <cell r="GE44">
            <v>0</v>
          </cell>
          <cell r="GF44">
            <v>36593</v>
          </cell>
          <cell r="GG44">
            <v>13194</v>
          </cell>
          <cell r="GH44">
            <v>264</v>
          </cell>
          <cell r="GI44">
            <v>12</v>
          </cell>
          <cell r="GJ44">
            <v>2153</v>
          </cell>
          <cell r="GK44">
            <v>1386</v>
          </cell>
          <cell r="GL44">
            <v>0</v>
          </cell>
          <cell r="GM44">
            <v>73</v>
          </cell>
          <cell r="GN44">
            <v>91431</v>
          </cell>
          <cell r="GO44">
            <v>19658</v>
          </cell>
          <cell r="GP44">
            <v>586</v>
          </cell>
          <cell r="GQ44">
            <v>85</v>
          </cell>
          <cell r="GR44">
            <v>24</v>
          </cell>
          <cell r="GT44">
            <v>241589</v>
          </cell>
          <cell r="GU44">
            <v>18989</v>
          </cell>
          <cell r="GV44">
            <v>156894</v>
          </cell>
          <cell r="GW44">
            <v>96491</v>
          </cell>
          <cell r="GX44">
            <v>2888</v>
          </cell>
          <cell r="GY44">
            <v>38720</v>
          </cell>
          <cell r="GZ44">
            <v>338080</v>
          </cell>
          <cell r="HA44">
            <v>21877</v>
          </cell>
          <cell r="HB44">
            <v>195614</v>
          </cell>
          <cell r="HC44">
            <v>555571</v>
          </cell>
          <cell r="HD44">
            <v>3336</v>
          </cell>
          <cell r="HE44">
            <v>561050</v>
          </cell>
          <cell r="HF44">
            <v>53098</v>
          </cell>
          <cell r="HG44">
            <v>200133</v>
          </cell>
          <cell r="HH44">
            <v>2143</v>
          </cell>
          <cell r="HI44">
            <v>357</v>
          </cell>
          <cell r="HJ44">
            <v>253588</v>
          </cell>
          <cell r="HK44">
            <v>814638</v>
          </cell>
          <cell r="HL44">
            <v>46</v>
          </cell>
          <cell r="HM44">
            <v>57240</v>
          </cell>
          <cell r="HN44">
            <v>57286</v>
          </cell>
          <cell r="HO44">
            <v>508</v>
          </cell>
          <cell r="HP44">
            <v>32528</v>
          </cell>
          <cell r="HQ44">
            <v>33036</v>
          </cell>
          <cell r="HR44">
            <v>0</v>
          </cell>
          <cell r="HS44">
            <v>504</v>
          </cell>
          <cell r="HT44">
            <v>504</v>
          </cell>
          <cell r="HU44">
            <v>1590</v>
          </cell>
          <cell r="HV44">
            <v>92416</v>
          </cell>
          <cell r="HW44">
            <v>77228</v>
          </cell>
          <cell r="HX44">
            <v>72046</v>
          </cell>
          <cell r="HY44">
            <v>149274</v>
          </cell>
          <cell r="HZ44">
            <v>241690</v>
          </cell>
          <cell r="IA44">
            <v>86134</v>
          </cell>
          <cell r="IB44">
            <v>286771</v>
          </cell>
          <cell r="IC44">
            <v>907054</v>
          </cell>
          <cell r="ID44">
            <v>907054</v>
          </cell>
          <cell r="IE44">
            <v>1056328</v>
          </cell>
          <cell r="IF44">
            <v>271765</v>
          </cell>
          <cell r="IG44">
            <v>504</v>
          </cell>
          <cell r="IJ44">
            <v>1</v>
          </cell>
          <cell r="IK44">
            <v>4.6399999999999997E-2</v>
          </cell>
          <cell r="IL44">
            <v>8.0000000000000004E-4</v>
          </cell>
          <cell r="IM44">
            <v>0.27910000000000001</v>
          </cell>
          <cell r="IN44">
            <v>0</v>
          </cell>
          <cell r="IO44">
            <v>0.2283</v>
          </cell>
          <cell r="IP44">
            <v>2.0000000000000001E-4</v>
          </cell>
          <cell r="IQ44">
            <v>0.63859999999999995</v>
          </cell>
          <cell r="IR44">
            <v>8.3199999999999996E-2</v>
          </cell>
          <cell r="IS44">
            <v>0.29959999999999998</v>
          </cell>
          <cell r="IT44">
            <v>61693</v>
          </cell>
          <cell r="IU44">
            <v>12331</v>
          </cell>
          <cell r="IV44">
            <v>74024</v>
          </cell>
          <cell r="IW44">
            <v>0.65790000000000004</v>
          </cell>
          <cell r="IX44">
            <v>571475</v>
          </cell>
          <cell r="IZ44">
            <v>567</v>
          </cell>
          <cell r="JA44">
            <v>63</v>
          </cell>
          <cell r="JB44">
            <v>602</v>
          </cell>
          <cell r="JC44">
            <v>2</v>
          </cell>
          <cell r="JD44">
            <v>0</v>
          </cell>
          <cell r="JE44">
            <v>53</v>
          </cell>
          <cell r="JF44">
            <v>569</v>
          </cell>
          <cell r="JG44">
            <v>63</v>
          </cell>
          <cell r="JH44">
            <v>655</v>
          </cell>
          <cell r="JI44">
            <v>1287</v>
          </cell>
          <cell r="JJ44">
            <v>1232</v>
          </cell>
          <cell r="JK44">
            <v>55</v>
          </cell>
          <cell r="JL44">
            <v>6994</v>
          </cell>
          <cell r="JM44">
            <v>430</v>
          </cell>
          <cell r="JN44">
            <v>18353</v>
          </cell>
          <cell r="JO44">
            <v>142</v>
          </cell>
          <cell r="JP44">
            <v>0</v>
          </cell>
          <cell r="JQ44">
            <v>3103</v>
          </cell>
          <cell r="JR44">
            <v>7136</v>
          </cell>
          <cell r="JS44">
            <v>430</v>
          </cell>
          <cell r="JT44">
            <v>21456</v>
          </cell>
          <cell r="JU44">
            <v>29022</v>
          </cell>
          <cell r="JV44">
            <v>25777</v>
          </cell>
          <cell r="JW44">
            <v>3245</v>
          </cell>
          <cell r="JX44">
            <v>22.55</v>
          </cell>
          <cell r="JY44">
            <v>12.54</v>
          </cell>
          <cell r="JZ44">
            <v>32.76</v>
          </cell>
          <cell r="KA44">
            <v>0.25</v>
          </cell>
          <cell r="KB44">
            <v>0.74</v>
          </cell>
          <cell r="KC44">
            <v>4</v>
          </cell>
          <cell r="KD44">
            <v>11</v>
          </cell>
          <cell r="KE44">
            <v>47</v>
          </cell>
          <cell r="KF44">
            <v>241</v>
          </cell>
          <cell r="KG44">
            <v>392</v>
          </cell>
          <cell r="KH44">
            <v>11832</v>
          </cell>
          <cell r="KI44">
            <v>0</v>
          </cell>
          <cell r="KJ44">
            <v>0</v>
          </cell>
          <cell r="KK44">
            <v>104</v>
          </cell>
          <cell r="KL44">
            <v>2443</v>
          </cell>
          <cell r="KM44">
            <v>115372</v>
          </cell>
          <cell r="KN44">
            <v>29791</v>
          </cell>
          <cell r="KO44">
            <v>4171</v>
          </cell>
          <cell r="KQ44">
            <v>6212</v>
          </cell>
          <cell r="KS44">
            <v>28191</v>
          </cell>
          <cell r="KT44">
            <v>28800</v>
          </cell>
          <cell r="KU44">
            <v>52</v>
          </cell>
          <cell r="KV44">
            <v>77</v>
          </cell>
          <cell r="KW44">
            <v>55152</v>
          </cell>
          <cell r="KY44">
            <v>178736</v>
          </cell>
          <cell r="KZ44">
            <v>33314</v>
          </cell>
          <cell r="LC44" t="str">
            <v>HENDERSON COUNTY PUBLIC LIBRARY</v>
          </cell>
          <cell r="LD44" t="str">
            <v>County Owned</v>
          </cell>
          <cell r="LE44" t="str">
            <v>301 N WASHINGTON ST</v>
          </cell>
          <cell r="LF44" t="str">
            <v>HENDERSONVILLE</v>
          </cell>
          <cell r="LG44">
            <v>28739</v>
          </cell>
          <cell r="LH44">
            <v>4300</v>
          </cell>
          <cell r="LI44" t="str">
            <v>301 N WASHINGTON ST</v>
          </cell>
          <cell r="LJ44" t="str">
            <v>HENDERSONVILLE</v>
          </cell>
          <cell r="LK44">
            <v>28739</v>
          </cell>
          <cell r="LL44">
            <v>4300</v>
          </cell>
          <cell r="LM44" t="str">
            <v>HENDERSON</v>
          </cell>
          <cell r="LN44">
            <v>8286974725</v>
          </cell>
          <cell r="LO44">
            <v>8286928449</v>
          </cell>
          <cell r="LP44">
            <v>61790</v>
          </cell>
          <cell r="LQ44">
            <v>36.4</v>
          </cell>
          <cell r="LS44">
            <v>13600</v>
          </cell>
          <cell r="LT44">
            <v>312</v>
          </cell>
          <cell r="LW44">
            <v>2</v>
          </cell>
          <cell r="LX44" t="str">
            <v>C-HENDERSON-H</v>
          </cell>
          <cell r="LY44">
            <v>0</v>
          </cell>
          <cell r="LZ44" t="str">
            <v>CE</v>
          </cell>
          <cell r="MA44">
            <v>60.75</v>
          </cell>
          <cell r="MB44">
            <v>33.56</v>
          </cell>
        </row>
        <row r="45">
          <cell r="A45" t="str">
            <v>NC0079</v>
          </cell>
          <cell r="B45">
            <v>0</v>
          </cell>
          <cell r="C45">
            <v>1375</v>
          </cell>
          <cell r="D45">
            <v>2017</v>
          </cell>
          <cell r="E45">
            <v>0</v>
          </cell>
          <cell r="F45" t="str">
            <v>NC0079</v>
          </cell>
          <cell r="G45" t="str">
            <v>M-HICKORY</v>
          </cell>
          <cell r="H45" t="str">
            <v>NO</v>
          </cell>
          <cell r="I45" t="str">
            <v>CI</v>
          </cell>
          <cell r="J45" t="str">
            <v>MO</v>
          </cell>
          <cell r="K45" t="str">
            <v>Y</v>
          </cell>
          <cell r="L45" t="str">
            <v>CI1</v>
          </cell>
          <cell r="M45" t="str">
            <v>N</v>
          </cell>
          <cell r="N45">
            <v>40374</v>
          </cell>
          <cell r="O45" t="str">
            <v>Yes</v>
          </cell>
          <cell r="P45">
            <v>1066</v>
          </cell>
          <cell r="Q45">
            <v>298</v>
          </cell>
          <cell r="R45">
            <v>117</v>
          </cell>
          <cell r="S45">
            <v>6</v>
          </cell>
          <cell r="T45">
            <v>5795</v>
          </cell>
          <cell r="U45">
            <v>85</v>
          </cell>
          <cell r="V45">
            <v>30787</v>
          </cell>
          <cell r="W45">
            <v>3377</v>
          </cell>
          <cell r="Z45" t="str">
            <v>375 3RD ST NE</v>
          </cell>
          <cell r="AA45" t="str">
            <v>HICKORY</v>
          </cell>
          <cell r="AB45">
            <v>28601</v>
          </cell>
          <cell r="AC45">
            <v>5126</v>
          </cell>
          <cell r="AD45" t="str">
            <v>375 3RD ST NE</v>
          </cell>
          <cell r="AE45" t="str">
            <v>HICKORY</v>
          </cell>
          <cell r="AF45">
            <v>28601</v>
          </cell>
          <cell r="AG45">
            <v>2</v>
          </cell>
          <cell r="AH45" t="str">
            <v>HICKORY PUBLIC LIBRARY</v>
          </cell>
          <cell r="AJ45" t="str">
            <v>Municipal</v>
          </cell>
          <cell r="AK45" t="str">
            <v>CATAWBA</v>
          </cell>
          <cell r="AL45" t="str">
            <v>Sarah Greene</v>
          </cell>
          <cell r="AM45" t="str">
            <v>(828) 261-2275</v>
          </cell>
          <cell r="AN45" t="str">
            <v>(828) 304-0023</v>
          </cell>
          <cell r="AO45" t="str">
            <v>sgreene@hickorync.gov</v>
          </cell>
          <cell r="AP45" t="str">
            <v>Viveca Huffman</v>
          </cell>
          <cell r="AQ45" t="str">
            <v>Administrative Assistant/Budget Manager</v>
          </cell>
          <cell r="AR45" t="str">
            <v>(828) 261-2276</v>
          </cell>
          <cell r="AS45" t="str">
            <v>(828) 304-0023</v>
          </cell>
          <cell r="AT45" t="str">
            <v>vhuffman@hickorync.gov</v>
          </cell>
          <cell r="AU45" t="str">
            <v>www.hickorync.gov/library</v>
          </cell>
          <cell r="BC45">
            <v>1</v>
          </cell>
          <cell r="BD45">
            <v>1</v>
          </cell>
          <cell r="BE45">
            <v>0</v>
          </cell>
          <cell r="BF45">
            <v>2</v>
          </cell>
          <cell r="BG45">
            <v>4</v>
          </cell>
          <cell r="BI45">
            <v>6656</v>
          </cell>
          <cell r="BJ45">
            <v>6.56</v>
          </cell>
          <cell r="BK45">
            <v>0.94</v>
          </cell>
          <cell r="BL45">
            <v>7.5</v>
          </cell>
          <cell r="BM45">
            <v>17.440000000000001</v>
          </cell>
          <cell r="BN45">
            <v>24.94</v>
          </cell>
          <cell r="BO45">
            <v>0.26300000000000001</v>
          </cell>
          <cell r="BP45">
            <v>455</v>
          </cell>
          <cell r="BQ45">
            <v>72758</v>
          </cell>
          <cell r="BU45">
            <v>44890</v>
          </cell>
          <cell r="BV45">
            <v>67334</v>
          </cell>
          <cell r="BW45">
            <v>56112</v>
          </cell>
          <cell r="BY45">
            <v>52058</v>
          </cell>
          <cell r="BZ45">
            <v>78087</v>
          </cell>
          <cell r="CA45">
            <v>65073</v>
          </cell>
          <cell r="CC45">
            <v>52058</v>
          </cell>
          <cell r="CD45">
            <v>78087</v>
          </cell>
          <cell r="CE45">
            <v>65073</v>
          </cell>
          <cell r="CK45">
            <v>35068</v>
          </cell>
          <cell r="CL45">
            <v>52602</v>
          </cell>
          <cell r="CM45">
            <v>43835</v>
          </cell>
          <cell r="CR45">
            <v>40667</v>
          </cell>
          <cell r="CS45">
            <v>61002</v>
          </cell>
          <cell r="CV45">
            <v>40667</v>
          </cell>
          <cell r="CW45">
            <v>61002</v>
          </cell>
          <cell r="DK45">
            <v>35087</v>
          </cell>
          <cell r="DL45">
            <v>52601</v>
          </cell>
          <cell r="DO45">
            <v>27395</v>
          </cell>
          <cell r="DP45">
            <v>41092</v>
          </cell>
          <cell r="DV45">
            <v>1540275</v>
          </cell>
          <cell r="DW45">
            <v>219000</v>
          </cell>
          <cell r="DX45">
            <v>1759275</v>
          </cell>
          <cell r="DY45">
            <v>26804</v>
          </cell>
          <cell r="DZ45">
            <v>0</v>
          </cell>
          <cell r="EA45">
            <v>26804</v>
          </cell>
          <cell r="EB45">
            <v>0</v>
          </cell>
          <cell r="EC45">
            <v>0</v>
          </cell>
          <cell r="ED45">
            <v>0</v>
          </cell>
          <cell r="EE45">
            <v>87300</v>
          </cell>
          <cell r="EF45">
            <v>1873379</v>
          </cell>
          <cell r="EG45">
            <v>942450</v>
          </cell>
          <cell r="EH45">
            <v>220259</v>
          </cell>
          <cell r="EI45">
            <v>1162709</v>
          </cell>
          <cell r="EJ45">
            <v>168269</v>
          </cell>
          <cell r="EK45">
            <v>37328</v>
          </cell>
          <cell r="EL45">
            <v>49883</v>
          </cell>
          <cell r="EM45">
            <v>255480</v>
          </cell>
          <cell r="EN45">
            <v>455190</v>
          </cell>
          <cell r="EO45">
            <v>1873379</v>
          </cell>
          <cell r="EP45">
            <v>0</v>
          </cell>
          <cell r="EQ45">
            <v>0</v>
          </cell>
          <cell r="ER45">
            <v>133276</v>
          </cell>
          <cell r="ES45">
            <v>0</v>
          </cell>
          <cell r="ET45">
            <v>0</v>
          </cell>
          <cell r="EU45">
            <v>0</v>
          </cell>
          <cell r="EV45">
            <v>133276</v>
          </cell>
          <cell r="EW45">
            <v>133276</v>
          </cell>
          <cell r="EX45">
            <v>55721</v>
          </cell>
          <cell r="EY45">
            <v>323296</v>
          </cell>
          <cell r="EZ45">
            <v>37700</v>
          </cell>
          <cell r="FA45">
            <v>4461</v>
          </cell>
          <cell r="FB45">
            <v>23706</v>
          </cell>
          <cell r="FC45">
            <v>33987</v>
          </cell>
          <cell r="FD45">
            <v>2536</v>
          </cell>
          <cell r="FE45">
            <v>15815</v>
          </cell>
          <cell r="FF45">
            <v>71687</v>
          </cell>
          <cell r="FG45">
            <v>6997</v>
          </cell>
          <cell r="FH45">
            <v>39521</v>
          </cell>
          <cell r="FI45">
            <v>118205</v>
          </cell>
          <cell r="FJ45">
            <v>0</v>
          </cell>
          <cell r="FK45">
            <v>219</v>
          </cell>
          <cell r="FM45">
            <v>118205</v>
          </cell>
          <cell r="FN45">
            <v>9003</v>
          </cell>
          <cell r="FO45">
            <v>13119</v>
          </cell>
          <cell r="FP45">
            <v>0</v>
          </cell>
          <cell r="FQ45">
            <v>6</v>
          </cell>
          <cell r="FR45">
            <v>88</v>
          </cell>
          <cell r="FS45">
            <v>94</v>
          </cell>
          <cell r="FT45">
            <v>44141</v>
          </cell>
          <cell r="FU45">
            <v>3505</v>
          </cell>
          <cell r="FV45">
            <v>0</v>
          </cell>
          <cell r="FW45">
            <v>0</v>
          </cell>
          <cell r="FX45">
            <v>8544</v>
          </cell>
          <cell r="FY45">
            <v>1573</v>
          </cell>
          <cell r="FZ45">
            <v>322</v>
          </cell>
          <cell r="GA45">
            <v>0</v>
          </cell>
          <cell r="GE45">
            <v>0</v>
          </cell>
          <cell r="GF45">
            <v>36593</v>
          </cell>
          <cell r="GG45">
            <v>13194</v>
          </cell>
          <cell r="GH45">
            <v>264</v>
          </cell>
          <cell r="GI45">
            <v>12</v>
          </cell>
          <cell r="GJ45">
            <v>57872</v>
          </cell>
          <cell r="GK45">
            <v>4441</v>
          </cell>
          <cell r="GL45">
            <v>12195</v>
          </cell>
          <cell r="GM45">
            <v>0</v>
          </cell>
          <cell r="GN45">
            <v>147150</v>
          </cell>
          <cell r="GO45">
            <v>22713</v>
          </cell>
          <cell r="GP45">
            <v>12781</v>
          </cell>
          <cell r="GQ45">
            <v>12</v>
          </cell>
          <cell r="GR45">
            <v>30</v>
          </cell>
          <cell r="GT45">
            <v>88350</v>
          </cell>
          <cell r="GU45">
            <v>9100</v>
          </cell>
          <cell r="GV45">
            <v>84987</v>
          </cell>
          <cell r="GW45">
            <v>18763</v>
          </cell>
          <cell r="GX45">
            <v>832</v>
          </cell>
          <cell r="GY45">
            <v>16158</v>
          </cell>
          <cell r="GZ45">
            <v>107113</v>
          </cell>
          <cell r="HA45">
            <v>9932</v>
          </cell>
          <cell r="HB45">
            <v>101145</v>
          </cell>
          <cell r="HC45">
            <v>218190</v>
          </cell>
          <cell r="HD45">
            <v>1675</v>
          </cell>
          <cell r="HE45">
            <v>219865</v>
          </cell>
          <cell r="HF45">
            <v>23216</v>
          </cell>
          <cell r="HG45">
            <v>95596</v>
          </cell>
          <cell r="HJ45">
            <v>118812</v>
          </cell>
          <cell r="HK45">
            <v>338677</v>
          </cell>
          <cell r="HL45">
            <v>196</v>
          </cell>
          <cell r="HM45">
            <v>11049</v>
          </cell>
          <cell r="HN45">
            <v>11245</v>
          </cell>
          <cell r="HO45">
            <v>43</v>
          </cell>
          <cell r="HP45">
            <v>7769</v>
          </cell>
          <cell r="HQ45">
            <v>7812</v>
          </cell>
          <cell r="HR45">
            <v>0</v>
          </cell>
          <cell r="HS45">
            <v>96</v>
          </cell>
          <cell r="HT45">
            <v>96</v>
          </cell>
          <cell r="HU45">
            <v>415</v>
          </cell>
          <cell r="HV45">
            <v>19568</v>
          </cell>
          <cell r="HW45">
            <v>46331</v>
          </cell>
          <cell r="HY45">
            <v>46331</v>
          </cell>
          <cell r="HZ45">
            <v>65899</v>
          </cell>
          <cell r="IA45">
            <v>31028</v>
          </cell>
          <cell r="IB45">
            <v>126720</v>
          </cell>
          <cell r="IC45">
            <v>358245</v>
          </cell>
          <cell r="ID45">
            <v>358245</v>
          </cell>
          <cell r="IE45">
            <v>404576</v>
          </cell>
          <cell r="IF45">
            <v>142907</v>
          </cell>
          <cell r="IG45">
            <v>248</v>
          </cell>
          <cell r="IJ45">
            <v>1</v>
          </cell>
          <cell r="IK45">
            <v>8.0100000000000005E-2</v>
          </cell>
          <cell r="IL45">
            <v>6.9999999999999999E-4</v>
          </cell>
          <cell r="IM45">
            <v>0.56499999999999995</v>
          </cell>
          <cell r="IN45">
            <v>0</v>
          </cell>
          <cell r="IO45">
            <v>0.45519999999999999</v>
          </cell>
          <cell r="IP45">
            <v>2.9999999999999997E-4</v>
          </cell>
          <cell r="IQ45">
            <v>0.36559999999999998</v>
          </cell>
          <cell r="IR45">
            <v>9.8100000000000007E-2</v>
          </cell>
          <cell r="IS45">
            <v>0.39889999999999998</v>
          </cell>
          <cell r="IT45">
            <v>28622</v>
          </cell>
          <cell r="IU45">
            <v>7767</v>
          </cell>
          <cell r="IV45">
            <v>36389</v>
          </cell>
          <cell r="IW45">
            <v>0.90129999999999999</v>
          </cell>
          <cell r="IX45">
            <v>323925</v>
          </cell>
          <cell r="IZ45">
            <v>233</v>
          </cell>
          <cell r="JA45">
            <v>6</v>
          </cell>
          <cell r="JB45">
            <v>429</v>
          </cell>
          <cell r="JC45">
            <v>7</v>
          </cell>
          <cell r="JD45">
            <v>3</v>
          </cell>
          <cell r="JE45">
            <v>320</v>
          </cell>
          <cell r="JF45">
            <v>240</v>
          </cell>
          <cell r="JG45">
            <v>9</v>
          </cell>
          <cell r="JH45">
            <v>749</v>
          </cell>
          <cell r="JI45">
            <v>998</v>
          </cell>
          <cell r="JJ45">
            <v>668</v>
          </cell>
          <cell r="JK45">
            <v>330</v>
          </cell>
          <cell r="JL45">
            <v>3816</v>
          </cell>
          <cell r="JM45">
            <v>31</v>
          </cell>
          <cell r="JN45">
            <v>7574</v>
          </cell>
          <cell r="JO45">
            <v>208</v>
          </cell>
          <cell r="JP45">
            <v>40</v>
          </cell>
          <cell r="JQ45">
            <v>7567</v>
          </cell>
          <cell r="JR45">
            <v>4024</v>
          </cell>
          <cell r="JS45">
            <v>71</v>
          </cell>
          <cell r="JT45">
            <v>15141</v>
          </cell>
          <cell r="JU45">
            <v>19236</v>
          </cell>
          <cell r="JV45">
            <v>11421</v>
          </cell>
          <cell r="JW45">
            <v>7815</v>
          </cell>
          <cell r="JX45">
            <v>19.27</v>
          </cell>
          <cell r="JY45">
            <v>16.77</v>
          </cell>
          <cell r="JZ45">
            <v>20.21</v>
          </cell>
          <cell r="KA45">
            <v>0.21</v>
          </cell>
          <cell r="KB45">
            <v>0.79</v>
          </cell>
          <cell r="KC45">
            <v>1</v>
          </cell>
          <cell r="KD45">
            <v>5</v>
          </cell>
          <cell r="KE45">
            <v>19</v>
          </cell>
          <cell r="KF45">
            <v>60</v>
          </cell>
          <cell r="KG45">
            <v>208</v>
          </cell>
          <cell r="KH45">
            <v>4420</v>
          </cell>
          <cell r="KM45">
            <v>56493</v>
          </cell>
          <cell r="KN45">
            <v>25884</v>
          </cell>
          <cell r="KO45">
            <v>2735</v>
          </cell>
          <cell r="KQ45">
            <v>947</v>
          </cell>
          <cell r="KR45">
            <v>4529</v>
          </cell>
          <cell r="KS45">
            <v>161</v>
          </cell>
          <cell r="KT45">
            <v>332</v>
          </cell>
          <cell r="KU45">
            <v>35</v>
          </cell>
          <cell r="KV45">
            <v>56</v>
          </cell>
          <cell r="KW45">
            <v>48472</v>
          </cell>
          <cell r="LC45" t="str">
            <v>PATRICK BEAVER MEMORIAL LIBRARY</v>
          </cell>
          <cell r="LD45" t="str">
            <v>City Owned</v>
          </cell>
          <cell r="LE45" t="str">
            <v>375 3RD ST NE</v>
          </cell>
          <cell r="LF45" t="str">
            <v>HICKORY</v>
          </cell>
          <cell r="LG45">
            <v>28601</v>
          </cell>
          <cell r="LH45">
            <v>5126</v>
          </cell>
          <cell r="LI45" t="str">
            <v>375 3RD ST NE</v>
          </cell>
          <cell r="LJ45" t="str">
            <v>HICKORY</v>
          </cell>
          <cell r="LK45">
            <v>28601</v>
          </cell>
          <cell r="LL45">
            <v>5126</v>
          </cell>
          <cell r="LM45" t="str">
            <v>CATAWBA</v>
          </cell>
          <cell r="LN45">
            <v>8283040500</v>
          </cell>
          <cell r="LO45">
            <v>8283040023</v>
          </cell>
          <cell r="LP45">
            <v>44800</v>
          </cell>
          <cell r="LQ45">
            <v>24.94</v>
          </cell>
          <cell r="LS45">
            <v>6656</v>
          </cell>
          <cell r="LT45">
            <v>104</v>
          </cell>
          <cell r="LW45">
            <v>2</v>
          </cell>
          <cell r="LX45" t="str">
            <v>M-HICKORY-E</v>
          </cell>
          <cell r="LY45">
            <v>0</v>
          </cell>
          <cell r="LZ45" t="str">
            <v>CE</v>
          </cell>
          <cell r="MA45">
            <v>199.74</v>
          </cell>
          <cell r="MB45">
            <v>74.069999999999993</v>
          </cell>
        </row>
        <row r="46">
          <cell r="A46" t="str">
            <v>NC0080</v>
          </cell>
          <cell r="B46">
            <v>0</v>
          </cell>
          <cell r="C46">
            <v>1375</v>
          </cell>
          <cell r="D46">
            <v>2017</v>
          </cell>
          <cell r="E46">
            <v>0</v>
          </cell>
          <cell r="F46" t="str">
            <v>NC0080</v>
          </cell>
          <cell r="G46" t="str">
            <v>M-HIGH POINT</v>
          </cell>
          <cell r="H46" t="str">
            <v>NO</v>
          </cell>
          <cell r="I46" t="str">
            <v>CI</v>
          </cell>
          <cell r="J46" t="str">
            <v>MO</v>
          </cell>
          <cell r="K46" t="str">
            <v>Y</v>
          </cell>
          <cell r="L46" t="str">
            <v>CI1</v>
          </cell>
          <cell r="M46" t="str">
            <v>N</v>
          </cell>
          <cell r="N46">
            <v>109749</v>
          </cell>
          <cell r="O46" t="str">
            <v>Yes</v>
          </cell>
          <cell r="P46">
            <v>1084</v>
          </cell>
          <cell r="Q46">
            <v>54</v>
          </cell>
          <cell r="R46">
            <v>99</v>
          </cell>
          <cell r="S46">
            <v>16</v>
          </cell>
          <cell r="T46">
            <v>9783</v>
          </cell>
          <cell r="U46">
            <v>1999</v>
          </cell>
          <cell r="V46">
            <v>-1</v>
          </cell>
          <cell r="W46">
            <v>6230</v>
          </cell>
          <cell r="Z46" t="str">
            <v>PO BOX 2530</v>
          </cell>
          <cell r="AA46" t="str">
            <v>HIGH POINT</v>
          </cell>
          <cell r="AB46">
            <v>27261</v>
          </cell>
          <cell r="AC46">
            <v>2530</v>
          </cell>
          <cell r="AD46" t="str">
            <v>901 N MAIN ST</v>
          </cell>
          <cell r="AE46" t="str">
            <v>HIGH POINT</v>
          </cell>
          <cell r="AF46">
            <v>27262</v>
          </cell>
          <cell r="AG46">
            <v>2</v>
          </cell>
          <cell r="AH46" t="str">
            <v>HIGH POINT PUBLIC LIBRARY</v>
          </cell>
          <cell r="AJ46" t="str">
            <v>Municipal</v>
          </cell>
          <cell r="AK46" t="str">
            <v>GUILFORD</v>
          </cell>
          <cell r="AL46" t="str">
            <v>Mary M. Sizemore</v>
          </cell>
          <cell r="AM46" t="str">
            <v>(336) 883-3694</v>
          </cell>
          <cell r="AN46" t="str">
            <v>(336) 883-3636</v>
          </cell>
          <cell r="AO46" t="str">
            <v>mary.sizemore@highpointnc.gov</v>
          </cell>
          <cell r="AP46" t="str">
            <v>Lorrie Russell</v>
          </cell>
          <cell r="AQ46" t="str">
            <v>Assistant Director</v>
          </cell>
          <cell r="AR46" t="str">
            <v>(336) 883-3644</v>
          </cell>
          <cell r="AS46" t="str">
            <v>(336) 883-3636</v>
          </cell>
          <cell r="AT46" t="str">
            <v>lorrie.russell@highpointnc.gov</v>
          </cell>
          <cell r="AU46" t="str">
            <v>www.highpointpubliclibrary.com</v>
          </cell>
          <cell r="BC46">
            <v>1</v>
          </cell>
          <cell r="BD46">
            <v>0</v>
          </cell>
          <cell r="BE46">
            <v>1</v>
          </cell>
          <cell r="BF46">
            <v>1</v>
          </cell>
          <cell r="BG46">
            <v>3</v>
          </cell>
          <cell r="BI46">
            <v>3549</v>
          </cell>
          <cell r="BJ46">
            <v>16.75</v>
          </cell>
          <cell r="BK46">
            <v>0</v>
          </cell>
          <cell r="BL46">
            <v>16.75</v>
          </cell>
          <cell r="BM46">
            <v>43</v>
          </cell>
          <cell r="BN46">
            <v>59.75</v>
          </cell>
          <cell r="BO46">
            <v>0.28029999999999999</v>
          </cell>
          <cell r="BP46">
            <v>2221</v>
          </cell>
          <cell r="BQ46">
            <v>113449</v>
          </cell>
          <cell r="BT46">
            <v>83310</v>
          </cell>
          <cell r="BU46">
            <v>0</v>
          </cell>
          <cell r="BV46">
            <v>0</v>
          </cell>
          <cell r="BW46">
            <v>0</v>
          </cell>
          <cell r="BY46">
            <v>48094</v>
          </cell>
          <cell r="BZ46">
            <v>82457</v>
          </cell>
          <cell r="CA46">
            <v>65160</v>
          </cell>
          <cell r="CC46">
            <v>48094</v>
          </cell>
          <cell r="CD46">
            <v>82457</v>
          </cell>
          <cell r="CE46">
            <v>65286</v>
          </cell>
          <cell r="CG46">
            <v>48094</v>
          </cell>
          <cell r="CH46">
            <v>82457</v>
          </cell>
          <cell r="CI46">
            <v>63490</v>
          </cell>
          <cell r="CK46">
            <v>41546</v>
          </cell>
          <cell r="CL46">
            <v>64915</v>
          </cell>
          <cell r="CM46">
            <v>57008</v>
          </cell>
          <cell r="CO46">
            <v>43622</v>
          </cell>
          <cell r="CP46">
            <v>68160</v>
          </cell>
          <cell r="CQ46">
            <v>48803</v>
          </cell>
          <cell r="CR46">
            <v>0</v>
          </cell>
          <cell r="CS46">
            <v>0</v>
          </cell>
          <cell r="CT46">
            <v>0</v>
          </cell>
          <cell r="CV46">
            <v>39566</v>
          </cell>
          <cell r="CW46">
            <v>61824</v>
          </cell>
          <cell r="CX46">
            <v>42482</v>
          </cell>
          <cell r="CZ46">
            <v>0</v>
          </cell>
          <cell r="DA46">
            <v>0</v>
          </cell>
          <cell r="DB46">
            <v>0</v>
          </cell>
          <cell r="DD46">
            <v>0</v>
          </cell>
          <cell r="DE46">
            <v>0</v>
          </cell>
          <cell r="DF46">
            <v>0</v>
          </cell>
          <cell r="DO46">
            <v>25505</v>
          </cell>
          <cell r="DP46">
            <v>39851</v>
          </cell>
          <cell r="DQ46">
            <v>28625</v>
          </cell>
          <cell r="DS46">
            <v>45804</v>
          </cell>
          <cell r="DT46">
            <v>95453</v>
          </cell>
          <cell r="DU46">
            <v>55259</v>
          </cell>
          <cell r="DV46">
            <v>4348248</v>
          </cell>
          <cell r="DW46">
            <v>359960</v>
          </cell>
          <cell r="DX46">
            <v>4708208</v>
          </cell>
          <cell r="DY46">
            <v>82737</v>
          </cell>
          <cell r="DZ46">
            <v>0</v>
          </cell>
          <cell r="EA46">
            <v>82737</v>
          </cell>
          <cell r="EB46">
            <v>4675</v>
          </cell>
          <cell r="EC46">
            <v>0</v>
          </cell>
          <cell r="ED46">
            <v>4675</v>
          </cell>
          <cell r="EE46">
            <v>0</v>
          </cell>
          <cell r="EF46">
            <v>4795620</v>
          </cell>
          <cell r="EG46">
            <v>2325163</v>
          </cell>
          <cell r="EH46">
            <v>885685</v>
          </cell>
          <cell r="EI46">
            <v>3210848</v>
          </cell>
          <cell r="EJ46">
            <v>210834</v>
          </cell>
          <cell r="EK46">
            <v>106850</v>
          </cell>
          <cell r="EL46">
            <v>106541</v>
          </cell>
          <cell r="EM46">
            <v>424225</v>
          </cell>
          <cell r="EN46">
            <v>704960</v>
          </cell>
          <cell r="EO46">
            <v>4340033</v>
          </cell>
          <cell r="EP46">
            <v>455587</v>
          </cell>
          <cell r="EQ46">
            <v>9.5000000000000001E-2</v>
          </cell>
          <cell r="ER46">
            <v>7995</v>
          </cell>
          <cell r="ES46">
            <v>0</v>
          </cell>
          <cell r="ET46">
            <v>0</v>
          </cell>
          <cell r="EU46">
            <v>0</v>
          </cell>
          <cell r="EV46">
            <v>7995</v>
          </cell>
          <cell r="EW46">
            <v>7995</v>
          </cell>
          <cell r="EX46">
            <v>232609</v>
          </cell>
          <cell r="EY46">
            <v>948141</v>
          </cell>
          <cell r="EZ46">
            <v>58215</v>
          </cell>
          <cell r="FA46">
            <v>5435</v>
          </cell>
          <cell r="FB46">
            <v>51547</v>
          </cell>
          <cell r="FC46">
            <v>111455</v>
          </cell>
          <cell r="FD46">
            <v>121</v>
          </cell>
          <cell r="FE46">
            <v>27211</v>
          </cell>
          <cell r="FF46">
            <v>169670</v>
          </cell>
          <cell r="FG46">
            <v>5556</v>
          </cell>
          <cell r="FH46">
            <v>78758</v>
          </cell>
          <cell r="FI46">
            <v>253984</v>
          </cell>
          <cell r="FJ46">
            <v>69002</v>
          </cell>
          <cell r="FK46">
            <v>752</v>
          </cell>
          <cell r="FM46">
            <v>253984</v>
          </cell>
          <cell r="FN46">
            <v>7782</v>
          </cell>
          <cell r="FO46">
            <v>18477</v>
          </cell>
          <cell r="FP46">
            <v>3631</v>
          </cell>
          <cell r="FQ46">
            <v>22</v>
          </cell>
          <cell r="FR46">
            <v>88</v>
          </cell>
          <cell r="FS46">
            <v>110</v>
          </cell>
          <cell r="FT46">
            <v>44141</v>
          </cell>
          <cell r="FU46">
            <v>3505</v>
          </cell>
          <cell r="FV46">
            <v>0</v>
          </cell>
          <cell r="FW46">
            <v>0</v>
          </cell>
          <cell r="FX46">
            <v>8544</v>
          </cell>
          <cell r="FY46">
            <v>1573</v>
          </cell>
          <cell r="FZ46">
            <v>322</v>
          </cell>
          <cell r="GA46">
            <v>0</v>
          </cell>
          <cell r="GE46">
            <v>0</v>
          </cell>
          <cell r="GF46">
            <v>36593</v>
          </cell>
          <cell r="GG46">
            <v>13194</v>
          </cell>
          <cell r="GH46">
            <v>264</v>
          </cell>
          <cell r="GI46">
            <v>12</v>
          </cell>
          <cell r="GJ46">
            <v>296780</v>
          </cell>
          <cell r="GK46">
            <v>97230</v>
          </cell>
          <cell r="GL46">
            <v>92157</v>
          </cell>
          <cell r="GM46">
            <v>88</v>
          </cell>
          <cell r="GN46">
            <v>386058</v>
          </cell>
          <cell r="GO46">
            <v>115502</v>
          </cell>
          <cell r="GP46">
            <v>92743</v>
          </cell>
          <cell r="GQ46">
            <v>100</v>
          </cell>
          <cell r="GR46">
            <v>215</v>
          </cell>
          <cell r="GT46">
            <v>118208</v>
          </cell>
          <cell r="GU46">
            <v>18048</v>
          </cell>
          <cell r="GV46">
            <v>117622</v>
          </cell>
          <cell r="GW46">
            <v>63707</v>
          </cell>
          <cell r="GX46">
            <v>155</v>
          </cell>
          <cell r="GY46">
            <v>27557</v>
          </cell>
          <cell r="GZ46">
            <v>181915</v>
          </cell>
          <cell r="HA46">
            <v>18203</v>
          </cell>
          <cell r="HB46">
            <v>145179</v>
          </cell>
          <cell r="HC46">
            <v>345297</v>
          </cell>
          <cell r="HD46">
            <v>819</v>
          </cell>
          <cell r="HE46">
            <v>346117</v>
          </cell>
          <cell r="HF46">
            <v>26497</v>
          </cell>
          <cell r="HG46">
            <v>147469</v>
          </cell>
          <cell r="HH46">
            <v>1</v>
          </cell>
          <cell r="HI46">
            <v>60155</v>
          </cell>
          <cell r="HJ46">
            <v>234121</v>
          </cell>
          <cell r="HK46">
            <v>580238</v>
          </cell>
          <cell r="HL46">
            <v>164</v>
          </cell>
          <cell r="HM46">
            <v>33460</v>
          </cell>
          <cell r="HN46">
            <v>33624</v>
          </cell>
          <cell r="HO46">
            <v>679</v>
          </cell>
          <cell r="HP46">
            <v>16079</v>
          </cell>
          <cell r="HQ46">
            <v>16758</v>
          </cell>
          <cell r="HR46">
            <v>0</v>
          </cell>
          <cell r="HS46">
            <v>128</v>
          </cell>
          <cell r="HT46">
            <v>128</v>
          </cell>
          <cell r="HU46">
            <v>1320</v>
          </cell>
          <cell r="HV46">
            <v>51830</v>
          </cell>
          <cell r="HW46">
            <v>101289</v>
          </cell>
          <cell r="HX46">
            <v>0</v>
          </cell>
          <cell r="HY46">
            <v>101289</v>
          </cell>
          <cell r="HZ46">
            <v>153119</v>
          </cell>
          <cell r="IA46">
            <v>43255</v>
          </cell>
          <cell r="IB46">
            <v>190852</v>
          </cell>
          <cell r="IC46">
            <v>632068</v>
          </cell>
          <cell r="ID46">
            <v>632068</v>
          </cell>
          <cell r="IE46">
            <v>733357</v>
          </cell>
          <cell r="IF46">
            <v>163871</v>
          </cell>
          <cell r="IG46">
            <v>263</v>
          </cell>
          <cell r="IJ46">
            <v>1</v>
          </cell>
          <cell r="IK46">
            <v>0.1173</v>
          </cell>
          <cell r="IL46">
            <v>8.0000000000000004E-4</v>
          </cell>
          <cell r="IM46">
            <v>0.62690000000000001</v>
          </cell>
          <cell r="IN46">
            <v>0</v>
          </cell>
          <cell r="IO46">
            <v>0.40720000000000001</v>
          </cell>
          <cell r="IP46">
            <v>1E-4</v>
          </cell>
          <cell r="IQ46">
            <v>0.26790000000000003</v>
          </cell>
          <cell r="IR46">
            <v>0.13</v>
          </cell>
          <cell r="IS46">
            <v>0.25929999999999997</v>
          </cell>
          <cell r="IT46">
            <v>74987</v>
          </cell>
          <cell r="IU46">
            <v>14002</v>
          </cell>
          <cell r="IV46">
            <v>88989</v>
          </cell>
          <cell r="IW46">
            <v>0.81079999999999997</v>
          </cell>
          <cell r="IX46">
            <v>313997</v>
          </cell>
          <cell r="IZ46">
            <v>1728</v>
          </cell>
          <cell r="JA46">
            <v>10</v>
          </cell>
          <cell r="JB46">
            <v>1074</v>
          </cell>
          <cell r="JC46">
            <v>29</v>
          </cell>
          <cell r="JD46">
            <v>0</v>
          </cell>
          <cell r="JE46">
            <v>861</v>
          </cell>
          <cell r="JF46">
            <v>1757</v>
          </cell>
          <cell r="JG46">
            <v>10</v>
          </cell>
          <cell r="JH46">
            <v>1935</v>
          </cell>
          <cell r="JI46">
            <v>3702</v>
          </cell>
          <cell r="JJ46">
            <v>2812</v>
          </cell>
          <cell r="JK46">
            <v>890</v>
          </cell>
          <cell r="JL46">
            <v>10129</v>
          </cell>
          <cell r="JM46">
            <v>118</v>
          </cell>
          <cell r="JN46">
            <v>13338</v>
          </cell>
          <cell r="JO46">
            <v>315</v>
          </cell>
          <cell r="JP46">
            <v>0</v>
          </cell>
          <cell r="JQ46">
            <v>13307</v>
          </cell>
          <cell r="JR46">
            <v>10444</v>
          </cell>
          <cell r="JS46">
            <v>118</v>
          </cell>
          <cell r="JT46">
            <v>26645</v>
          </cell>
          <cell r="JU46">
            <v>37207</v>
          </cell>
          <cell r="JV46">
            <v>23585</v>
          </cell>
          <cell r="JW46">
            <v>13622</v>
          </cell>
          <cell r="JX46">
            <v>10.050000000000001</v>
          </cell>
          <cell r="JY46">
            <v>5.94</v>
          </cell>
          <cell r="JZ46">
            <v>13.77</v>
          </cell>
          <cell r="KA46">
            <v>0.28000000000000003</v>
          </cell>
          <cell r="KB46">
            <v>0.72</v>
          </cell>
          <cell r="KC46">
            <v>11</v>
          </cell>
          <cell r="KD46">
            <v>99</v>
          </cell>
          <cell r="KE46">
            <v>741</v>
          </cell>
          <cell r="KF46">
            <v>946</v>
          </cell>
          <cell r="KG46">
            <v>929</v>
          </cell>
          <cell r="KH46">
            <v>11735</v>
          </cell>
          <cell r="KI46">
            <v>0</v>
          </cell>
          <cell r="KJ46">
            <v>0</v>
          </cell>
          <cell r="KK46">
            <v>0</v>
          </cell>
          <cell r="KL46">
            <v>0</v>
          </cell>
          <cell r="KM46">
            <v>101630</v>
          </cell>
          <cell r="KN46">
            <v>9302</v>
          </cell>
          <cell r="KO46">
            <v>421</v>
          </cell>
          <cell r="KQ46">
            <v>397</v>
          </cell>
          <cell r="KR46">
            <v>7431</v>
          </cell>
          <cell r="KS46">
            <v>1890</v>
          </cell>
          <cell r="KT46">
            <v>915</v>
          </cell>
          <cell r="KU46">
            <v>102</v>
          </cell>
          <cell r="KV46">
            <v>117</v>
          </cell>
          <cell r="KW46">
            <v>58107</v>
          </cell>
          <cell r="KY46">
            <v>131381</v>
          </cell>
          <cell r="KZ46">
            <v>18678</v>
          </cell>
          <cell r="LC46" t="str">
            <v>HIGH POINT PUBLIC LIBRARY</v>
          </cell>
          <cell r="LD46" t="str">
            <v>City Owned</v>
          </cell>
          <cell r="LE46" t="str">
            <v>PO BOX 2530</v>
          </cell>
          <cell r="LF46" t="str">
            <v>HIGH POINT</v>
          </cell>
          <cell r="LG46">
            <v>27261</v>
          </cell>
          <cell r="LH46">
            <v>2530</v>
          </cell>
          <cell r="LI46" t="str">
            <v>901 N MAIN ST</v>
          </cell>
          <cell r="LJ46" t="str">
            <v>HIGH POINT</v>
          </cell>
          <cell r="LK46">
            <v>27262</v>
          </cell>
          <cell r="LL46">
            <v>3923</v>
          </cell>
          <cell r="LM46" t="str">
            <v>GUILFORD</v>
          </cell>
          <cell r="LN46">
            <v>3368833631</v>
          </cell>
          <cell r="LO46">
            <v>3368833636</v>
          </cell>
          <cell r="LP46">
            <v>83440</v>
          </cell>
          <cell r="LQ46">
            <v>69</v>
          </cell>
          <cell r="LS46">
            <v>3549</v>
          </cell>
          <cell r="LT46">
            <v>86</v>
          </cell>
          <cell r="LW46">
            <v>2</v>
          </cell>
          <cell r="LX46" t="str">
            <v>M-HIGHPOINT-H</v>
          </cell>
          <cell r="LY46">
            <v>0</v>
          </cell>
          <cell r="LZ46" t="str">
            <v>CE</v>
          </cell>
          <cell r="MA46">
            <v>18</v>
          </cell>
          <cell r="MB46">
            <v>17</v>
          </cell>
        </row>
        <row r="47">
          <cell r="A47" t="str">
            <v>NC0110</v>
          </cell>
          <cell r="B47">
            <v>0</v>
          </cell>
          <cell r="C47">
            <v>1375</v>
          </cell>
          <cell r="D47">
            <v>2017</v>
          </cell>
          <cell r="E47">
            <v>0</v>
          </cell>
          <cell r="F47" t="str">
            <v>NC0110</v>
          </cell>
          <cell r="G47">
            <v>154240</v>
          </cell>
          <cell r="H47" t="str">
            <v>NO</v>
          </cell>
          <cell r="I47" t="str">
            <v>CI</v>
          </cell>
          <cell r="J47" t="str">
            <v>SO</v>
          </cell>
          <cell r="K47" t="str">
            <v>Y</v>
          </cell>
          <cell r="L47" t="str">
            <v>CI1</v>
          </cell>
          <cell r="M47" t="str">
            <v>Y</v>
          </cell>
          <cell r="N47">
            <v>18734</v>
          </cell>
          <cell r="O47" t="str">
            <v>Yes</v>
          </cell>
          <cell r="R47">
            <v>25</v>
          </cell>
          <cell r="S47">
            <v>11</v>
          </cell>
          <cell r="T47">
            <v>918</v>
          </cell>
          <cell r="U47">
            <v>375</v>
          </cell>
          <cell r="V47">
            <v>33768</v>
          </cell>
          <cell r="W47">
            <v>2609</v>
          </cell>
          <cell r="X47">
            <v>24000</v>
          </cell>
          <cell r="Z47" t="str">
            <v>100 S CHURCH ST</v>
          </cell>
          <cell r="AA47" t="str">
            <v>CLAYTON</v>
          </cell>
          <cell r="AB47">
            <v>27520</v>
          </cell>
          <cell r="AC47">
            <v>2420</v>
          </cell>
          <cell r="AD47" t="str">
            <v>100 S CHURCH ST</v>
          </cell>
          <cell r="AE47" t="str">
            <v>CLAYTON</v>
          </cell>
          <cell r="AF47">
            <v>27520</v>
          </cell>
          <cell r="AG47">
            <v>3</v>
          </cell>
          <cell r="AH47" t="str">
            <v>HOCUTT ELLINGTON MEMORIAL LIBRARY</v>
          </cell>
          <cell r="AJ47" t="str">
            <v>Municipal</v>
          </cell>
          <cell r="AK47" t="str">
            <v>Johnston</v>
          </cell>
          <cell r="AL47" t="str">
            <v>Christie Starnes</v>
          </cell>
          <cell r="AM47" t="str">
            <v>(919) 359-9366</v>
          </cell>
          <cell r="AO47" t="str">
            <v>clstarnes@townofclaytonnc.org</v>
          </cell>
          <cell r="AP47" t="str">
            <v>Joy Garretson</v>
          </cell>
          <cell r="AQ47" t="str">
            <v>Library Director (9/6/17)</v>
          </cell>
          <cell r="AR47" t="str">
            <v>(919) 553-5542</v>
          </cell>
          <cell r="AT47" t="str">
            <v>jgarretson@townofclaytonnc.org</v>
          </cell>
          <cell r="AU47" t="str">
            <v>claytonlibrarync.org</v>
          </cell>
          <cell r="BC47">
            <v>1</v>
          </cell>
          <cell r="BD47">
            <v>0</v>
          </cell>
          <cell r="BE47">
            <v>0</v>
          </cell>
          <cell r="BF47">
            <v>0</v>
          </cell>
          <cell r="BG47">
            <v>1</v>
          </cell>
          <cell r="BI47">
            <v>2756</v>
          </cell>
          <cell r="BJ47">
            <v>2</v>
          </cell>
          <cell r="BK47">
            <v>0</v>
          </cell>
          <cell r="BL47">
            <v>2</v>
          </cell>
          <cell r="BM47">
            <v>7.3</v>
          </cell>
          <cell r="BN47">
            <v>9.3000000000000007</v>
          </cell>
          <cell r="BO47">
            <v>0.21510000000000001</v>
          </cell>
          <cell r="BP47">
            <v>700</v>
          </cell>
          <cell r="BQ47">
            <v>58000</v>
          </cell>
          <cell r="BT47">
            <v>-1</v>
          </cell>
          <cell r="CG47">
            <v>35952</v>
          </cell>
          <cell r="CH47">
            <v>56961</v>
          </cell>
          <cell r="CI47">
            <v>55656</v>
          </cell>
          <cell r="DH47">
            <v>29578</v>
          </cell>
          <cell r="DI47">
            <v>46882</v>
          </cell>
          <cell r="DJ47">
            <v>36079</v>
          </cell>
          <cell r="DK47">
            <v>25550</v>
          </cell>
          <cell r="DL47">
            <v>40481</v>
          </cell>
          <cell r="DM47">
            <v>32766</v>
          </cell>
          <cell r="DO47">
            <v>22880</v>
          </cell>
          <cell r="DP47">
            <v>22880</v>
          </cell>
          <cell r="DQ47">
            <v>-1</v>
          </cell>
          <cell r="DV47">
            <v>516578</v>
          </cell>
          <cell r="DW47">
            <v>0</v>
          </cell>
          <cell r="DX47">
            <v>516578</v>
          </cell>
          <cell r="DY47">
            <v>11636</v>
          </cell>
          <cell r="DZ47">
            <v>0</v>
          </cell>
          <cell r="EA47">
            <v>11636</v>
          </cell>
          <cell r="EB47">
            <v>0</v>
          </cell>
          <cell r="EC47">
            <v>0</v>
          </cell>
          <cell r="ED47">
            <v>0</v>
          </cell>
          <cell r="EE47">
            <v>26939</v>
          </cell>
          <cell r="EF47">
            <v>555153</v>
          </cell>
          <cell r="EG47">
            <v>329010</v>
          </cell>
          <cell r="EH47">
            <v>113435</v>
          </cell>
          <cell r="EI47">
            <v>442445</v>
          </cell>
          <cell r="EJ47">
            <v>40799</v>
          </cell>
          <cell r="EK47">
            <v>0</v>
          </cell>
          <cell r="EL47">
            <v>300</v>
          </cell>
          <cell r="EM47">
            <v>41099</v>
          </cell>
          <cell r="EN47">
            <v>43189</v>
          </cell>
          <cell r="EO47">
            <v>526733</v>
          </cell>
          <cell r="EP47">
            <v>28420</v>
          </cell>
          <cell r="EQ47">
            <v>5.1200000000000002E-2</v>
          </cell>
          <cell r="ER47">
            <v>36951</v>
          </cell>
          <cell r="ES47">
            <v>0</v>
          </cell>
          <cell r="ET47">
            <v>0</v>
          </cell>
          <cell r="EU47">
            <v>0</v>
          </cell>
          <cell r="EV47">
            <v>36951</v>
          </cell>
          <cell r="EW47">
            <v>31220</v>
          </cell>
          <cell r="EX47">
            <v>7151</v>
          </cell>
          <cell r="EY47">
            <v>111043</v>
          </cell>
          <cell r="EZ47">
            <v>18664</v>
          </cell>
          <cell r="FA47">
            <v>2004</v>
          </cell>
          <cell r="FB47">
            <v>17732</v>
          </cell>
          <cell r="FC47">
            <v>17426</v>
          </cell>
          <cell r="FD47">
            <v>408</v>
          </cell>
          <cell r="FE47">
            <v>7996</v>
          </cell>
          <cell r="FF47">
            <v>36090</v>
          </cell>
          <cell r="FG47">
            <v>2412</v>
          </cell>
          <cell r="FH47">
            <v>25728</v>
          </cell>
          <cell r="FI47">
            <v>64230</v>
          </cell>
          <cell r="FJ47">
            <v>1170</v>
          </cell>
          <cell r="FK47">
            <v>20</v>
          </cell>
          <cell r="FM47">
            <v>64230</v>
          </cell>
          <cell r="FN47">
            <v>1604</v>
          </cell>
          <cell r="FO47">
            <v>1</v>
          </cell>
          <cell r="FP47">
            <v>196</v>
          </cell>
          <cell r="FQ47">
            <v>0</v>
          </cell>
          <cell r="FR47">
            <v>74</v>
          </cell>
          <cell r="FS47">
            <v>74</v>
          </cell>
          <cell r="FT47">
            <v>26725</v>
          </cell>
          <cell r="FU47">
            <v>2022</v>
          </cell>
          <cell r="FV47">
            <v>0</v>
          </cell>
          <cell r="FW47">
            <v>0</v>
          </cell>
          <cell r="FX47">
            <v>8544</v>
          </cell>
          <cell r="FY47">
            <v>1573</v>
          </cell>
          <cell r="FZ47">
            <v>322</v>
          </cell>
          <cell r="GA47">
            <v>0</v>
          </cell>
          <cell r="GB47">
            <v>-1</v>
          </cell>
          <cell r="GC47">
            <v>-1</v>
          </cell>
          <cell r="GD47">
            <v>-1</v>
          </cell>
          <cell r="GE47">
            <v>-1</v>
          </cell>
          <cell r="GF47">
            <v>-1</v>
          </cell>
          <cell r="GG47">
            <v>-1</v>
          </cell>
          <cell r="GH47">
            <v>-1</v>
          </cell>
          <cell r="GI47">
            <v>-1</v>
          </cell>
          <cell r="GJ47">
            <v>1043</v>
          </cell>
          <cell r="GK47">
            <v>3527</v>
          </cell>
          <cell r="GL47">
            <v>0</v>
          </cell>
          <cell r="GM47">
            <v>0</v>
          </cell>
          <cell r="GN47">
            <v>36310</v>
          </cell>
          <cell r="GO47">
            <v>7120</v>
          </cell>
          <cell r="GP47">
            <v>320</v>
          </cell>
          <cell r="GQ47">
            <v>-2</v>
          </cell>
          <cell r="GR47">
            <v>10</v>
          </cell>
          <cell r="GT47">
            <v>47823</v>
          </cell>
          <cell r="GU47">
            <v>4715</v>
          </cell>
          <cell r="GV47">
            <v>48490</v>
          </cell>
          <cell r="GW47">
            <v>10431</v>
          </cell>
          <cell r="GX47">
            <v>870</v>
          </cell>
          <cell r="GY47">
            <v>17149</v>
          </cell>
          <cell r="GZ47">
            <v>58254</v>
          </cell>
          <cell r="HA47">
            <v>5585</v>
          </cell>
          <cell r="HB47">
            <v>65639</v>
          </cell>
          <cell r="HC47">
            <v>129478</v>
          </cell>
          <cell r="HD47">
            <v>38</v>
          </cell>
          <cell r="HE47">
            <v>134903</v>
          </cell>
          <cell r="HF47">
            <v>6664</v>
          </cell>
          <cell r="HG47">
            <v>0</v>
          </cell>
          <cell r="HH47">
            <v>5387</v>
          </cell>
          <cell r="HI47">
            <v>567</v>
          </cell>
          <cell r="HJ47">
            <v>7231</v>
          </cell>
          <cell r="HK47">
            <v>142134</v>
          </cell>
          <cell r="HL47">
            <v>103</v>
          </cell>
          <cell r="HM47">
            <v>2183</v>
          </cell>
          <cell r="HN47">
            <v>2286</v>
          </cell>
          <cell r="HO47">
            <v>262</v>
          </cell>
          <cell r="HP47">
            <v>1695</v>
          </cell>
          <cell r="HQ47">
            <v>1957</v>
          </cell>
          <cell r="HR47">
            <v>0</v>
          </cell>
          <cell r="HS47">
            <v>5</v>
          </cell>
          <cell r="HT47">
            <v>5</v>
          </cell>
          <cell r="HU47">
            <v>0</v>
          </cell>
          <cell r="HV47">
            <v>4248</v>
          </cell>
          <cell r="HX47">
            <v>0</v>
          </cell>
          <cell r="HY47">
            <v>0</v>
          </cell>
          <cell r="HZ47">
            <v>4248</v>
          </cell>
          <cell r="IA47">
            <v>8621</v>
          </cell>
          <cell r="IB47">
            <v>8626</v>
          </cell>
          <cell r="IC47">
            <v>146382</v>
          </cell>
          <cell r="ID47">
            <v>146382</v>
          </cell>
          <cell r="IE47">
            <v>146382</v>
          </cell>
          <cell r="IF47">
            <v>65639</v>
          </cell>
          <cell r="IG47">
            <v>0</v>
          </cell>
          <cell r="IJ47">
            <v>1</v>
          </cell>
          <cell r="IK47">
            <v>2.8999999999999998E-3</v>
          </cell>
          <cell r="IL47">
            <v>2.0000000000000001E-4</v>
          </cell>
          <cell r="IM47">
            <v>0.39400000000000002</v>
          </cell>
          <cell r="IN47">
            <v>0</v>
          </cell>
          <cell r="IO47">
            <v>0.32700000000000001</v>
          </cell>
          <cell r="IP47">
            <v>6.9999999999999999E-4</v>
          </cell>
          <cell r="IQ47">
            <v>0.57840000000000003</v>
          </cell>
          <cell r="IR47">
            <v>7.8600000000000003E-2</v>
          </cell>
          <cell r="IS47">
            <v>0.44840000000000002</v>
          </cell>
          <cell r="IT47">
            <v>3896</v>
          </cell>
          <cell r="IU47">
            <v>505</v>
          </cell>
          <cell r="IV47">
            <v>4401</v>
          </cell>
          <cell r="IW47">
            <v>0.2349</v>
          </cell>
          <cell r="IX47">
            <v>59721</v>
          </cell>
          <cell r="IZ47">
            <v>153</v>
          </cell>
          <cell r="JA47">
            <v>80</v>
          </cell>
          <cell r="JB47">
            <v>183</v>
          </cell>
          <cell r="JC47">
            <v>0</v>
          </cell>
          <cell r="JD47">
            <v>0</v>
          </cell>
          <cell r="JE47">
            <v>53</v>
          </cell>
          <cell r="JF47">
            <v>153</v>
          </cell>
          <cell r="JG47">
            <v>80</v>
          </cell>
          <cell r="JH47">
            <v>236</v>
          </cell>
          <cell r="JI47">
            <v>469</v>
          </cell>
          <cell r="JJ47">
            <v>416</v>
          </cell>
          <cell r="JK47">
            <v>53</v>
          </cell>
          <cell r="JL47">
            <v>1711</v>
          </cell>
          <cell r="JM47">
            <v>1039</v>
          </cell>
          <cell r="JN47">
            <v>6133</v>
          </cell>
          <cell r="JO47">
            <v>0</v>
          </cell>
          <cell r="JP47">
            <v>0</v>
          </cell>
          <cell r="JQ47">
            <v>720</v>
          </cell>
          <cell r="JR47">
            <v>1711</v>
          </cell>
          <cell r="JS47">
            <v>1039</v>
          </cell>
          <cell r="JT47">
            <v>6853</v>
          </cell>
          <cell r="JU47">
            <v>9603</v>
          </cell>
          <cell r="JV47">
            <v>8883</v>
          </cell>
          <cell r="JW47">
            <v>720</v>
          </cell>
          <cell r="JX47">
            <v>20.48</v>
          </cell>
          <cell r="JY47">
            <v>11.18</v>
          </cell>
          <cell r="JZ47">
            <v>29.04</v>
          </cell>
          <cell r="KA47">
            <v>0.18</v>
          </cell>
          <cell r="KB47">
            <v>0.71</v>
          </cell>
          <cell r="KC47">
            <v>0</v>
          </cell>
          <cell r="KD47">
            <v>0</v>
          </cell>
          <cell r="KE47">
            <v>0</v>
          </cell>
          <cell r="KF47">
            <v>0</v>
          </cell>
          <cell r="KM47">
            <v>20041</v>
          </cell>
          <cell r="KN47">
            <v>505</v>
          </cell>
          <cell r="KO47">
            <v>76</v>
          </cell>
          <cell r="KQ47">
            <v>-1</v>
          </cell>
          <cell r="KR47">
            <v>-1</v>
          </cell>
          <cell r="KS47">
            <v>0</v>
          </cell>
          <cell r="KT47">
            <v>305</v>
          </cell>
          <cell r="KU47">
            <v>8</v>
          </cell>
          <cell r="KV47">
            <v>8</v>
          </cell>
          <cell r="KW47">
            <v>6942</v>
          </cell>
          <cell r="KY47">
            <v>31012</v>
          </cell>
          <cell r="KZ47">
            <v>25308</v>
          </cell>
          <cell r="LC47" t="str">
            <v>HOCUTT ELLINGTON MEMORIAL LIBRARY</v>
          </cell>
          <cell r="LD47" t="str">
            <v>City Owned</v>
          </cell>
          <cell r="LE47" t="str">
            <v>100 S CHURCH STREET</v>
          </cell>
          <cell r="LF47" t="str">
            <v>CLAYTON</v>
          </cell>
          <cell r="LG47">
            <v>27520</v>
          </cell>
          <cell r="LI47" t="str">
            <v>100 S CHURCH ST</v>
          </cell>
          <cell r="LJ47" t="str">
            <v>CLAYTON</v>
          </cell>
          <cell r="LK47">
            <v>27520</v>
          </cell>
          <cell r="LM47" t="str">
            <v>JOHNSTON</v>
          </cell>
          <cell r="LN47">
            <v>9195535542</v>
          </cell>
          <cell r="LP47">
            <v>9200</v>
          </cell>
          <cell r="LQ47">
            <v>9.25</v>
          </cell>
          <cell r="LS47">
            <v>2756</v>
          </cell>
          <cell r="LT47">
            <v>52</v>
          </cell>
          <cell r="LX47" t="str">
            <v>C-JOHNSTON-H</v>
          </cell>
          <cell r="LY47">
            <v>0</v>
          </cell>
          <cell r="LZ47" t="str">
            <v>BR</v>
          </cell>
          <cell r="MA47">
            <v>40.22</v>
          </cell>
          <cell r="MB47">
            <v>45.33</v>
          </cell>
        </row>
        <row r="48">
          <cell r="A48" t="str">
            <v>NC0040</v>
          </cell>
          <cell r="B48">
            <v>0</v>
          </cell>
          <cell r="C48">
            <v>1375</v>
          </cell>
          <cell r="D48">
            <v>2017</v>
          </cell>
          <cell r="E48">
            <v>0</v>
          </cell>
          <cell r="F48" t="str">
            <v>NC0040</v>
          </cell>
          <cell r="G48" t="str">
            <v>C-IREDELL</v>
          </cell>
          <cell r="H48" t="str">
            <v>NO</v>
          </cell>
          <cell r="I48" t="str">
            <v>CO</v>
          </cell>
          <cell r="J48" t="str">
            <v>MO</v>
          </cell>
          <cell r="K48" t="str">
            <v>Y</v>
          </cell>
          <cell r="L48" t="str">
            <v>CO2</v>
          </cell>
          <cell r="M48" t="str">
            <v>N</v>
          </cell>
          <cell r="N48">
            <v>132480</v>
          </cell>
          <cell r="O48" t="str">
            <v>Yes</v>
          </cell>
          <cell r="P48">
            <v>1006</v>
          </cell>
          <cell r="Q48">
            <v>235</v>
          </cell>
          <cell r="R48">
            <v>126</v>
          </cell>
          <cell r="S48">
            <v>46</v>
          </cell>
          <cell r="T48">
            <v>-1</v>
          </cell>
          <cell r="U48">
            <v>883</v>
          </cell>
          <cell r="V48">
            <v>41253</v>
          </cell>
          <cell r="W48">
            <v>4171</v>
          </cell>
          <cell r="Z48" t="str">
            <v>PO BOX 1810</v>
          </cell>
          <cell r="AA48" t="str">
            <v>STATESVILLE</v>
          </cell>
          <cell r="AB48">
            <v>28677</v>
          </cell>
          <cell r="AC48">
            <v>1810</v>
          </cell>
          <cell r="AD48" t="str">
            <v>201 N TRADD ST</v>
          </cell>
          <cell r="AE48" t="str">
            <v>STATESVILLE</v>
          </cell>
          <cell r="AF48">
            <v>28677</v>
          </cell>
          <cell r="AG48">
            <v>3</v>
          </cell>
          <cell r="AH48" t="str">
            <v>IREDELL COUNTY LIBRARY</v>
          </cell>
          <cell r="AJ48" t="str">
            <v>County</v>
          </cell>
          <cell r="AK48" t="str">
            <v>IREDELL</v>
          </cell>
          <cell r="AL48" t="str">
            <v>Steve Messick</v>
          </cell>
          <cell r="AM48" t="str">
            <v>(704) 878-3092</v>
          </cell>
          <cell r="AN48" t="str">
            <v>(704) 878-5449</v>
          </cell>
          <cell r="AO48" t="str">
            <v>smessick@iredell.lib.nc.us</v>
          </cell>
          <cell r="AP48" t="str">
            <v>Steve Messick</v>
          </cell>
          <cell r="AQ48" t="str">
            <v>Director</v>
          </cell>
          <cell r="AR48" t="str">
            <v>(704) 878-3092</v>
          </cell>
          <cell r="AS48" t="str">
            <v>(704) 878-5449</v>
          </cell>
          <cell r="AT48" t="str">
            <v>smessick@iredell.lib.nc.us</v>
          </cell>
          <cell r="AU48" t="str">
            <v>www.iredell.lib.nc.us</v>
          </cell>
          <cell r="BC48">
            <v>1</v>
          </cell>
          <cell r="BD48">
            <v>2</v>
          </cell>
          <cell r="BE48">
            <v>0</v>
          </cell>
          <cell r="BF48">
            <v>0</v>
          </cell>
          <cell r="BG48">
            <v>3</v>
          </cell>
          <cell r="BI48">
            <v>9048</v>
          </cell>
          <cell r="BJ48">
            <v>6</v>
          </cell>
          <cell r="BK48">
            <v>1</v>
          </cell>
          <cell r="BL48">
            <v>7</v>
          </cell>
          <cell r="BM48">
            <v>23.38</v>
          </cell>
          <cell r="BN48">
            <v>30.38</v>
          </cell>
          <cell r="BO48">
            <v>0.19750000000000001</v>
          </cell>
          <cell r="BP48">
            <v>2038</v>
          </cell>
          <cell r="BQ48">
            <v>98644</v>
          </cell>
          <cell r="BT48">
            <v>67152</v>
          </cell>
          <cell r="BU48">
            <v>36348</v>
          </cell>
          <cell r="BV48">
            <v>43496</v>
          </cell>
          <cell r="BW48">
            <v>39922</v>
          </cell>
          <cell r="BY48">
            <v>44606</v>
          </cell>
          <cell r="BZ48">
            <v>44606</v>
          </cell>
          <cell r="CA48">
            <v>44606</v>
          </cell>
          <cell r="CC48">
            <v>63560</v>
          </cell>
          <cell r="CD48">
            <v>63560</v>
          </cell>
          <cell r="CE48">
            <v>63560</v>
          </cell>
          <cell r="CK48">
            <v>44583</v>
          </cell>
          <cell r="CL48">
            <v>44583</v>
          </cell>
          <cell r="CM48">
            <v>44583</v>
          </cell>
          <cell r="CZ48">
            <v>51028</v>
          </cell>
          <cell r="DA48">
            <v>51028</v>
          </cell>
          <cell r="DB48">
            <v>51028</v>
          </cell>
          <cell r="DH48">
            <v>49771</v>
          </cell>
          <cell r="DI48">
            <v>49771</v>
          </cell>
          <cell r="DJ48">
            <v>49771</v>
          </cell>
          <cell r="DO48">
            <v>25774</v>
          </cell>
          <cell r="DP48">
            <v>43043</v>
          </cell>
          <cell r="DQ48">
            <v>30396</v>
          </cell>
          <cell r="DV48">
            <v>0</v>
          </cell>
          <cell r="DW48">
            <v>2123900</v>
          </cell>
          <cell r="DX48">
            <v>2123900</v>
          </cell>
          <cell r="DY48">
            <v>148360</v>
          </cell>
          <cell r="DZ48">
            <v>0</v>
          </cell>
          <cell r="EA48">
            <v>148360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2272260</v>
          </cell>
          <cell r="EG48">
            <v>1142255</v>
          </cell>
          <cell r="EH48">
            <v>500985</v>
          </cell>
          <cell r="EI48">
            <v>1643240</v>
          </cell>
          <cell r="EJ48">
            <v>177338</v>
          </cell>
          <cell r="EK48">
            <v>143565</v>
          </cell>
          <cell r="EL48">
            <v>2602</v>
          </cell>
          <cell r="EM48">
            <v>323505</v>
          </cell>
          <cell r="EN48">
            <v>157155</v>
          </cell>
          <cell r="EO48">
            <v>2123900</v>
          </cell>
          <cell r="EP48">
            <v>148360</v>
          </cell>
          <cell r="EQ48">
            <v>6.5299999999999997E-2</v>
          </cell>
          <cell r="ER48">
            <v>0</v>
          </cell>
          <cell r="ES48">
            <v>0</v>
          </cell>
          <cell r="ET48">
            <v>0</v>
          </cell>
          <cell r="EU48">
            <v>0</v>
          </cell>
          <cell r="EV48">
            <v>0</v>
          </cell>
          <cell r="EW48">
            <v>0</v>
          </cell>
          <cell r="EX48">
            <v>13852</v>
          </cell>
          <cell r="EY48">
            <v>307492</v>
          </cell>
          <cell r="EZ48">
            <v>69609</v>
          </cell>
          <cell r="FA48">
            <v>10370</v>
          </cell>
          <cell r="FB48">
            <v>44990</v>
          </cell>
          <cell r="FC48">
            <v>74563</v>
          </cell>
          <cell r="FD48">
            <v>3102</v>
          </cell>
          <cell r="FE48">
            <v>22767</v>
          </cell>
          <cell r="FF48">
            <v>144172</v>
          </cell>
          <cell r="FG48">
            <v>13472</v>
          </cell>
          <cell r="FH48">
            <v>67757</v>
          </cell>
          <cell r="FI48">
            <v>225401</v>
          </cell>
          <cell r="FJ48">
            <v>2141</v>
          </cell>
          <cell r="FK48">
            <v>91</v>
          </cell>
          <cell r="FM48">
            <v>225401</v>
          </cell>
          <cell r="FN48">
            <v>8224</v>
          </cell>
          <cell r="FO48">
            <v>134</v>
          </cell>
          <cell r="FP48">
            <v>0</v>
          </cell>
          <cell r="FQ48">
            <v>6</v>
          </cell>
          <cell r="FR48">
            <v>88</v>
          </cell>
          <cell r="FS48">
            <v>94</v>
          </cell>
          <cell r="FT48">
            <v>44141</v>
          </cell>
          <cell r="FU48">
            <v>3505</v>
          </cell>
          <cell r="FV48">
            <v>0</v>
          </cell>
          <cell r="FW48">
            <v>0</v>
          </cell>
          <cell r="FX48">
            <v>8544</v>
          </cell>
          <cell r="FY48">
            <v>1573</v>
          </cell>
          <cell r="FZ48">
            <v>322</v>
          </cell>
          <cell r="GA48">
            <v>0</v>
          </cell>
          <cell r="GJ48">
            <v>11233</v>
          </cell>
          <cell r="GK48">
            <v>1777</v>
          </cell>
          <cell r="GL48">
            <v>212</v>
          </cell>
          <cell r="GM48">
            <v>100</v>
          </cell>
          <cell r="GN48">
            <v>63918</v>
          </cell>
          <cell r="GO48">
            <v>6855</v>
          </cell>
          <cell r="GP48">
            <v>534</v>
          </cell>
          <cell r="GQ48">
            <v>100</v>
          </cell>
          <cell r="GR48">
            <v>108</v>
          </cell>
          <cell r="GT48">
            <v>124080</v>
          </cell>
          <cell r="GU48">
            <v>12496</v>
          </cell>
          <cell r="GV48">
            <v>91499</v>
          </cell>
          <cell r="GW48">
            <v>47228</v>
          </cell>
          <cell r="GX48">
            <v>1804</v>
          </cell>
          <cell r="GY48">
            <v>35736</v>
          </cell>
          <cell r="GZ48">
            <v>171308</v>
          </cell>
          <cell r="HA48">
            <v>14300</v>
          </cell>
          <cell r="HB48">
            <v>127235</v>
          </cell>
          <cell r="HC48">
            <v>312843</v>
          </cell>
          <cell r="HD48">
            <v>0</v>
          </cell>
          <cell r="HE48">
            <v>314534</v>
          </cell>
          <cell r="HF48">
            <v>16991</v>
          </cell>
          <cell r="HG48">
            <v>1418</v>
          </cell>
          <cell r="HH48">
            <v>1691</v>
          </cell>
          <cell r="HI48">
            <v>12</v>
          </cell>
          <cell r="HJ48">
            <v>18421</v>
          </cell>
          <cell r="HK48">
            <v>332955</v>
          </cell>
          <cell r="HL48">
            <v>126</v>
          </cell>
          <cell r="HM48">
            <v>33250</v>
          </cell>
          <cell r="HN48">
            <v>33376</v>
          </cell>
          <cell r="HO48">
            <v>20</v>
          </cell>
          <cell r="HP48">
            <v>9416</v>
          </cell>
          <cell r="HQ48">
            <v>9436</v>
          </cell>
          <cell r="HR48">
            <v>0</v>
          </cell>
          <cell r="HS48">
            <v>104</v>
          </cell>
          <cell r="HT48">
            <v>104</v>
          </cell>
          <cell r="HU48">
            <v>2749</v>
          </cell>
          <cell r="HV48">
            <v>45665</v>
          </cell>
          <cell r="HW48">
            <v>9840</v>
          </cell>
          <cell r="HX48">
            <v>6502</v>
          </cell>
          <cell r="HY48">
            <v>16342</v>
          </cell>
          <cell r="HZ48">
            <v>62007</v>
          </cell>
          <cell r="IA48">
            <v>26427</v>
          </cell>
          <cell r="IB48">
            <v>27949</v>
          </cell>
          <cell r="IC48">
            <v>378620</v>
          </cell>
          <cell r="ID48">
            <v>378620</v>
          </cell>
          <cell r="IE48">
            <v>394962</v>
          </cell>
          <cell r="IF48">
            <v>164564</v>
          </cell>
          <cell r="IG48">
            <v>0</v>
          </cell>
          <cell r="IK48">
            <v>2.2000000000000001E-3</v>
          </cell>
          <cell r="IL48">
            <v>2.9999999999999997E-4</v>
          </cell>
          <cell r="IM48">
            <v>0.23219999999999999</v>
          </cell>
          <cell r="IN48">
            <v>0</v>
          </cell>
          <cell r="IO48">
            <v>0.2079</v>
          </cell>
          <cell r="IP48">
            <v>2.9999999999999997E-4</v>
          </cell>
          <cell r="IQ48">
            <v>0.73299999999999998</v>
          </cell>
          <cell r="IR48">
            <v>4.9000000000000002E-2</v>
          </cell>
          <cell r="IS48">
            <v>0.43459999999999999</v>
          </cell>
          <cell r="IT48">
            <v>30591</v>
          </cell>
          <cell r="IU48">
            <v>30974</v>
          </cell>
          <cell r="IV48">
            <v>61565</v>
          </cell>
          <cell r="IW48">
            <v>0.4647</v>
          </cell>
          <cell r="IX48">
            <v>251707</v>
          </cell>
          <cell r="IZ48">
            <v>603</v>
          </cell>
          <cell r="JA48">
            <v>379</v>
          </cell>
          <cell r="JB48">
            <v>665</v>
          </cell>
          <cell r="JC48">
            <v>7</v>
          </cell>
          <cell r="JD48">
            <v>23</v>
          </cell>
          <cell r="JE48">
            <v>66</v>
          </cell>
          <cell r="JF48">
            <v>610</v>
          </cell>
          <cell r="JG48">
            <v>402</v>
          </cell>
          <cell r="JH48">
            <v>731</v>
          </cell>
          <cell r="JI48">
            <v>1743</v>
          </cell>
          <cell r="JJ48">
            <v>1647</v>
          </cell>
          <cell r="JK48">
            <v>96</v>
          </cell>
          <cell r="JL48">
            <v>2973</v>
          </cell>
          <cell r="JM48">
            <v>3546</v>
          </cell>
          <cell r="JN48">
            <v>14890</v>
          </cell>
          <cell r="JO48">
            <v>157</v>
          </cell>
          <cell r="JP48">
            <v>588</v>
          </cell>
          <cell r="JQ48">
            <v>1710</v>
          </cell>
          <cell r="JR48">
            <v>3130</v>
          </cell>
          <cell r="JS48">
            <v>4134</v>
          </cell>
          <cell r="JT48">
            <v>16600</v>
          </cell>
          <cell r="JU48">
            <v>23864</v>
          </cell>
          <cell r="JV48">
            <v>21409</v>
          </cell>
          <cell r="JW48">
            <v>2455</v>
          </cell>
          <cell r="JX48">
            <v>13.69</v>
          </cell>
          <cell r="JY48">
            <v>5.13</v>
          </cell>
          <cell r="JZ48">
            <v>22.71</v>
          </cell>
          <cell r="KA48">
            <v>0.13</v>
          </cell>
          <cell r="KB48">
            <v>0.7</v>
          </cell>
          <cell r="KM48">
            <v>53874</v>
          </cell>
          <cell r="KN48">
            <v>32103</v>
          </cell>
          <cell r="KO48">
            <v>3293</v>
          </cell>
          <cell r="KQ48">
            <v>1050</v>
          </cell>
          <cell r="KR48">
            <v>10261</v>
          </cell>
          <cell r="KS48">
            <v>21272</v>
          </cell>
          <cell r="KT48">
            <v>11450</v>
          </cell>
          <cell r="KU48">
            <v>40</v>
          </cell>
          <cell r="KV48">
            <v>52</v>
          </cell>
          <cell r="KW48">
            <v>68137</v>
          </cell>
          <cell r="KY48">
            <v>69436</v>
          </cell>
          <cell r="KZ48">
            <v>67275</v>
          </cell>
          <cell r="LC48" t="str">
            <v>IREDELL COUNTY LIBRARY</v>
          </cell>
          <cell r="LD48" t="str">
            <v>County Owned</v>
          </cell>
          <cell r="LE48" t="str">
            <v>PO BOX 1810</v>
          </cell>
          <cell r="LF48" t="str">
            <v>STATESVILLE</v>
          </cell>
          <cell r="LG48">
            <v>28687</v>
          </cell>
          <cell r="LH48">
            <v>1810</v>
          </cell>
          <cell r="LI48" t="str">
            <v>201 N TRADD ST</v>
          </cell>
          <cell r="LJ48" t="str">
            <v>STATESVILLE</v>
          </cell>
          <cell r="LK48">
            <v>28687</v>
          </cell>
          <cell r="LL48">
            <v>1810</v>
          </cell>
          <cell r="LM48" t="str">
            <v>IREDELL</v>
          </cell>
          <cell r="LN48">
            <v>7048783090</v>
          </cell>
          <cell r="LP48">
            <v>64000</v>
          </cell>
          <cell r="LQ48">
            <v>31.36</v>
          </cell>
          <cell r="LS48">
            <v>9048</v>
          </cell>
          <cell r="LT48">
            <v>156</v>
          </cell>
          <cell r="LW48">
            <v>2</v>
          </cell>
          <cell r="LX48" t="str">
            <v>C-IREDELL-I</v>
          </cell>
          <cell r="LY48">
            <v>0</v>
          </cell>
          <cell r="LZ48" t="str">
            <v>CE</v>
          </cell>
          <cell r="MA48">
            <v>97.63</v>
          </cell>
          <cell r="MB48">
            <v>74.5</v>
          </cell>
        </row>
        <row r="49">
          <cell r="A49" t="str">
            <v>NC0100</v>
          </cell>
          <cell r="B49">
            <v>0</v>
          </cell>
          <cell r="C49">
            <v>1375</v>
          </cell>
          <cell r="D49">
            <v>2017</v>
          </cell>
          <cell r="E49">
            <v>0</v>
          </cell>
          <cell r="F49" t="str">
            <v>NC0100</v>
          </cell>
          <cell r="G49" t="str">
            <v>M-KINGS MOUNTAIN</v>
          </cell>
          <cell r="H49" t="str">
            <v>NO</v>
          </cell>
          <cell r="I49" t="str">
            <v>CI</v>
          </cell>
          <cell r="J49" t="str">
            <v>SO</v>
          </cell>
          <cell r="K49" t="str">
            <v>Y</v>
          </cell>
          <cell r="L49" t="str">
            <v>CI1</v>
          </cell>
          <cell r="M49" t="str">
            <v>N</v>
          </cell>
          <cell r="N49">
            <v>10667</v>
          </cell>
          <cell r="O49" t="str">
            <v>Yes</v>
          </cell>
          <cell r="P49">
            <v>127</v>
          </cell>
          <cell r="Q49">
            <v>50</v>
          </cell>
          <cell r="R49">
            <v>24</v>
          </cell>
          <cell r="S49">
            <v>7</v>
          </cell>
          <cell r="T49">
            <v>1777</v>
          </cell>
          <cell r="U49">
            <v>130</v>
          </cell>
          <cell r="V49">
            <v>9587</v>
          </cell>
          <cell r="W49">
            <v>940</v>
          </cell>
          <cell r="X49">
            <v>9215</v>
          </cell>
          <cell r="Y49">
            <v>13982</v>
          </cell>
          <cell r="Z49" t="str">
            <v>100 S PIEDMONT AVE</v>
          </cell>
          <cell r="AA49" t="str">
            <v>KINGS MOUNTAIN</v>
          </cell>
          <cell r="AB49">
            <v>28086</v>
          </cell>
          <cell r="AC49">
            <v>3414</v>
          </cell>
          <cell r="AD49" t="str">
            <v>100 S PIEDMONT AVE</v>
          </cell>
          <cell r="AE49" t="str">
            <v>KINGS MOUNTAIN</v>
          </cell>
          <cell r="AF49">
            <v>28086</v>
          </cell>
          <cell r="AG49">
            <v>2</v>
          </cell>
          <cell r="AH49" t="str">
            <v>JACOB MAUNEY MEMORIAL LIBRARY</v>
          </cell>
          <cell r="AJ49" t="str">
            <v>Municipal</v>
          </cell>
          <cell r="AK49" t="str">
            <v>CLEVELAND</v>
          </cell>
          <cell r="AL49" t="str">
            <v>Sharon Stack</v>
          </cell>
          <cell r="AM49" t="str">
            <v>(704) 739-2371</v>
          </cell>
          <cell r="AN49" t="str">
            <v>(704) 734-4499</v>
          </cell>
          <cell r="AO49" t="str">
            <v>sstack@mauneylibrary.org</v>
          </cell>
          <cell r="AP49" t="str">
            <v>Sharon Stack</v>
          </cell>
          <cell r="AQ49" t="str">
            <v>Library Director</v>
          </cell>
          <cell r="AR49" t="str">
            <v>(704) 739-2371</v>
          </cell>
          <cell r="AS49" t="str">
            <v>(704) 734-4499</v>
          </cell>
          <cell r="AT49" t="str">
            <v>sstack@mauneylibrary.org</v>
          </cell>
          <cell r="AU49" t="str">
            <v>mauneylibrary.org</v>
          </cell>
          <cell r="BC49">
            <v>1</v>
          </cell>
          <cell r="BD49">
            <v>0</v>
          </cell>
          <cell r="BE49">
            <v>0</v>
          </cell>
          <cell r="BF49">
            <v>1</v>
          </cell>
          <cell r="BG49">
            <v>2</v>
          </cell>
          <cell r="BI49">
            <v>2704</v>
          </cell>
          <cell r="BJ49">
            <v>2</v>
          </cell>
          <cell r="BK49">
            <v>1</v>
          </cell>
          <cell r="BL49">
            <v>3</v>
          </cell>
          <cell r="BM49">
            <v>5</v>
          </cell>
          <cell r="BN49">
            <v>8</v>
          </cell>
          <cell r="BO49">
            <v>0.25</v>
          </cell>
          <cell r="BP49">
            <v>200</v>
          </cell>
          <cell r="BQ49">
            <v>56613</v>
          </cell>
          <cell r="BT49">
            <v>0</v>
          </cell>
          <cell r="DK49">
            <v>29186</v>
          </cell>
          <cell r="DL49">
            <v>43328</v>
          </cell>
          <cell r="DM49">
            <v>34693</v>
          </cell>
          <cell r="DO49">
            <v>26473</v>
          </cell>
          <cell r="DP49">
            <v>39299</v>
          </cell>
          <cell r="DQ49">
            <v>28515</v>
          </cell>
          <cell r="DV49">
            <v>626476</v>
          </cell>
          <cell r="DW49">
            <v>70000</v>
          </cell>
          <cell r="DX49">
            <v>696476</v>
          </cell>
          <cell r="DY49">
            <v>9117</v>
          </cell>
          <cell r="DZ49">
            <v>0</v>
          </cell>
          <cell r="EA49">
            <v>9117</v>
          </cell>
          <cell r="EB49">
            <v>35757</v>
          </cell>
          <cell r="EC49">
            <v>0</v>
          </cell>
          <cell r="ED49">
            <v>35757</v>
          </cell>
          <cell r="EE49">
            <v>0</v>
          </cell>
          <cell r="EF49">
            <v>741350</v>
          </cell>
          <cell r="EG49">
            <v>261586</v>
          </cell>
          <cell r="EH49">
            <v>150001</v>
          </cell>
          <cell r="EI49">
            <v>411587</v>
          </cell>
          <cell r="EJ49">
            <v>55548</v>
          </cell>
          <cell r="EK49">
            <v>43400</v>
          </cell>
          <cell r="EL49">
            <v>0</v>
          </cell>
          <cell r="EM49">
            <v>98948</v>
          </cell>
          <cell r="EN49">
            <v>118595</v>
          </cell>
          <cell r="EO49">
            <v>629130</v>
          </cell>
          <cell r="EP49">
            <v>112220</v>
          </cell>
          <cell r="EQ49">
            <v>0.15140000000000001</v>
          </cell>
          <cell r="ER49">
            <v>0</v>
          </cell>
          <cell r="ES49">
            <v>0</v>
          </cell>
          <cell r="ET49">
            <v>0</v>
          </cell>
          <cell r="EU49">
            <v>0</v>
          </cell>
          <cell r="EV49">
            <v>0</v>
          </cell>
          <cell r="EW49">
            <v>0</v>
          </cell>
          <cell r="EX49">
            <v>17960</v>
          </cell>
          <cell r="EY49">
            <v>138966</v>
          </cell>
          <cell r="EZ49">
            <v>9574</v>
          </cell>
          <cell r="FA49">
            <v>1619</v>
          </cell>
          <cell r="FB49">
            <v>11570</v>
          </cell>
          <cell r="FC49">
            <v>11404</v>
          </cell>
          <cell r="FD49">
            <v>0</v>
          </cell>
          <cell r="FE49">
            <v>5246</v>
          </cell>
          <cell r="FF49">
            <v>20978</v>
          </cell>
          <cell r="FG49">
            <v>1619</v>
          </cell>
          <cell r="FH49">
            <v>16816</v>
          </cell>
          <cell r="FI49">
            <v>39413</v>
          </cell>
          <cell r="FJ49">
            <v>0</v>
          </cell>
          <cell r="FK49">
            <v>85</v>
          </cell>
          <cell r="FM49">
            <v>39413</v>
          </cell>
          <cell r="FN49">
            <v>673</v>
          </cell>
          <cell r="FO49">
            <v>2814</v>
          </cell>
          <cell r="FP49">
            <v>77</v>
          </cell>
          <cell r="FQ49">
            <v>-1</v>
          </cell>
          <cell r="FR49">
            <v>88</v>
          </cell>
          <cell r="FS49">
            <v>87</v>
          </cell>
          <cell r="FT49">
            <v>44141</v>
          </cell>
          <cell r="FU49">
            <v>3505</v>
          </cell>
          <cell r="FV49">
            <v>0</v>
          </cell>
          <cell r="FW49">
            <v>0</v>
          </cell>
          <cell r="FX49">
            <v>8544</v>
          </cell>
          <cell r="FY49">
            <v>1573</v>
          </cell>
          <cell r="FZ49">
            <v>322</v>
          </cell>
          <cell r="GA49">
            <v>0</v>
          </cell>
          <cell r="GB49">
            <v>26436</v>
          </cell>
          <cell r="GC49">
            <v>1747</v>
          </cell>
          <cell r="GD49">
            <v>278</v>
          </cell>
          <cell r="GE49">
            <v>0</v>
          </cell>
          <cell r="GJ49">
            <v>0</v>
          </cell>
          <cell r="GK49">
            <v>9171</v>
          </cell>
          <cell r="GL49">
            <v>50</v>
          </cell>
          <cell r="GM49">
            <v>50</v>
          </cell>
          <cell r="GN49">
            <v>79121</v>
          </cell>
          <cell r="GO49">
            <v>15996</v>
          </cell>
          <cell r="GP49">
            <v>650</v>
          </cell>
          <cell r="GQ49">
            <v>50</v>
          </cell>
          <cell r="GR49">
            <v>53</v>
          </cell>
          <cell r="GT49">
            <v>18753</v>
          </cell>
          <cell r="GU49">
            <v>3316</v>
          </cell>
          <cell r="GV49">
            <v>26155</v>
          </cell>
          <cell r="GW49">
            <v>6864</v>
          </cell>
          <cell r="GX49">
            <v>31</v>
          </cell>
          <cell r="GY49">
            <v>5734</v>
          </cell>
          <cell r="GZ49">
            <v>25617</v>
          </cell>
          <cell r="HA49">
            <v>3347</v>
          </cell>
          <cell r="HB49">
            <v>31889</v>
          </cell>
          <cell r="HC49">
            <v>60853</v>
          </cell>
          <cell r="HD49">
            <v>353</v>
          </cell>
          <cell r="HE49">
            <v>62480</v>
          </cell>
          <cell r="HF49">
            <v>1591</v>
          </cell>
          <cell r="HG49">
            <v>11329</v>
          </cell>
          <cell r="HH49">
            <v>1274</v>
          </cell>
          <cell r="HI49">
            <v>16</v>
          </cell>
          <cell r="HJ49">
            <v>12936</v>
          </cell>
          <cell r="HK49">
            <v>75416</v>
          </cell>
          <cell r="HL49">
            <v>16</v>
          </cell>
          <cell r="HM49">
            <v>3402</v>
          </cell>
          <cell r="HN49">
            <v>3418</v>
          </cell>
          <cell r="HO49">
            <v>166</v>
          </cell>
          <cell r="HP49">
            <v>575</v>
          </cell>
          <cell r="HQ49">
            <v>741</v>
          </cell>
          <cell r="HR49">
            <v>0</v>
          </cell>
          <cell r="HS49">
            <v>19</v>
          </cell>
          <cell r="HT49">
            <v>19</v>
          </cell>
          <cell r="HU49">
            <v>82</v>
          </cell>
          <cell r="HV49">
            <v>4260</v>
          </cell>
          <cell r="HW49">
            <v>1408</v>
          </cell>
          <cell r="HX49">
            <v>16050</v>
          </cell>
          <cell r="HY49">
            <v>17458</v>
          </cell>
          <cell r="HZ49">
            <v>21718</v>
          </cell>
          <cell r="IA49">
            <v>2332</v>
          </cell>
          <cell r="IB49">
            <v>13680</v>
          </cell>
          <cell r="IC49">
            <v>79676</v>
          </cell>
          <cell r="ID49">
            <v>79676</v>
          </cell>
          <cell r="IE49">
            <v>97134</v>
          </cell>
          <cell r="IF49">
            <v>29471</v>
          </cell>
          <cell r="IG49">
            <v>20</v>
          </cell>
          <cell r="IJ49">
            <v>1</v>
          </cell>
          <cell r="IK49">
            <v>2.4899999999999999E-2</v>
          </cell>
          <cell r="IL49">
            <v>5.9999999999999995E-4</v>
          </cell>
          <cell r="IM49">
            <v>0.6895</v>
          </cell>
          <cell r="IN49">
            <v>0</v>
          </cell>
          <cell r="IO49">
            <v>0.56940000000000002</v>
          </cell>
          <cell r="IP49">
            <v>5.9999999999999995E-4</v>
          </cell>
          <cell r="IQ49">
            <v>0.28360000000000002</v>
          </cell>
          <cell r="IR49">
            <v>0.12</v>
          </cell>
          <cell r="IS49">
            <v>0.36990000000000001</v>
          </cell>
          <cell r="IT49">
            <v>13423</v>
          </cell>
          <cell r="IU49">
            <v>6</v>
          </cell>
          <cell r="IV49">
            <v>13429</v>
          </cell>
          <cell r="IW49">
            <v>1.2588999999999999</v>
          </cell>
          <cell r="IX49">
            <v>84447</v>
          </cell>
          <cell r="IZ49">
            <v>137</v>
          </cell>
          <cell r="JA49">
            <v>13</v>
          </cell>
          <cell r="JB49">
            <v>138</v>
          </cell>
          <cell r="JC49">
            <v>9</v>
          </cell>
          <cell r="JD49">
            <v>4</v>
          </cell>
          <cell r="JE49">
            <v>162</v>
          </cell>
          <cell r="JF49">
            <v>146</v>
          </cell>
          <cell r="JG49">
            <v>17</v>
          </cell>
          <cell r="JH49">
            <v>300</v>
          </cell>
          <cell r="JI49">
            <v>463</v>
          </cell>
          <cell r="JJ49">
            <v>288</v>
          </cell>
          <cell r="JK49">
            <v>175</v>
          </cell>
          <cell r="JL49">
            <v>1414</v>
          </cell>
          <cell r="JM49">
            <v>254</v>
          </cell>
          <cell r="JN49">
            <v>3608</v>
          </cell>
          <cell r="JO49">
            <v>218</v>
          </cell>
          <cell r="JP49">
            <v>920</v>
          </cell>
          <cell r="JQ49">
            <v>4395</v>
          </cell>
          <cell r="JR49">
            <v>1632</v>
          </cell>
          <cell r="JS49">
            <v>1174</v>
          </cell>
          <cell r="JT49">
            <v>8003</v>
          </cell>
          <cell r="JU49">
            <v>10809</v>
          </cell>
          <cell r="JV49">
            <v>5276</v>
          </cell>
          <cell r="JW49">
            <v>5533</v>
          </cell>
          <cell r="JX49">
            <v>23.35</v>
          </cell>
          <cell r="JY49">
            <v>11.18</v>
          </cell>
          <cell r="JZ49">
            <v>26.68</v>
          </cell>
          <cell r="KA49">
            <v>0.15</v>
          </cell>
          <cell r="KB49">
            <v>0.74</v>
          </cell>
          <cell r="KC49">
            <v>16</v>
          </cell>
          <cell r="KD49">
            <v>64</v>
          </cell>
          <cell r="KE49">
            <v>23</v>
          </cell>
          <cell r="KF49">
            <v>97</v>
          </cell>
          <cell r="KG49">
            <v>0</v>
          </cell>
          <cell r="KH49">
            <v>0</v>
          </cell>
          <cell r="KI49">
            <v>0</v>
          </cell>
          <cell r="KJ49">
            <v>0</v>
          </cell>
          <cell r="KK49">
            <v>0</v>
          </cell>
          <cell r="KL49">
            <v>0</v>
          </cell>
          <cell r="KM49">
            <v>5901</v>
          </cell>
          <cell r="KN49">
            <v>3902</v>
          </cell>
          <cell r="KO49">
            <v>651</v>
          </cell>
          <cell r="KQ49">
            <v>73</v>
          </cell>
          <cell r="KR49">
            <v>1859</v>
          </cell>
          <cell r="KS49">
            <v>4800</v>
          </cell>
          <cell r="KT49">
            <v>3698</v>
          </cell>
          <cell r="KU49">
            <v>11</v>
          </cell>
          <cell r="KV49">
            <v>29</v>
          </cell>
          <cell r="KW49">
            <v>21927</v>
          </cell>
          <cell r="KY49">
            <v>35322</v>
          </cell>
          <cell r="KZ49">
            <v>20075</v>
          </cell>
          <cell r="LC49" t="str">
            <v>JACOB MAUNEY MEMORIAL LIBRARY</v>
          </cell>
          <cell r="LD49" t="str">
            <v>City Owned</v>
          </cell>
          <cell r="LE49" t="str">
            <v>100 S PIEDMONT AVE</v>
          </cell>
          <cell r="LF49" t="str">
            <v>KINGS MOUNTAIN</v>
          </cell>
          <cell r="LG49">
            <v>28086</v>
          </cell>
          <cell r="LH49">
            <v>3414</v>
          </cell>
          <cell r="LI49" t="str">
            <v>100 S PIEDMONT AVE</v>
          </cell>
          <cell r="LJ49" t="str">
            <v>KINGS MOUNTAIN</v>
          </cell>
          <cell r="LK49">
            <v>28086</v>
          </cell>
          <cell r="LL49">
            <v>3414</v>
          </cell>
          <cell r="LM49" t="str">
            <v>CLEVELAND</v>
          </cell>
          <cell r="LN49">
            <v>7047392371</v>
          </cell>
          <cell r="LO49">
            <v>7047344499</v>
          </cell>
          <cell r="LP49">
            <v>13457</v>
          </cell>
          <cell r="LQ49">
            <v>8.5</v>
          </cell>
          <cell r="LS49">
            <v>2704</v>
          </cell>
          <cell r="LT49">
            <v>52</v>
          </cell>
          <cell r="LW49">
            <v>2</v>
          </cell>
          <cell r="LX49" t="str">
            <v>M-KINGSMOUNTAIN-M</v>
          </cell>
          <cell r="LY49">
            <v>0</v>
          </cell>
          <cell r="LZ49" t="str">
            <v>CE</v>
          </cell>
          <cell r="MA49">
            <v>2.08</v>
          </cell>
          <cell r="MB49">
            <v>10.96</v>
          </cell>
        </row>
        <row r="50">
          <cell r="A50" t="str">
            <v>NC0042</v>
          </cell>
          <cell r="B50">
            <v>0</v>
          </cell>
          <cell r="C50">
            <v>1375</v>
          </cell>
          <cell r="D50">
            <v>2017</v>
          </cell>
          <cell r="E50">
            <v>0</v>
          </cell>
          <cell r="F50" t="str">
            <v>NC0042</v>
          </cell>
          <cell r="G50" t="str">
            <v>C-LEE</v>
          </cell>
          <cell r="H50" t="str">
            <v>NO</v>
          </cell>
          <cell r="I50" t="str">
            <v>CO</v>
          </cell>
          <cell r="J50" t="str">
            <v>MO</v>
          </cell>
          <cell r="K50" t="str">
            <v>Y</v>
          </cell>
          <cell r="L50" t="str">
            <v>CO1</v>
          </cell>
          <cell r="M50" t="str">
            <v>N</v>
          </cell>
          <cell r="N50">
            <v>58908</v>
          </cell>
          <cell r="O50" t="str">
            <v>Yes</v>
          </cell>
          <cell r="P50">
            <v>123</v>
          </cell>
          <cell r="Q50">
            <v>10</v>
          </cell>
          <cell r="R50">
            <v>19</v>
          </cell>
          <cell r="S50">
            <v>2</v>
          </cell>
          <cell r="T50">
            <v>947</v>
          </cell>
          <cell r="U50">
            <v>50</v>
          </cell>
          <cell r="V50">
            <v>9558</v>
          </cell>
          <cell r="W50">
            <v>727</v>
          </cell>
          <cell r="Z50" t="str">
            <v>107 HAWKINS AVE</v>
          </cell>
          <cell r="AA50" t="str">
            <v>SANFORD</v>
          </cell>
          <cell r="AB50">
            <v>27330</v>
          </cell>
          <cell r="AC50">
            <v>4399</v>
          </cell>
          <cell r="AD50" t="str">
            <v>107 HAWKINS AVE</v>
          </cell>
          <cell r="AE50" t="str">
            <v>SANFORD</v>
          </cell>
          <cell r="AF50">
            <v>27330</v>
          </cell>
          <cell r="AG50">
            <v>2</v>
          </cell>
          <cell r="AH50" t="str">
            <v>LEE COUNTY LIBRARY</v>
          </cell>
          <cell r="AJ50" t="str">
            <v>County</v>
          </cell>
          <cell r="AK50" t="str">
            <v>LEE</v>
          </cell>
          <cell r="AL50" t="str">
            <v>Beth List</v>
          </cell>
          <cell r="AM50" t="str">
            <v>(919) 718-4665</v>
          </cell>
          <cell r="AN50" t="str">
            <v>(919) 775-1832</v>
          </cell>
          <cell r="AO50" t="str">
            <v>blist@leecountync.gov</v>
          </cell>
          <cell r="AP50" t="str">
            <v>Beth List</v>
          </cell>
          <cell r="AQ50" t="str">
            <v>Library Director</v>
          </cell>
          <cell r="AR50" t="str">
            <v>(919) 718-4665</v>
          </cell>
          <cell r="AS50" t="str">
            <v>(919) 775-1832</v>
          </cell>
          <cell r="AT50" t="str">
            <v>blist@leecountync.gov</v>
          </cell>
          <cell r="AU50" t="str">
            <v>www.leecountync.gov/library</v>
          </cell>
          <cell r="BC50">
            <v>1</v>
          </cell>
          <cell r="BD50">
            <v>1</v>
          </cell>
          <cell r="BE50">
            <v>0</v>
          </cell>
          <cell r="BF50">
            <v>2</v>
          </cell>
          <cell r="BG50">
            <v>4</v>
          </cell>
          <cell r="BI50">
            <v>3484</v>
          </cell>
          <cell r="BJ50">
            <v>3</v>
          </cell>
          <cell r="BK50">
            <v>0</v>
          </cell>
          <cell r="BL50">
            <v>3</v>
          </cell>
          <cell r="BM50">
            <v>5</v>
          </cell>
          <cell r="BN50">
            <v>8</v>
          </cell>
          <cell r="BO50">
            <v>0.375</v>
          </cell>
          <cell r="BP50">
            <v>270</v>
          </cell>
          <cell r="BQ50">
            <v>67500</v>
          </cell>
          <cell r="CZ50">
            <v>41538</v>
          </cell>
          <cell r="DA50">
            <v>53792</v>
          </cell>
          <cell r="DB50">
            <v>41538</v>
          </cell>
          <cell r="DD50">
            <v>37966</v>
          </cell>
          <cell r="DE50">
            <v>60366</v>
          </cell>
          <cell r="DF50">
            <v>38725</v>
          </cell>
          <cell r="DO50">
            <v>25329</v>
          </cell>
          <cell r="DP50">
            <v>40273</v>
          </cell>
          <cell r="DQ50">
            <v>31000</v>
          </cell>
          <cell r="DV50">
            <v>0</v>
          </cell>
          <cell r="DW50">
            <v>472808</v>
          </cell>
          <cell r="DX50">
            <v>472808</v>
          </cell>
          <cell r="DY50">
            <v>110935</v>
          </cell>
          <cell r="DZ50">
            <v>0</v>
          </cell>
          <cell r="EA50">
            <v>110935</v>
          </cell>
          <cell r="EB50">
            <v>0</v>
          </cell>
          <cell r="EC50">
            <v>0</v>
          </cell>
          <cell r="ED50">
            <v>0</v>
          </cell>
          <cell r="EE50">
            <v>21106</v>
          </cell>
          <cell r="EF50">
            <v>604849</v>
          </cell>
          <cell r="EG50">
            <v>357724</v>
          </cell>
          <cell r="EH50">
            <v>85228</v>
          </cell>
          <cell r="EI50">
            <v>442952</v>
          </cell>
          <cell r="EJ50">
            <v>65174</v>
          </cell>
          <cell r="EK50">
            <v>7800</v>
          </cell>
          <cell r="EL50">
            <v>16020</v>
          </cell>
          <cell r="EM50">
            <v>88994</v>
          </cell>
          <cell r="EN50">
            <v>72903</v>
          </cell>
          <cell r="EO50">
            <v>604849</v>
          </cell>
          <cell r="EP50">
            <v>0</v>
          </cell>
          <cell r="EQ50">
            <v>0</v>
          </cell>
          <cell r="ER50">
            <v>0</v>
          </cell>
          <cell r="ES50">
            <v>0</v>
          </cell>
          <cell r="ET50">
            <v>0</v>
          </cell>
          <cell r="EU50">
            <v>0</v>
          </cell>
          <cell r="EV50">
            <v>0</v>
          </cell>
          <cell r="EW50">
            <v>280</v>
          </cell>
          <cell r="EX50">
            <v>13286</v>
          </cell>
          <cell r="EY50">
            <v>215927</v>
          </cell>
          <cell r="EZ50">
            <v>33149</v>
          </cell>
          <cell r="FA50">
            <v>1399</v>
          </cell>
          <cell r="FB50">
            <v>21282</v>
          </cell>
          <cell r="FC50">
            <v>46491</v>
          </cell>
          <cell r="FD50">
            <v>219</v>
          </cell>
          <cell r="FE50">
            <v>18468</v>
          </cell>
          <cell r="FF50">
            <v>79640</v>
          </cell>
          <cell r="FG50">
            <v>1618</v>
          </cell>
          <cell r="FH50">
            <v>39750</v>
          </cell>
          <cell r="FI50">
            <v>121008</v>
          </cell>
          <cell r="FJ50">
            <v>152</v>
          </cell>
          <cell r="FK50">
            <v>95</v>
          </cell>
          <cell r="FM50">
            <v>121008</v>
          </cell>
          <cell r="FN50">
            <v>3289</v>
          </cell>
          <cell r="FO50">
            <v>4745</v>
          </cell>
          <cell r="FP50">
            <v>4</v>
          </cell>
          <cell r="FQ50">
            <v>0</v>
          </cell>
          <cell r="FR50">
            <v>88</v>
          </cell>
          <cell r="FS50">
            <v>88</v>
          </cell>
          <cell r="FT50">
            <v>44141</v>
          </cell>
          <cell r="FU50">
            <v>3505</v>
          </cell>
          <cell r="FV50">
            <v>0</v>
          </cell>
          <cell r="FW50">
            <v>0</v>
          </cell>
          <cell r="FX50">
            <v>8544</v>
          </cell>
          <cell r="FY50">
            <v>1573</v>
          </cell>
          <cell r="FZ50">
            <v>322</v>
          </cell>
          <cell r="GA50">
            <v>0</v>
          </cell>
          <cell r="GB50">
            <v>26436</v>
          </cell>
          <cell r="GC50">
            <v>1747</v>
          </cell>
          <cell r="GD50">
            <v>278</v>
          </cell>
          <cell r="GE50">
            <v>0</v>
          </cell>
          <cell r="GJ50">
            <v>0</v>
          </cell>
          <cell r="GK50">
            <v>0</v>
          </cell>
          <cell r="GL50">
            <v>0</v>
          </cell>
          <cell r="GM50">
            <v>0</v>
          </cell>
          <cell r="GN50">
            <v>79121</v>
          </cell>
          <cell r="GO50">
            <v>6825</v>
          </cell>
          <cell r="GP50">
            <v>600</v>
          </cell>
          <cell r="GQ50">
            <v>0</v>
          </cell>
          <cell r="GR50">
            <v>34</v>
          </cell>
          <cell r="GT50">
            <v>29373</v>
          </cell>
          <cell r="GU50">
            <v>1844</v>
          </cell>
          <cell r="GV50">
            <v>19002</v>
          </cell>
          <cell r="GW50">
            <v>8257</v>
          </cell>
          <cell r="GX50">
            <v>329</v>
          </cell>
          <cell r="GY50">
            <v>7611</v>
          </cell>
          <cell r="GZ50">
            <v>37630</v>
          </cell>
          <cell r="HA50">
            <v>2173</v>
          </cell>
          <cell r="HB50">
            <v>26613</v>
          </cell>
          <cell r="HC50">
            <v>66416</v>
          </cell>
          <cell r="HD50">
            <v>345</v>
          </cell>
          <cell r="HE50">
            <v>67038</v>
          </cell>
          <cell r="HF50">
            <v>5470</v>
          </cell>
          <cell r="HG50">
            <v>18918</v>
          </cell>
          <cell r="HH50">
            <v>277</v>
          </cell>
          <cell r="HI50">
            <v>202</v>
          </cell>
          <cell r="HJ50">
            <v>24590</v>
          </cell>
          <cell r="HK50">
            <v>91628</v>
          </cell>
          <cell r="HL50">
            <v>29</v>
          </cell>
          <cell r="HM50">
            <v>11477</v>
          </cell>
          <cell r="HN50">
            <v>11506</v>
          </cell>
          <cell r="HO50">
            <v>242</v>
          </cell>
          <cell r="HP50">
            <v>1688</v>
          </cell>
          <cell r="HQ50">
            <v>1930</v>
          </cell>
          <cell r="HR50">
            <v>0</v>
          </cell>
          <cell r="HS50">
            <v>17</v>
          </cell>
          <cell r="HT50">
            <v>17</v>
          </cell>
          <cell r="HU50">
            <v>509</v>
          </cell>
          <cell r="HV50">
            <v>13962</v>
          </cell>
          <cell r="HW50">
            <v>1476</v>
          </cell>
          <cell r="HX50">
            <v>5768</v>
          </cell>
          <cell r="HY50">
            <v>7244</v>
          </cell>
          <cell r="HZ50">
            <v>21206</v>
          </cell>
          <cell r="IA50">
            <v>7400</v>
          </cell>
          <cell r="IB50">
            <v>26335</v>
          </cell>
          <cell r="IC50">
            <v>105590</v>
          </cell>
          <cell r="ID50">
            <v>105590</v>
          </cell>
          <cell r="IE50">
            <v>112834</v>
          </cell>
          <cell r="IF50">
            <v>26698</v>
          </cell>
          <cell r="IG50">
            <v>22</v>
          </cell>
          <cell r="IJ50">
            <v>2</v>
          </cell>
          <cell r="IK50">
            <v>2.4799999999999999E-2</v>
          </cell>
          <cell r="IL50">
            <v>4.0000000000000002E-4</v>
          </cell>
          <cell r="IM50">
            <v>0.40079999999999999</v>
          </cell>
          <cell r="IN50">
            <v>0</v>
          </cell>
          <cell r="IO50">
            <v>0.3664</v>
          </cell>
          <cell r="IP50">
            <v>4.0000000000000002E-4</v>
          </cell>
          <cell r="IQ50">
            <v>0.56040000000000001</v>
          </cell>
          <cell r="IR50">
            <v>4.6800000000000001E-2</v>
          </cell>
          <cell r="IS50">
            <v>0.25280000000000002</v>
          </cell>
          <cell r="IT50">
            <v>27680</v>
          </cell>
          <cell r="IU50">
            <v>7197</v>
          </cell>
          <cell r="IV50">
            <v>34877</v>
          </cell>
          <cell r="IW50">
            <v>0.59209999999999996</v>
          </cell>
          <cell r="IX50">
            <v>195884</v>
          </cell>
          <cell r="IZ50">
            <v>110</v>
          </cell>
          <cell r="JA50">
            <v>7</v>
          </cell>
          <cell r="JB50">
            <v>136</v>
          </cell>
          <cell r="JC50">
            <v>2</v>
          </cell>
          <cell r="JD50">
            <v>0</v>
          </cell>
          <cell r="JE50">
            <v>36</v>
          </cell>
          <cell r="JF50">
            <v>112</v>
          </cell>
          <cell r="JG50">
            <v>7</v>
          </cell>
          <cell r="JH50">
            <v>172</v>
          </cell>
          <cell r="JI50">
            <v>291</v>
          </cell>
          <cell r="JJ50">
            <v>253</v>
          </cell>
          <cell r="JK50">
            <v>38</v>
          </cell>
          <cell r="JL50">
            <v>420</v>
          </cell>
          <cell r="JM50">
            <v>50</v>
          </cell>
          <cell r="JN50">
            <v>3807</v>
          </cell>
          <cell r="JO50">
            <v>100</v>
          </cell>
          <cell r="JP50">
            <v>0</v>
          </cell>
          <cell r="JQ50">
            <v>2908</v>
          </cell>
          <cell r="JR50">
            <v>520</v>
          </cell>
          <cell r="JS50">
            <v>50</v>
          </cell>
          <cell r="JT50">
            <v>6715</v>
          </cell>
          <cell r="JU50">
            <v>7285</v>
          </cell>
          <cell r="JV50">
            <v>4277</v>
          </cell>
          <cell r="JW50">
            <v>3008</v>
          </cell>
          <cell r="JX50">
            <v>25.03</v>
          </cell>
          <cell r="JY50">
            <v>4.6399999999999997</v>
          </cell>
          <cell r="JZ50">
            <v>39.04</v>
          </cell>
          <cell r="KA50">
            <v>7.0000000000000007E-2</v>
          </cell>
          <cell r="KB50">
            <v>0.92</v>
          </cell>
          <cell r="KC50">
            <v>15</v>
          </cell>
          <cell r="KD50">
            <v>58</v>
          </cell>
          <cell r="KE50">
            <v>48</v>
          </cell>
          <cell r="KF50">
            <v>194</v>
          </cell>
          <cell r="KM50">
            <v>16786</v>
          </cell>
          <cell r="KN50">
            <v>7084</v>
          </cell>
          <cell r="KO50">
            <v>1712</v>
          </cell>
          <cell r="KQ50">
            <v>348</v>
          </cell>
          <cell r="KR50">
            <v>2088</v>
          </cell>
          <cell r="KS50">
            <v>8050</v>
          </cell>
          <cell r="KT50">
            <v>8568</v>
          </cell>
          <cell r="KU50">
            <v>13</v>
          </cell>
          <cell r="KV50">
            <v>25</v>
          </cell>
          <cell r="KW50">
            <v>22500</v>
          </cell>
          <cell r="KY50">
            <v>28657</v>
          </cell>
          <cell r="LC50" t="str">
            <v>LEE COUNTY LIBRARY SYSTEM</v>
          </cell>
          <cell r="LD50" t="str">
            <v>County Owned</v>
          </cell>
          <cell r="LE50" t="str">
            <v>107 HAWKINS AVE</v>
          </cell>
          <cell r="LF50" t="str">
            <v>SANFORD</v>
          </cell>
          <cell r="LG50">
            <v>27330</v>
          </cell>
          <cell r="LH50">
            <v>4399</v>
          </cell>
          <cell r="LI50" t="str">
            <v>107 HAWKINS AVE</v>
          </cell>
          <cell r="LJ50" t="str">
            <v>SANFORD</v>
          </cell>
          <cell r="LK50">
            <v>27330</v>
          </cell>
          <cell r="LL50">
            <v>4399</v>
          </cell>
          <cell r="LM50" t="str">
            <v>LEE</v>
          </cell>
          <cell r="LN50">
            <v>9197184665</v>
          </cell>
          <cell r="LO50">
            <v>9197751832</v>
          </cell>
          <cell r="LP50">
            <v>19578</v>
          </cell>
          <cell r="LQ50">
            <v>9.1</v>
          </cell>
          <cell r="LS50">
            <v>3484</v>
          </cell>
          <cell r="LT50">
            <v>104</v>
          </cell>
          <cell r="LW50">
            <v>2</v>
          </cell>
          <cell r="LX50" t="str">
            <v>C-LEE-L</v>
          </cell>
          <cell r="LY50">
            <v>0</v>
          </cell>
          <cell r="LZ50" t="str">
            <v>CE</v>
          </cell>
          <cell r="MA50">
            <v>76.099999999999994</v>
          </cell>
          <cell r="MB50">
            <v>89</v>
          </cell>
        </row>
        <row r="51">
          <cell r="A51" t="str">
            <v>NC0106</v>
          </cell>
          <cell r="B51">
            <v>0</v>
          </cell>
          <cell r="C51">
            <v>1375</v>
          </cell>
          <cell r="D51">
            <v>2017</v>
          </cell>
          <cell r="E51">
            <v>0</v>
          </cell>
          <cell r="F51" t="str">
            <v>NC0106</v>
          </cell>
          <cell r="G51" t="str">
            <v>C-LINCOLN</v>
          </cell>
          <cell r="H51" t="str">
            <v>NO</v>
          </cell>
          <cell r="I51" t="str">
            <v>CC</v>
          </cell>
          <cell r="J51" t="str">
            <v>MA</v>
          </cell>
          <cell r="K51" t="str">
            <v>Y</v>
          </cell>
          <cell r="L51" t="str">
            <v>CO1</v>
          </cell>
          <cell r="M51" t="str">
            <v>N</v>
          </cell>
          <cell r="N51">
            <v>81397</v>
          </cell>
          <cell r="O51" t="str">
            <v>Yes</v>
          </cell>
          <cell r="P51">
            <v>191</v>
          </cell>
          <cell r="Q51">
            <v>17</v>
          </cell>
          <cell r="R51">
            <v>22</v>
          </cell>
          <cell r="S51">
            <v>14</v>
          </cell>
          <cell r="T51">
            <v>1126</v>
          </cell>
          <cell r="U51">
            <v>312</v>
          </cell>
          <cell r="V51">
            <v>7633</v>
          </cell>
          <cell r="X51">
            <v>65615</v>
          </cell>
          <cell r="Y51">
            <v>8217</v>
          </cell>
          <cell r="Z51" t="str">
            <v>306 W MAIN ST</v>
          </cell>
          <cell r="AA51" t="str">
            <v>LINCOLNTON</v>
          </cell>
          <cell r="AB51">
            <v>28092</v>
          </cell>
          <cell r="AC51">
            <v>3416</v>
          </cell>
          <cell r="AD51" t="str">
            <v>306 W MAIN ST</v>
          </cell>
          <cell r="AE51" t="str">
            <v>LINCOLNTON</v>
          </cell>
          <cell r="AF51">
            <v>28092</v>
          </cell>
          <cell r="AG51">
            <v>3</v>
          </cell>
          <cell r="AH51" t="str">
            <v>LINCOLN COUNTY PUBLIC LIBRARY</v>
          </cell>
          <cell r="AJ51" t="str">
            <v>County</v>
          </cell>
          <cell r="AK51" t="str">
            <v>LINCOLN</v>
          </cell>
          <cell r="AL51" t="str">
            <v>Jennifer Sackett</v>
          </cell>
          <cell r="AM51" t="str">
            <v>(704) 735-8044</v>
          </cell>
          <cell r="AN51" t="str">
            <v>(704) 732-9042</v>
          </cell>
          <cell r="AO51" t="str">
            <v>jsackett@lincolncounty.org</v>
          </cell>
          <cell r="AP51" t="str">
            <v>Stephanie Green</v>
          </cell>
          <cell r="AQ51" t="str">
            <v>Library Administrative Assistant</v>
          </cell>
          <cell r="AR51" t="str">
            <v>(704) 732-0548</v>
          </cell>
          <cell r="AS51" t="str">
            <v>(704) 732-9042</v>
          </cell>
          <cell r="AT51" t="str">
            <v>sgreen@lincolncounty.org</v>
          </cell>
          <cell r="AU51" t="str">
            <v>www.mylincolnlibrary.org</v>
          </cell>
          <cell r="BC51">
            <v>1</v>
          </cell>
          <cell r="BD51">
            <v>2</v>
          </cell>
          <cell r="BE51">
            <v>0</v>
          </cell>
          <cell r="BF51">
            <v>1</v>
          </cell>
          <cell r="BG51">
            <v>4</v>
          </cell>
          <cell r="BI51">
            <v>7529</v>
          </cell>
          <cell r="BJ51">
            <v>3</v>
          </cell>
          <cell r="BK51">
            <v>1</v>
          </cell>
          <cell r="BL51">
            <v>4</v>
          </cell>
          <cell r="BM51">
            <v>18</v>
          </cell>
          <cell r="BN51">
            <v>22</v>
          </cell>
          <cell r="BO51">
            <v>0.13639999999999999</v>
          </cell>
          <cell r="BP51">
            <v>686</v>
          </cell>
          <cell r="BQ51">
            <v>80662</v>
          </cell>
          <cell r="BU51">
            <v>32802</v>
          </cell>
          <cell r="BV51">
            <v>47965</v>
          </cell>
          <cell r="BW51">
            <v>41136</v>
          </cell>
          <cell r="CG51">
            <v>39000</v>
          </cell>
          <cell r="CH51">
            <v>39000</v>
          </cell>
          <cell r="CI51">
            <v>39000</v>
          </cell>
          <cell r="DO51">
            <v>25002</v>
          </cell>
          <cell r="DP51">
            <v>28163</v>
          </cell>
          <cell r="DQ51">
            <v>26239</v>
          </cell>
          <cell r="DV51">
            <v>0</v>
          </cell>
          <cell r="DW51">
            <v>1209484</v>
          </cell>
          <cell r="DX51">
            <v>1209484</v>
          </cell>
          <cell r="DY51">
            <v>118507</v>
          </cell>
          <cell r="DZ51">
            <v>0</v>
          </cell>
          <cell r="EA51">
            <v>118507</v>
          </cell>
          <cell r="EB51">
            <v>59486</v>
          </cell>
          <cell r="EC51">
            <v>0</v>
          </cell>
          <cell r="ED51">
            <v>59486</v>
          </cell>
          <cell r="EE51">
            <v>5151</v>
          </cell>
          <cell r="EF51">
            <v>1392628</v>
          </cell>
          <cell r="EG51">
            <v>546112</v>
          </cell>
          <cell r="EH51">
            <v>226451</v>
          </cell>
          <cell r="EI51">
            <v>772563</v>
          </cell>
          <cell r="EJ51">
            <v>181075</v>
          </cell>
          <cell r="EK51">
            <v>64056</v>
          </cell>
          <cell r="EL51">
            <v>16293</v>
          </cell>
          <cell r="EM51">
            <v>261424</v>
          </cell>
          <cell r="EN51">
            <v>293547</v>
          </cell>
          <cell r="EO51">
            <v>1327534</v>
          </cell>
          <cell r="EP51">
            <v>65094</v>
          </cell>
          <cell r="EQ51">
            <v>4.6699999999999998E-2</v>
          </cell>
          <cell r="ER51">
            <v>47631</v>
          </cell>
          <cell r="ES51">
            <v>0</v>
          </cell>
          <cell r="ET51">
            <v>0</v>
          </cell>
          <cell r="EU51">
            <v>0</v>
          </cell>
          <cell r="EV51">
            <v>47631</v>
          </cell>
          <cell r="EW51">
            <v>47631</v>
          </cell>
          <cell r="EX51">
            <v>38967</v>
          </cell>
          <cell r="EY51">
            <v>252850</v>
          </cell>
          <cell r="EZ51">
            <v>26519</v>
          </cell>
          <cell r="FA51">
            <v>5979</v>
          </cell>
          <cell r="FB51">
            <v>18248</v>
          </cell>
          <cell r="FC51">
            <v>46464</v>
          </cell>
          <cell r="FD51">
            <v>0</v>
          </cell>
          <cell r="FE51">
            <v>21517</v>
          </cell>
          <cell r="FF51">
            <v>72983</v>
          </cell>
          <cell r="FG51">
            <v>5979</v>
          </cell>
          <cell r="FH51">
            <v>39765</v>
          </cell>
          <cell r="FI51">
            <v>118727</v>
          </cell>
          <cell r="FJ51">
            <v>0</v>
          </cell>
          <cell r="FK51">
            <v>165</v>
          </cell>
          <cell r="FM51">
            <v>118727</v>
          </cell>
          <cell r="FN51">
            <v>8316</v>
          </cell>
          <cell r="FO51">
            <v>13689</v>
          </cell>
          <cell r="FP51">
            <v>202</v>
          </cell>
          <cell r="FQ51">
            <v>6</v>
          </cell>
          <cell r="FR51">
            <v>88</v>
          </cell>
          <cell r="FS51">
            <v>94</v>
          </cell>
          <cell r="FT51">
            <v>44141</v>
          </cell>
          <cell r="FU51">
            <v>3505</v>
          </cell>
          <cell r="FV51">
            <v>0</v>
          </cell>
          <cell r="FW51">
            <v>0</v>
          </cell>
          <cell r="FX51">
            <v>8544</v>
          </cell>
          <cell r="FY51">
            <v>1573</v>
          </cell>
          <cell r="FZ51">
            <v>322</v>
          </cell>
          <cell r="GA51">
            <v>0</v>
          </cell>
          <cell r="GB51">
            <v>0</v>
          </cell>
          <cell r="GE51">
            <v>0</v>
          </cell>
          <cell r="GF51">
            <v>36593</v>
          </cell>
          <cell r="GG51">
            <v>13194</v>
          </cell>
          <cell r="GH51">
            <v>264</v>
          </cell>
          <cell r="GI51">
            <v>12</v>
          </cell>
          <cell r="GJ51">
            <v>3312</v>
          </cell>
          <cell r="GK51">
            <v>-1</v>
          </cell>
          <cell r="GL51">
            <v>0</v>
          </cell>
          <cell r="GM51">
            <v>198</v>
          </cell>
          <cell r="GN51">
            <v>92590</v>
          </cell>
          <cell r="GO51">
            <v>18271</v>
          </cell>
          <cell r="GP51">
            <v>586</v>
          </cell>
          <cell r="GQ51">
            <v>210</v>
          </cell>
          <cell r="GR51">
            <v>18</v>
          </cell>
          <cell r="GT51">
            <v>58385</v>
          </cell>
          <cell r="GU51">
            <v>6237</v>
          </cell>
          <cell r="GV51">
            <v>63582</v>
          </cell>
          <cell r="GW51">
            <v>16949</v>
          </cell>
          <cell r="GX51">
            <v>0</v>
          </cell>
          <cell r="GY51">
            <v>14910</v>
          </cell>
          <cell r="GZ51">
            <v>75334</v>
          </cell>
          <cell r="HA51">
            <v>6237</v>
          </cell>
          <cell r="HB51">
            <v>78492</v>
          </cell>
          <cell r="HC51">
            <v>160063</v>
          </cell>
          <cell r="HD51">
            <v>0</v>
          </cell>
          <cell r="HE51">
            <v>160063</v>
          </cell>
          <cell r="HF51">
            <v>10092</v>
          </cell>
          <cell r="HG51">
            <v>30930</v>
          </cell>
          <cell r="HH51">
            <v>0</v>
          </cell>
          <cell r="HI51">
            <v>0</v>
          </cell>
          <cell r="HJ51">
            <v>41022</v>
          </cell>
          <cell r="HK51">
            <v>201085</v>
          </cell>
          <cell r="HL51">
            <v>44</v>
          </cell>
          <cell r="HM51">
            <v>16031</v>
          </cell>
          <cell r="HN51">
            <v>16075</v>
          </cell>
          <cell r="HO51">
            <v>228</v>
          </cell>
          <cell r="HP51">
            <v>9412</v>
          </cell>
          <cell r="HQ51">
            <v>9640</v>
          </cell>
          <cell r="HR51">
            <v>0</v>
          </cell>
          <cell r="HS51">
            <v>167</v>
          </cell>
          <cell r="HT51">
            <v>167</v>
          </cell>
          <cell r="HU51">
            <v>2123</v>
          </cell>
          <cell r="HV51">
            <v>28005</v>
          </cell>
          <cell r="HW51">
            <v>5712</v>
          </cell>
          <cell r="HX51">
            <v>17011</v>
          </cell>
          <cell r="HY51">
            <v>22723</v>
          </cell>
          <cell r="HZ51">
            <v>50728</v>
          </cell>
          <cell r="IA51">
            <v>19732</v>
          </cell>
          <cell r="IB51">
            <v>50829</v>
          </cell>
          <cell r="IC51">
            <v>229090</v>
          </cell>
          <cell r="ID51">
            <v>229090</v>
          </cell>
          <cell r="IE51">
            <v>251813</v>
          </cell>
          <cell r="IF51">
            <v>47461</v>
          </cell>
          <cell r="IG51">
            <v>-1</v>
          </cell>
          <cell r="IK51">
            <v>5.6500000000000002E-2</v>
          </cell>
          <cell r="IL51">
            <v>6.9999999999999999E-4</v>
          </cell>
          <cell r="IM51">
            <v>0.44159999999999999</v>
          </cell>
          <cell r="IN51">
            <v>0</v>
          </cell>
          <cell r="IO51">
            <v>0.36620000000000003</v>
          </cell>
          <cell r="IP51">
            <v>4.0000000000000002E-4</v>
          </cell>
          <cell r="IQ51">
            <v>0.46960000000000002</v>
          </cell>
          <cell r="IR51">
            <v>0.1051</v>
          </cell>
          <cell r="IS51">
            <v>0.2072</v>
          </cell>
          <cell r="IT51">
            <v>42844</v>
          </cell>
          <cell r="IU51">
            <v>27279</v>
          </cell>
          <cell r="IV51">
            <v>70123</v>
          </cell>
          <cell r="IW51">
            <v>0.86150000000000004</v>
          </cell>
          <cell r="IX51">
            <v>193242</v>
          </cell>
          <cell r="IZ51">
            <v>96</v>
          </cell>
          <cell r="JA51">
            <v>73</v>
          </cell>
          <cell r="JB51">
            <v>494</v>
          </cell>
          <cell r="JC51">
            <v>7</v>
          </cell>
          <cell r="JD51">
            <v>23</v>
          </cell>
          <cell r="JE51">
            <v>40</v>
          </cell>
          <cell r="JF51">
            <v>103</v>
          </cell>
          <cell r="JG51">
            <v>96</v>
          </cell>
          <cell r="JH51">
            <v>534</v>
          </cell>
          <cell r="JI51">
            <v>733</v>
          </cell>
          <cell r="JJ51">
            <v>663</v>
          </cell>
          <cell r="JK51">
            <v>70</v>
          </cell>
          <cell r="JL51">
            <v>614</v>
          </cell>
          <cell r="JM51">
            <v>1014</v>
          </cell>
          <cell r="JN51">
            <v>12214</v>
          </cell>
          <cell r="JO51">
            <v>857</v>
          </cell>
          <cell r="JP51">
            <v>533</v>
          </cell>
          <cell r="JQ51">
            <v>3356</v>
          </cell>
          <cell r="JR51">
            <v>1471</v>
          </cell>
          <cell r="JS51">
            <v>1547</v>
          </cell>
          <cell r="JT51">
            <v>15570</v>
          </cell>
          <cell r="JU51">
            <v>18588</v>
          </cell>
          <cell r="JV51">
            <v>13842</v>
          </cell>
          <cell r="JW51">
            <v>4746</v>
          </cell>
          <cell r="JX51">
            <v>25.36</v>
          </cell>
          <cell r="JY51">
            <v>14.28</v>
          </cell>
          <cell r="JZ51">
            <v>29.16</v>
          </cell>
          <cell r="KA51">
            <v>0.08</v>
          </cell>
          <cell r="KB51">
            <v>0.84</v>
          </cell>
          <cell r="KC51">
            <v>3</v>
          </cell>
          <cell r="KD51">
            <v>14</v>
          </cell>
          <cell r="KE51">
            <v>23</v>
          </cell>
          <cell r="KF51">
            <v>237</v>
          </cell>
          <cell r="KG51">
            <v>8</v>
          </cell>
          <cell r="KH51">
            <v>21</v>
          </cell>
          <cell r="KI51">
            <v>0</v>
          </cell>
          <cell r="KJ51">
            <v>0</v>
          </cell>
          <cell r="KK51">
            <v>83</v>
          </cell>
          <cell r="KL51">
            <v>972</v>
          </cell>
          <cell r="KM51">
            <v>17002</v>
          </cell>
          <cell r="KN51">
            <v>10412</v>
          </cell>
          <cell r="KO51">
            <v>1717</v>
          </cell>
          <cell r="KQ51">
            <v>103</v>
          </cell>
          <cell r="KR51">
            <v>1112</v>
          </cell>
          <cell r="KS51">
            <v>0</v>
          </cell>
          <cell r="KT51">
            <v>6</v>
          </cell>
          <cell r="KU51">
            <v>28</v>
          </cell>
          <cell r="KV51">
            <v>50</v>
          </cell>
          <cell r="KW51">
            <v>35036</v>
          </cell>
          <cell r="KY51">
            <v>48348</v>
          </cell>
          <cell r="KZ51">
            <v>38572</v>
          </cell>
          <cell r="LC51" t="str">
            <v>CHARLES R. JONAS LIBRARY</v>
          </cell>
          <cell r="LD51" t="str">
            <v>County Owned</v>
          </cell>
          <cell r="LE51" t="str">
            <v>306 W MAIN ST</v>
          </cell>
          <cell r="LF51" t="str">
            <v>LINCOLNTON</v>
          </cell>
          <cell r="LG51">
            <v>28092</v>
          </cell>
          <cell r="LI51" t="str">
            <v>306 W MAIN ST</v>
          </cell>
          <cell r="LJ51" t="str">
            <v>LINCOLNTON</v>
          </cell>
          <cell r="LK51">
            <v>28092</v>
          </cell>
          <cell r="LM51" t="str">
            <v>LINCOLN</v>
          </cell>
          <cell r="LN51">
            <v>7047358044</v>
          </cell>
          <cell r="LO51">
            <v>7047329042</v>
          </cell>
          <cell r="LP51">
            <v>24879</v>
          </cell>
          <cell r="LQ51">
            <v>15</v>
          </cell>
          <cell r="LS51">
            <v>7529</v>
          </cell>
          <cell r="LT51">
            <v>156</v>
          </cell>
          <cell r="LW51">
            <v>1</v>
          </cell>
          <cell r="LX51" t="str">
            <v>C-LINCOLN-C</v>
          </cell>
          <cell r="LY51">
            <v>0</v>
          </cell>
          <cell r="LZ51" t="str">
            <v>CE</v>
          </cell>
          <cell r="MA51">
            <v>20.010000000000002</v>
          </cell>
          <cell r="MB51">
            <v>70</v>
          </cell>
        </row>
        <row r="52">
          <cell r="A52" t="str">
            <v>NC0043</v>
          </cell>
          <cell r="B52">
            <v>0</v>
          </cell>
          <cell r="C52">
            <v>1375</v>
          </cell>
          <cell r="D52">
            <v>2017</v>
          </cell>
          <cell r="E52">
            <v>0</v>
          </cell>
          <cell r="F52" t="str">
            <v>NC0043</v>
          </cell>
          <cell r="G52" t="str">
            <v>C-MADISON</v>
          </cell>
          <cell r="H52" t="str">
            <v>NO</v>
          </cell>
          <cell r="I52" t="str">
            <v>CO</v>
          </cell>
          <cell r="J52" t="str">
            <v>MO</v>
          </cell>
          <cell r="K52" t="str">
            <v>Y</v>
          </cell>
          <cell r="L52" t="str">
            <v>CO1</v>
          </cell>
          <cell r="M52" t="str">
            <v>N</v>
          </cell>
          <cell r="N52">
            <v>21663</v>
          </cell>
          <cell r="O52" t="str">
            <v>Yes</v>
          </cell>
          <cell r="P52">
            <v>496</v>
          </cell>
          <cell r="Q52">
            <v>414</v>
          </cell>
          <cell r="R52">
            <v>21</v>
          </cell>
          <cell r="S52">
            <v>13</v>
          </cell>
          <cell r="T52">
            <v>2129</v>
          </cell>
          <cell r="U52">
            <v>233</v>
          </cell>
          <cell r="V52">
            <v>10033</v>
          </cell>
          <cell r="W52">
            <v>970</v>
          </cell>
          <cell r="X52">
            <v>292980</v>
          </cell>
          <cell r="Y52">
            <v>172400</v>
          </cell>
          <cell r="Z52" t="str">
            <v>1335 N MAIN ST</v>
          </cell>
          <cell r="AA52" t="str">
            <v>MARSHALL</v>
          </cell>
          <cell r="AB52">
            <v>28753</v>
          </cell>
          <cell r="AD52" t="str">
            <v>1335 N MAIN ST</v>
          </cell>
          <cell r="AE52" t="str">
            <v>MARSHALL</v>
          </cell>
          <cell r="AF52">
            <v>28753</v>
          </cell>
          <cell r="AG52">
            <v>2</v>
          </cell>
          <cell r="AH52" t="str">
            <v>MADISON COUNTY PUBLIC LIBRARY</v>
          </cell>
          <cell r="AJ52" t="str">
            <v>County</v>
          </cell>
          <cell r="AK52" t="str">
            <v>MADISON</v>
          </cell>
          <cell r="AL52" t="str">
            <v>Melanie U. Morgan</v>
          </cell>
          <cell r="AM52" t="str">
            <v>(828) 649-3741</v>
          </cell>
          <cell r="AN52" t="str">
            <v>(828) 649-3504</v>
          </cell>
          <cell r="AO52" t="str">
            <v>mmorgan@madisoncountync.gov</v>
          </cell>
          <cell r="AP52" t="str">
            <v>Melanie U Morgan</v>
          </cell>
          <cell r="AQ52" t="str">
            <v>Director</v>
          </cell>
          <cell r="AR52" t="str">
            <v>(828) 649-3741</v>
          </cell>
          <cell r="AS52" t="str">
            <v>(828) 689-5183</v>
          </cell>
          <cell r="AT52" t="str">
            <v>mmorgan@madisoncountync.gov</v>
          </cell>
          <cell r="AU52" t="str">
            <v>www.madisoncountylibrary.net</v>
          </cell>
          <cell r="BC52">
            <v>1</v>
          </cell>
          <cell r="BD52">
            <v>2</v>
          </cell>
          <cell r="BE52">
            <v>0</v>
          </cell>
          <cell r="BF52">
            <v>0</v>
          </cell>
          <cell r="BG52">
            <v>3</v>
          </cell>
          <cell r="BI52">
            <v>6697</v>
          </cell>
          <cell r="BJ52">
            <v>1</v>
          </cell>
          <cell r="BK52">
            <v>0</v>
          </cell>
          <cell r="BL52">
            <v>1</v>
          </cell>
          <cell r="BM52">
            <v>10.63</v>
          </cell>
          <cell r="BN52">
            <v>11.63</v>
          </cell>
          <cell r="BO52">
            <v>8.5999999999999993E-2</v>
          </cell>
          <cell r="BP52">
            <v>3333</v>
          </cell>
          <cell r="BQ52">
            <v>51250</v>
          </cell>
          <cell r="BU52">
            <v>19532</v>
          </cell>
          <cell r="BV52">
            <v>25460</v>
          </cell>
          <cell r="BW52">
            <v>22496</v>
          </cell>
          <cell r="BY52">
            <v>19532</v>
          </cell>
          <cell r="BZ52">
            <v>25460</v>
          </cell>
          <cell r="CA52">
            <v>22496</v>
          </cell>
          <cell r="CO52">
            <v>20800</v>
          </cell>
          <cell r="CP52">
            <v>24960</v>
          </cell>
          <cell r="CQ52">
            <v>22880</v>
          </cell>
          <cell r="CZ52">
            <v>17160</v>
          </cell>
          <cell r="DA52">
            <v>17660</v>
          </cell>
          <cell r="DB52">
            <v>17410</v>
          </cell>
          <cell r="DV52">
            <v>6000</v>
          </cell>
          <cell r="DW52">
            <v>380854</v>
          </cell>
          <cell r="DX52">
            <v>386854</v>
          </cell>
          <cell r="DY52">
            <v>81518</v>
          </cell>
          <cell r="DZ52">
            <v>0</v>
          </cell>
          <cell r="EA52">
            <v>81518</v>
          </cell>
          <cell r="EB52">
            <v>27012</v>
          </cell>
          <cell r="EC52">
            <v>2679</v>
          </cell>
          <cell r="ED52">
            <v>29691</v>
          </cell>
          <cell r="EE52">
            <v>13414</v>
          </cell>
          <cell r="EF52">
            <v>511477</v>
          </cell>
          <cell r="EG52">
            <v>230799</v>
          </cell>
          <cell r="EH52">
            <v>78715</v>
          </cell>
          <cell r="EI52">
            <v>309514</v>
          </cell>
          <cell r="EJ52">
            <v>31631</v>
          </cell>
          <cell r="EK52">
            <v>4100</v>
          </cell>
          <cell r="EL52">
            <v>7644</v>
          </cell>
          <cell r="EM52">
            <v>43375</v>
          </cell>
          <cell r="EN52">
            <v>158882</v>
          </cell>
          <cell r="EO52">
            <v>511771</v>
          </cell>
          <cell r="EP52">
            <v>-294</v>
          </cell>
          <cell r="EQ52">
            <v>-5.9999999999999995E-4</v>
          </cell>
          <cell r="ER52">
            <v>0</v>
          </cell>
          <cell r="ES52">
            <v>0</v>
          </cell>
          <cell r="ET52">
            <v>0</v>
          </cell>
          <cell r="EU52">
            <v>0</v>
          </cell>
          <cell r="EV52">
            <v>0</v>
          </cell>
          <cell r="EW52">
            <v>0</v>
          </cell>
          <cell r="EX52">
            <v>14607</v>
          </cell>
          <cell r="EY52">
            <v>149099</v>
          </cell>
          <cell r="EZ52">
            <v>22389</v>
          </cell>
          <cell r="FA52">
            <v>1679</v>
          </cell>
          <cell r="FB52">
            <v>12820</v>
          </cell>
          <cell r="FC52">
            <v>12411</v>
          </cell>
          <cell r="FD52">
            <v>259</v>
          </cell>
          <cell r="FE52">
            <v>3251</v>
          </cell>
          <cell r="FF52">
            <v>34800</v>
          </cell>
          <cell r="FG52">
            <v>1938</v>
          </cell>
          <cell r="FH52">
            <v>16071</v>
          </cell>
          <cell r="FI52">
            <v>52809</v>
          </cell>
          <cell r="FJ52">
            <v>0</v>
          </cell>
          <cell r="FK52">
            <v>112</v>
          </cell>
          <cell r="FM52">
            <v>52809</v>
          </cell>
          <cell r="FN52">
            <v>3260</v>
          </cell>
          <cell r="FO52">
            <v>6074</v>
          </cell>
          <cell r="FP52">
            <v>85</v>
          </cell>
          <cell r="FQ52">
            <v>1</v>
          </cell>
          <cell r="FR52">
            <v>88</v>
          </cell>
          <cell r="FS52">
            <v>89</v>
          </cell>
          <cell r="FT52">
            <v>44141</v>
          </cell>
          <cell r="FU52">
            <v>3505</v>
          </cell>
          <cell r="FV52">
            <v>0</v>
          </cell>
          <cell r="FW52">
            <v>0</v>
          </cell>
          <cell r="FX52">
            <v>8544</v>
          </cell>
          <cell r="FY52">
            <v>1573</v>
          </cell>
          <cell r="FZ52">
            <v>322</v>
          </cell>
          <cell r="GA52">
            <v>0</v>
          </cell>
          <cell r="GB52">
            <v>26436</v>
          </cell>
          <cell r="GC52">
            <v>1747</v>
          </cell>
          <cell r="GD52">
            <v>278</v>
          </cell>
          <cell r="GE52">
            <v>42</v>
          </cell>
          <cell r="GJ52">
            <v>61</v>
          </cell>
          <cell r="GK52">
            <v>21</v>
          </cell>
          <cell r="GL52">
            <v>0</v>
          </cell>
          <cell r="GM52">
            <v>0</v>
          </cell>
          <cell r="GN52">
            <v>79182</v>
          </cell>
          <cell r="GO52">
            <v>6846</v>
          </cell>
          <cell r="GP52">
            <v>600</v>
          </cell>
          <cell r="GQ52">
            <v>42</v>
          </cell>
          <cell r="GR52">
            <v>15</v>
          </cell>
          <cell r="GT52">
            <v>29086</v>
          </cell>
          <cell r="GU52">
            <v>3015</v>
          </cell>
          <cell r="GV52">
            <v>23519</v>
          </cell>
          <cell r="GW52">
            <v>9145</v>
          </cell>
          <cell r="GX52">
            <v>241</v>
          </cell>
          <cell r="GY52">
            <v>4184</v>
          </cell>
          <cell r="GZ52">
            <v>38231</v>
          </cell>
          <cell r="HA52">
            <v>3256</v>
          </cell>
          <cell r="HB52">
            <v>27703</v>
          </cell>
          <cell r="HC52">
            <v>69190</v>
          </cell>
          <cell r="HD52">
            <v>892</v>
          </cell>
          <cell r="HE52">
            <v>70082</v>
          </cell>
          <cell r="HF52">
            <v>6971</v>
          </cell>
          <cell r="HG52">
            <v>25167</v>
          </cell>
          <cell r="HH52">
            <v>0</v>
          </cell>
          <cell r="HI52">
            <v>52</v>
          </cell>
          <cell r="HJ52">
            <v>32190</v>
          </cell>
          <cell r="HK52">
            <v>102272</v>
          </cell>
          <cell r="HL52">
            <v>25</v>
          </cell>
          <cell r="HM52">
            <v>7025</v>
          </cell>
          <cell r="HN52">
            <v>7050</v>
          </cell>
          <cell r="HO52">
            <v>500</v>
          </cell>
          <cell r="HP52">
            <v>1627</v>
          </cell>
          <cell r="HQ52">
            <v>2127</v>
          </cell>
          <cell r="HR52">
            <v>0</v>
          </cell>
          <cell r="HS52">
            <v>30</v>
          </cell>
          <cell r="HT52">
            <v>30</v>
          </cell>
          <cell r="HU52">
            <v>151</v>
          </cell>
          <cell r="HV52">
            <v>9358</v>
          </cell>
          <cell r="HW52">
            <v>6070</v>
          </cell>
          <cell r="HX52">
            <v>0</v>
          </cell>
          <cell r="HY52">
            <v>6070</v>
          </cell>
          <cell r="HZ52">
            <v>15428</v>
          </cell>
          <cell r="IA52">
            <v>9098</v>
          </cell>
          <cell r="IB52">
            <v>34295</v>
          </cell>
          <cell r="IC52">
            <v>111630</v>
          </cell>
          <cell r="ID52">
            <v>111630</v>
          </cell>
          <cell r="IE52">
            <v>117700</v>
          </cell>
          <cell r="IF52">
            <v>37281</v>
          </cell>
          <cell r="IG52">
            <v>1144</v>
          </cell>
          <cell r="IJ52">
            <v>3</v>
          </cell>
          <cell r="IK52">
            <v>4.48E-2</v>
          </cell>
          <cell r="IL52">
            <v>8.0000000000000004E-4</v>
          </cell>
          <cell r="IM52">
            <v>0.58130000000000004</v>
          </cell>
          <cell r="IN52">
            <v>0</v>
          </cell>
          <cell r="IO52">
            <v>0.53110000000000002</v>
          </cell>
          <cell r="IP52">
            <v>5.9999999999999995E-4</v>
          </cell>
          <cell r="IQ52">
            <v>0.35420000000000001</v>
          </cell>
          <cell r="IR52">
            <v>6.7799999999999999E-2</v>
          </cell>
          <cell r="IS52">
            <v>0.33400000000000002</v>
          </cell>
          <cell r="IT52">
            <v>6736</v>
          </cell>
          <cell r="IU52">
            <v>2328</v>
          </cell>
          <cell r="IV52">
            <v>9064</v>
          </cell>
          <cell r="IW52">
            <v>0.41839999999999999</v>
          </cell>
          <cell r="IX52">
            <v>119728</v>
          </cell>
          <cell r="IZ52">
            <v>111</v>
          </cell>
          <cell r="JA52">
            <v>40</v>
          </cell>
          <cell r="JB52">
            <v>278</v>
          </cell>
          <cell r="JC52">
            <v>23</v>
          </cell>
          <cell r="JD52">
            <v>21</v>
          </cell>
          <cell r="JE52">
            <v>180</v>
          </cell>
          <cell r="JF52">
            <v>134</v>
          </cell>
          <cell r="JG52">
            <v>61</v>
          </cell>
          <cell r="JH52">
            <v>458</v>
          </cell>
          <cell r="JI52">
            <v>653</v>
          </cell>
          <cell r="JJ52">
            <v>429</v>
          </cell>
          <cell r="JK52">
            <v>224</v>
          </cell>
          <cell r="JL52">
            <v>2016</v>
          </cell>
          <cell r="JM52">
            <v>660</v>
          </cell>
          <cell r="JN52">
            <v>7326</v>
          </cell>
          <cell r="JO52">
            <v>744</v>
          </cell>
          <cell r="JP52">
            <v>789</v>
          </cell>
          <cell r="JQ52">
            <v>5507</v>
          </cell>
          <cell r="JR52">
            <v>2760</v>
          </cell>
          <cell r="JS52">
            <v>1449</v>
          </cell>
          <cell r="JT52">
            <v>12833</v>
          </cell>
          <cell r="JU52">
            <v>17042</v>
          </cell>
          <cell r="JV52">
            <v>10002</v>
          </cell>
          <cell r="JW52">
            <v>7040</v>
          </cell>
          <cell r="JX52">
            <v>26.1</v>
          </cell>
          <cell r="JY52">
            <v>20.6</v>
          </cell>
          <cell r="JZ52">
            <v>28.02</v>
          </cell>
          <cell r="KA52">
            <v>0.16</v>
          </cell>
          <cell r="KB52">
            <v>0.75</v>
          </cell>
          <cell r="KC52">
            <v>28</v>
          </cell>
          <cell r="KD52">
            <v>147</v>
          </cell>
          <cell r="KE52">
            <v>44</v>
          </cell>
          <cell r="KF52">
            <v>286</v>
          </cell>
          <cell r="KM52">
            <v>3882</v>
          </cell>
          <cell r="KN52">
            <v>1330</v>
          </cell>
          <cell r="KO52">
            <v>193</v>
          </cell>
          <cell r="KQ52">
            <v>465</v>
          </cell>
          <cell r="KR52">
            <v>6609</v>
          </cell>
          <cell r="KS52">
            <v>1</v>
          </cell>
          <cell r="KT52">
            <v>5</v>
          </cell>
          <cell r="KU52">
            <v>15</v>
          </cell>
          <cell r="KV52">
            <v>55</v>
          </cell>
          <cell r="KW52">
            <v>15388</v>
          </cell>
          <cell r="KY52">
            <v>43801</v>
          </cell>
          <cell r="KZ52">
            <v>64877</v>
          </cell>
          <cell r="LC52" t="str">
            <v>MADISON COUNTY PUBLIC LIBRARY</v>
          </cell>
          <cell r="LD52" t="str">
            <v>County Owned</v>
          </cell>
          <cell r="LE52" t="str">
            <v>1335 N MAIN ST</v>
          </cell>
          <cell r="LF52" t="str">
            <v>MARSHALL</v>
          </cell>
          <cell r="LG52">
            <v>28753</v>
          </cell>
          <cell r="LH52">
            <v>6901</v>
          </cell>
          <cell r="LI52" t="str">
            <v>1335 N MAIN ST</v>
          </cell>
          <cell r="LJ52" t="str">
            <v>MARSHALL</v>
          </cell>
          <cell r="LK52">
            <v>28753</v>
          </cell>
          <cell r="LL52">
            <v>6901</v>
          </cell>
          <cell r="LM52" t="str">
            <v>MADISON</v>
          </cell>
          <cell r="LN52">
            <v>8286493741</v>
          </cell>
          <cell r="LO52">
            <v>8286493504</v>
          </cell>
          <cell r="LP52">
            <v>21176</v>
          </cell>
          <cell r="LQ52">
            <v>11.63</v>
          </cell>
          <cell r="LS52">
            <v>6697</v>
          </cell>
          <cell r="LT52">
            <v>156</v>
          </cell>
          <cell r="LW52">
            <v>2</v>
          </cell>
          <cell r="LX52" t="str">
            <v>C-MADISON-M</v>
          </cell>
          <cell r="LY52">
            <v>0</v>
          </cell>
          <cell r="LZ52" t="str">
            <v>CE</v>
          </cell>
          <cell r="MA52">
            <v>94.02</v>
          </cell>
          <cell r="MB52">
            <v>95.32</v>
          </cell>
        </row>
        <row r="53">
          <cell r="A53" t="str">
            <v>NC0044</v>
          </cell>
          <cell r="B53">
            <v>0</v>
          </cell>
          <cell r="C53">
            <v>1375</v>
          </cell>
          <cell r="D53">
            <v>2017</v>
          </cell>
          <cell r="E53">
            <v>0</v>
          </cell>
          <cell r="F53" t="str">
            <v>NC0044</v>
          </cell>
          <cell r="G53" t="str">
            <v>C-MCDOWELL</v>
          </cell>
          <cell r="H53" t="str">
            <v>NO</v>
          </cell>
          <cell r="I53" t="str">
            <v>CO</v>
          </cell>
          <cell r="J53" t="str">
            <v>MO</v>
          </cell>
          <cell r="K53" t="str">
            <v>Y</v>
          </cell>
          <cell r="L53" t="str">
            <v>CO1</v>
          </cell>
          <cell r="M53" t="str">
            <v>N</v>
          </cell>
          <cell r="N53">
            <v>45370</v>
          </cell>
          <cell r="O53" t="str">
            <v>Yes</v>
          </cell>
          <cell r="P53">
            <v>440</v>
          </cell>
          <cell r="Q53">
            <v>71</v>
          </cell>
          <cell r="R53">
            <v>67</v>
          </cell>
          <cell r="S53">
            <v>20</v>
          </cell>
          <cell r="T53">
            <v>1677</v>
          </cell>
          <cell r="U53">
            <v>207</v>
          </cell>
          <cell r="V53">
            <v>11886</v>
          </cell>
          <cell r="W53">
            <v>1636</v>
          </cell>
          <cell r="X53">
            <v>108580</v>
          </cell>
          <cell r="Y53">
            <v>82080</v>
          </cell>
          <cell r="Z53" t="str">
            <v>90 W COURT ST</v>
          </cell>
          <cell r="AA53" t="str">
            <v>MARION</v>
          </cell>
          <cell r="AB53">
            <v>28752</v>
          </cell>
          <cell r="AC53">
            <v>3906</v>
          </cell>
          <cell r="AD53" t="str">
            <v>90 W COURT ST</v>
          </cell>
          <cell r="AE53" t="str">
            <v>MARION</v>
          </cell>
          <cell r="AF53">
            <v>28752</v>
          </cell>
          <cell r="AG53">
            <v>1</v>
          </cell>
          <cell r="AH53" t="str">
            <v>MCDOWELL COUNTY PUBLIC LIBRARY</v>
          </cell>
          <cell r="AJ53" t="str">
            <v>County</v>
          </cell>
          <cell r="AK53" t="str">
            <v>MCDOWELL</v>
          </cell>
          <cell r="AL53" t="str">
            <v>Marlan Brinkley</v>
          </cell>
          <cell r="AM53" t="str">
            <v>(828) 652-3858</v>
          </cell>
          <cell r="AN53" t="str">
            <v>(828) 652-2098</v>
          </cell>
          <cell r="AO53" t="str">
            <v>mbrinkley@mcdowellpubliclibrary.org</v>
          </cell>
          <cell r="AP53" t="str">
            <v>Marlan Brinkley</v>
          </cell>
          <cell r="AQ53" t="str">
            <v>Library Director</v>
          </cell>
          <cell r="AR53" t="str">
            <v>(828) 652-3858</v>
          </cell>
          <cell r="AS53" t="str">
            <v>(828) 652-2098</v>
          </cell>
          <cell r="AT53" t="str">
            <v>mbrinkley@mcdowellpubliclibrary.org</v>
          </cell>
          <cell r="AU53" t="str">
            <v>www.mcdowellpubliclibrary.org</v>
          </cell>
          <cell r="BC53">
            <v>1</v>
          </cell>
          <cell r="BD53">
            <v>1</v>
          </cell>
          <cell r="BE53">
            <v>0</v>
          </cell>
          <cell r="BF53">
            <v>0</v>
          </cell>
          <cell r="BG53">
            <v>2</v>
          </cell>
          <cell r="BI53">
            <v>4186</v>
          </cell>
          <cell r="BJ53">
            <v>2</v>
          </cell>
          <cell r="BK53">
            <v>0</v>
          </cell>
          <cell r="BL53">
            <v>2</v>
          </cell>
          <cell r="BM53">
            <v>17.45</v>
          </cell>
          <cell r="BN53">
            <v>19.45</v>
          </cell>
          <cell r="BO53">
            <v>0.1028</v>
          </cell>
          <cell r="BP53">
            <v>403</v>
          </cell>
          <cell r="BQ53">
            <v>57456</v>
          </cell>
          <cell r="BT53">
            <v>0</v>
          </cell>
          <cell r="BU53">
            <v>33258</v>
          </cell>
          <cell r="BW53">
            <v>34092</v>
          </cell>
          <cell r="BY53">
            <v>30108</v>
          </cell>
          <cell r="BZ53">
            <v>44262</v>
          </cell>
          <cell r="CA53">
            <v>34518</v>
          </cell>
          <cell r="CG53">
            <v>33258</v>
          </cell>
          <cell r="CH53">
            <v>48900</v>
          </cell>
          <cell r="CI53">
            <v>37200</v>
          </cell>
          <cell r="CR53">
            <v>20232</v>
          </cell>
          <cell r="CS53">
            <v>29760</v>
          </cell>
          <cell r="CT53">
            <v>23778</v>
          </cell>
          <cell r="CV53">
            <v>20232</v>
          </cell>
          <cell r="CW53">
            <v>29760</v>
          </cell>
          <cell r="CX53">
            <v>21528</v>
          </cell>
          <cell r="DK53">
            <v>24684</v>
          </cell>
          <cell r="DL53">
            <v>36288</v>
          </cell>
          <cell r="DM53">
            <v>26262</v>
          </cell>
          <cell r="DO53">
            <v>20232</v>
          </cell>
          <cell r="DP53">
            <v>29760</v>
          </cell>
          <cell r="DQ53">
            <v>22647</v>
          </cell>
          <cell r="DV53">
            <v>0</v>
          </cell>
          <cell r="DW53">
            <v>727094</v>
          </cell>
          <cell r="DX53">
            <v>727094</v>
          </cell>
          <cell r="DY53">
            <v>105533</v>
          </cell>
          <cell r="DZ53">
            <v>0</v>
          </cell>
          <cell r="EA53">
            <v>105533</v>
          </cell>
          <cell r="EB53">
            <v>0</v>
          </cell>
          <cell r="EC53">
            <v>0</v>
          </cell>
          <cell r="ED53">
            <v>0</v>
          </cell>
          <cell r="EE53">
            <v>1628</v>
          </cell>
          <cell r="EF53">
            <v>834255</v>
          </cell>
          <cell r="EG53">
            <v>391859</v>
          </cell>
          <cell r="EH53">
            <v>128348</v>
          </cell>
          <cell r="EI53">
            <v>520207</v>
          </cell>
          <cell r="EJ53">
            <v>50415</v>
          </cell>
          <cell r="EK53">
            <v>14343</v>
          </cell>
          <cell r="EL53">
            <v>12655</v>
          </cell>
          <cell r="EM53">
            <v>77413</v>
          </cell>
          <cell r="EN53">
            <v>162000</v>
          </cell>
          <cell r="EO53">
            <v>759620</v>
          </cell>
          <cell r="EP53">
            <v>74635</v>
          </cell>
          <cell r="EQ53">
            <v>8.9499999999999996E-2</v>
          </cell>
          <cell r="ER53">
            <v>0</v>
          </cell>
          <cell r="ES53">
            <v>0</v>
          </cell>
          <cell r="ET53">
            <v>0</v>
          </cell>
          <cell r="EU53">
            <v>500</v>
          </cell>
          <cell r="EV53">
            <v>500</v>
          </cell>
          <cell r="EW53">
            <v>0</v>
          </cell>
          <cell r="EX53">
            <v>17836</v>
          </cell>
          <cell r="EY53">
            <v>187471</v>
          </cell>
          <cell r="EZ53">
            <v>23635</v>
          </cell>
          <cell r="FA53">
            <v>2985</v>
          </cell>
          <cell r="FB53">
            <v>14593</v>
          </cell>
          <cell r="FC53">
            <v>38102</v>
          </cell>
          <cell r="FD53">
            <v>850</v>
          </cell>
          <cell r="FE53">
            <v>7615</v>
          </cell>
          <cell r="FF53">
            <v>61737</v>
          </cell>
          <cell r="FG53">
            <v>3835</v>
          </cell>
          <cell r="FH53">
            <v>22208</v>
          </cell>
          <cell r="FI53">
            <v>87780</v>
          </cell>
          <cell r="FJ53">
            <v>63</v>
          </cell>
          <cell r="FK53">
            <v>122</v>
          </cell>
          <cell r="FM53">
            <v>87780</v>
          </cell>
          <cell r="FN53">
            <v>5542</v>
          </cell>
          <cell r="FO53">
            <v>7042</v>
          </cell>
          <cell r="FP53">
            <v>222</v>
          </cell>
          <cell r="FQ53">
            <v>4</v>
          </cell>
          <cell r="FR53">
            <v>88</v>
          </cell>
          <cell r="FS53">
            <v>92</v>
          </cell>
          <cell r="FT53">
            <v>44141</v>
          </cell>
          <cell r="FU53">
            <v>3505</v>
          </cell>
          <cell r="FV53">
            <v>0</v>
          </cell>
          <cell r="FW53">
            <v>0</v>
          </cell>
          <cell r="FX53">
            <v>8544</v>
          </cell>
          <cell r="FY53">
            <v>1573</v>
          </cell>
          <cell r="FZ53">
            <v>322</v>
          </cell>
          <cell r="GA53">
            <v>0</v>
          </cell>
          <cell r="GB53">
            <v>26436</v>
          </cell>
          <cell r="GC53">
            <v>1747</v>
          </cell>
          <cell r="GD53">
            <v>278</v>
          </cell>
          <cell r="GJ53">
            <v>62</v>
          </cell>
          <cell r="GK53">
            <v>0</v>
          </cell>
          <cell r="GL53">
            <v>0</v>
          </cell>
          <cell r="GM53">
            <v>0</v>
          </cell>
          <cell r="GN53">
            <v>79183</v>
          </cell>
          <cell r="GO53">
            <v>6825</v>
          </cell>
          <cell r="GP53">
            <v>600</v>
          </cell>
          <cell r="GQ53">
            <v>0</v>
          </cell>
          <cell r="GR53">
            <v>21</v>
          </cell>
          <cell r="GT53">
            <v>45540</v>
          </cell>
          <cell r="GU53">
            <v>4490</v>
          </cell>
          <cell r="GV53">
            <v>25974</v>
          </cell>
          <cell r="GW53">
            <v>15162</v>
          </cell>
          <cell r="GX53">
            <v>577</v>
          </cell>
          <cell r="GY53">
            <v>5010</v>
          </cell>
          <cell r="GZ53">
            <v>60702</v>
          </cell>
          <cell r="HA53">
            <v>5067</v>
          </cell>
          <cell r="HB53">
            <v>30984</v>
          </cell>
          <cell r="HC53">
            <v>96753</v>
          </cell>
          <cell r="HD53">
            <v>2448</v>
          </cell>
          <cell r="HE53">
            <v>99347</v>
          </cell>
          <cell r="HF53">
            <v>10306</v>
          </cell>
          <cell r="HG53">
            <v>41189</v>
          </cell>
          <cell r="HH53">
            <v>146</v>
          </cell>
          <cell r="HI53">
            <v>1</v>
          </cell>
          <cell r="HJ53">
            <v>51496</v>
          </cell>
          <cell r="HK53">
            <v>150843</v>
          </cell>
          <cell r="HL53">
            <v>6</v>
          </cell>
          <cell r="HM53">
            <v>12907</v>
          </cell>
          <cell r="HN53">
            <v>12913</v>
          </cell>
          <cell r="HO53">
            <v>85</v>
          </cell>
          <cell r="HP53">
            <v>2385</v>
          </cell>
          <cell r="HQ53">
            <v>2470</v>
          </cell>
          <cell r="HR53">
            <v>0</v>
          </cell>
          <cell r="HS53">
            <v>27</v>
          </cell>
          <cell r="HT53">
            <v>27</v>
          </cell>
          <cell r="HU53">
            <v>233</v>
          </cell>
          <cell r="HV53">
            <v>15643</v>
          </cell>
          <cell r="HW53">
            <v>645</v>
          </cell>
          <cell r="HX53">
            <v>0</v>
          </cell>
          <cell r="HY53">
            <v>645</v>
          </cell>
          <cell r="HZ53">
            <v>16288</v>
          </cell>
          <cell r="IA53">
            <v>12776</v>
          </cell>
          <cell r="IB53">
            <v>53992</v>
          </cell>
          <cell r="IC53">
            <v>166486</v>
          </cell>
          <cell r="ID53">
            <v>166486</v>
          </cell>
          <cell r="IE53">
            <v>167131</v>
          </cell>
          <cell r="IF53">
            <v>43388</v>
          </cell>
          <cell r="IG53">
            <v>1</v>
          </cell>
          <cell r="IJ53">
            <v>1</v>
          </cell>
          <cell r="IK53">
            <v>4.0800000000000003E-2</v>
          </cell>
          <cell r="IL53">
            <v>6.9999999999999999E-4</v>
          </cell>
          <cell r="IM53">
            <v>0.46200000000000002</v>
          </cell>
          <cell r="IN53">
            <v>0</v>
          </cell>
          <cell r="IO53">
            <v>0.4224</v>
          </cell>
          <cell r="IP53">
            <v>5.0000000000000001E-4</v>
          </cell>
          <cell r="IQ53">
            <v>0.46820000000000001</v>
          </cell>
          <cell r="IR53">
            <v>6.6000000000000003E-2</v>
          </cell>
          <cell r="IS53">
            <v>0.2606</v>
          </cell>
          <cell r="IT53">
            <v>15925</v>
          </cell>
          <cell r="IU53">
            <v>3765</v>
          </cell>
          <cell r="IV53">
            <v>19690</v>
          </cell>
          <cell r="IW53">
            <v>0.434</v>
          </cell>
          <cell r="IX53">
            <v>107512</v>
          </cell>
          <cell r="IZ53">
            <v>98</v>
          </cell>
          <cell r="JA53">
            <v>114</v>
          </cell>
          <cell r="JB53">
            <v>294</v>
          </cell>
          <cell r="JC53">
            <v>9</v>
          </cell>
          <cell r="JD53">
            <v>4</v>
          </cell>
          <cell r="JE53">
            <v>16</v>
          </cell>
          <cell r="JF53">
            <v>107</v>
          </cell>
          <cell r="JG53">
            <v>118</v>
          </cell>
          <cell r="JH53">
            <v>310</v>
          </cell>
          <cell r="JI53">
            <v>535</v>
          </cell>
          <cell r="JJ53">
            <v>506</v>
          </cell>
          <cell r="JK53">
            <v>29</v>
          </cell>
          <cell r="JL53">
            <v>988</v>
          </cell>
          <cell r="JM53">
            <v>1097</v>
          </cell>
          <cell r="JN53">
            <v>3801</v>
          </cell>
          <cell r="JO53">
            <v>126</v>
          </cell>
          <cell r="JP53">
            <v>137</v>
          </cell>
          <cell r="JQ53">
            <v>3388</v>
          </cell>
          <cell r="JR53">
            <v>1114</v>
          </cell>
          <cell r="JS53">
            <v>1234</v>
          </cell>
          <cell r="JT53">
            <v>7189</v>
          </cell>
          <cell r="JU53">
            <v>9537</v>
          </cell>
          <cell r="JV53">
            <v>5886</v>
          </cell>
          <cell r="JW53">
            <v>3651</v>
          </cell>
          <cell r="JX53">
            <v>17.829999999999998</v>
          </cell>
          <cell r="JY53">
            <v>10.41</v>
          </cell>
          <cell r="JZ53">
            <v>23.19</v>
          </cell>
          <cell r="KA53">
            <v>0.12</v>
          </cell>
          <cell r="KB53">
            <v>0.75</v>
          </cell>
          <cell r="KC53">
            <v>21</v>
          </cell>
          <cell r="KD53">
            <v>63</v>
          </cell>
          <cell r="KE53">
            <v>48</v>
          </cell>
          <cell r="KF53">
            <v>157</v>
          </cell>
          <cell r="KG53">
            <v>132</v>
          </cell>
          <cell r="KH53">
            <v>792</v>
          </cell>
          <cell r="KI53">
            <v>0</v>
          </cell>
          <cell r="KJ53">
            <v>0</v>
          </cell>
          <cell r="KK53">
            <v>190</v>
          </cell>
          <cell r="KL53">
            <v>1474</v>
          </cell>
          <cell r="KM53">
            <v>10825</v>
          </cell>
          <cell r="KN53">
            <v>9348</v>
          </cell>
          <cell r="KO53">
            <v>898</v>
          </cell>
          <cell r="KQ53">
            <v>270</v>
          </cell>
          <cell r="KR53">
            <v>2718</v>
          </cell>
          <cell r="KS53">
            <v>6240</v>
          </cell>
          <cell r="KT53">
            <v>6130</v>
          </cell>
          <cell r="KU53">
            <v>15</v>
          </cell>
          <cell r="KV53">
            <v>38</v>
          </cell>
          <cell r="KW53">
            <v>18455</v>
          </cell>
          <cell r="KY53">
            <v>56192</v>
          </cell>
          <cell r="KZ53">
            <v>6977</v>
          </cell>
          <cell r="LC53" t="str">
            <v>MCDOWELL COUNTY PUBLIC LIBRARY</v>
          </cell>
          <cell r="LD53" t="str">
            <v>County Owned</v>
          </cell>
          <cell r="LE53" t="str">
            <v>90 W COURT ST</v>
          </cell>
          <cell r="LF53" t="str">
            <v>MARION</v>
          </cell>
          <cell r="LG53">
            <v>28752</v>
          </cell>
          <cell r="LH53">
            <v>3906</v>
          </cell>
          <cell r="LI53" t="str">
            <v>90 W COURT ST</v>
          </cell>
          <cell r="LJ53" t="str">
            <v>MARION</v>
          </cell>
          <cell r="LK53">
            <v>28752</v>
          </cell>
          <cell r="LL53">
            <v>3906</v>
          </cell>
          <cell r="LM53" t="str">
            <v>MCDOWELL</v>
          </cell>
          <cell r="LN53">
            <v>8286523858</v>
          </cell>
          <cell r="LO53">
            <v>8286522098</v>
          </cell>
          <cell r="LP53">
            <v>22290</v>
          </cell>
          <cell r="LQ53">
            <v>9</v>
          </cell>
          <cell r="LS53">
            <v>4186</v>
          </cell>
          <cell r="LT53">
            <v>104</v>
          </cell>
          <cell r="LW53">
            <v>2</v>
          </cell>
          <cell r="LX53" t="str">
            <v>C-MCDOWELL-M</v>
          </cell>
          <cell r="LY53">
            <v>0</v>
          </cell>
          <cell r="LZ53" t="str">
            <v>CE</v>
          </cell>
          <cell r="MA53">
            <v>94</v>
          </cell>
          <cell r="MB53">
            <v>91</v>
          </cell>
        </row>
        <row r="54">
          <cell r="A54" t="str">
            <v>NC0083</v>
          </cell>
          <cell r="B54">
            <v>0</v>
          </cell>
          <cell r="C54">
            <v>1375</v>
          </cell>
          <cell r="D54">
            <v>2017</v>
          </cell>
          <cell r="E54">
            <v>0</v>
          </cell>
          <cell r="F54" t="str">
            <v>NC0083</v>
          </cell>
          <cell r="G54" t="str">
            <v>M-MOORESVILLE</v>
          </cell>
          <cell r="H54" t="str">
            <v>NO</v>
          </cell>
          <cell r="I54" t="str">
            <v>CI</v>
          </cell>
          <cell r="J54" t="str">
            <v>SO</v>
          </cell>
          <cell r="K54" t="str">
            <v>Y</v>
          </cell>
          <cell r="L54" t="str">
            <v>CI1</v>
          </cell>
          <cell r="M54" t="str">
            <v>N</v>
          </cell>
          <cell r="N54">
            <v>37750</v>
          </cell>
          <cell r="O54" t="str">
            <v>Yes</v>
          </cell>
          <cell r="P54">
            <v>624</v>
          </cell>
          <cell r="Q54">
            <v>169</v>
          </cell>
          <cell r="R54">
            <v>123</v>
          </cell>
          <cell r="S54">
            <v>10</v>
          </cell>
          <cell r="T54">
            <v>5032</v>
          </cell>
          <cell r="U54">
            <v>215</v>
          </cell>
          <cell r="V54">
            <v>64213</v>
          </cell>
          <cell r="W54">
            <v>5098</v>
          </cell>
          <cell r="X54">
            <v>339416</v>
          </cell>
          <cell r="Y54">
            <v>295697</v>
          </cell>
          <cell r="Z54" t="str">
            <v>304 S MAIN ST</v>
          </cell>
          <cell r="AA54" t="str">
            <v>MOORESVILLE</v>
          </cell>
          <cell r="AB54">
            <v>28115</v>
          </cell>
          <cell r="AC54">
            <v>3262</v>
          </cell>
          <cell r="AD54" t="str">
            <v>304 S MAIN ST</v>
          </cell>
          <cell r="AE54" t="str">
            <v>MOORESVILLE</v>
          </cell>
          <cell r="AF54">
            <v>28115</v>
          </cell>
          <cell r="AG54">
            <v>3</v>
          </cell>
          <cell r="AH54" t="str">
            <v>MOORESVILLE PUBLIC LIBRARY</v>
          </cell>
          <cell r="AJ54" t="str">
            <v>Municipal</v>
          </cell>
          <cell r="AK54" t="str">
            <v>IREDELL</v>
          </cell>
          <cell r="AL54" t="str">
            <v>Marian Lytle</v>
          </cell>
          <cell r="AM54" t="str">
            <v>(704) 660-3272</v>
          </cell>
          <cell r="AN54" t="str">
            <v>(704) 660-3292</v>
          </cell>
          <cell r="AO54" t="str">
            <v>mlytle@ci.mooresville.nc.us</v>
          </cell>
          <cell r="AP54" t="str">
            <v>Chao Huang</v>
          </cell>
          <cell r="AQ54" t="str">
            <v>Digital Services Librarian</v>
          </cell>
          <cell r="AR54" t="str">
            <v>(704) 799-4203</v>
          </cell>
          <cell r="AS54" t="str">
            <v>(704) 663-2459</v>
          </cell>
          <cell r="AT54" t="str">
            <v>chuang@ci.mooresville.nc.us</v>
          </cell>
          <cell r="AU54" t="str">
            <v>www.mooresvillelibrary.org</v>
          </cell>
          <cell r="BC54">
            <v>1</v>
          </cell>
          <cell r="BD54">
            <v>0</v>
          </cell>
          <cell r="BE54">
            <v>0</v>
          </cell>
          <cell r="BF54">
            <v>1</v>
          </cell>
          <cell r="BG54">
            <v>2</v>
          </cell>
          <cell r="BI54">
            <v>3076</v>
          </cell>
          <cell r="BJ54">
            <v>6</v>
          </cell>
          <cell r="BK54">
            <v>1</v>
          </cell>
          <cell r="BL54">
            <v>7</v>
          </cell>
          <cell r="BM54">
            <v>20</v>
          </cell>
          <cell r="BN54">
            <v>27</v>
          </cell>
          <cell r="BO54">
            <v>0.22220000000000001</v>
          </cell>
          <cell r="BP54">
            <v>372</v>
          </cell>
          <cell r="BQ54">
            <v>87863</v>
          </cell>
          <cell r="BT54">
            <v>62367</v>
          </cell>
          <cell r="BY54">
            <v>39650</v>
          </cell>
          <cell r="BZ54">
            <v>62010</v>
          </cell>
          <cell r="CA54">
            <v>44500</v>
          </cell>
          <cell r="CG54">
            <v>43714</v>
          </cell>
          <cell r="CH54">
            <v>68366</v>
          </cell>
          <cell r="CI54">
            <v>49700</v>
          </cell>
          <cell r="CK54">
            <v>43714</v>
          </cell>
          <cell r="CL54">
            <v>68366</v>
          </cell>
          <cell r="CM54">
            <v>49700</v>
          </cell>
          <cell r="CV54">
            <v>39650</v>
          </cell>
          <cell r="CW54">
            <v>62010</v>
          </cell>
          <cell r="CX54">
            <v>44500</v>
          </cell>
          <cell r="DH54">
            <v>39650</v>
          </cell>
          <cell r="DI54">
            <v>62010</v>
          </cell>
          <cell r="DJ54">
            <v>44500</v>
          </cell>
          <cell r="DK54">
            <v>31067</v>
          </cell>
          <cell r="DL54">
            <v>48587</v>
          </cell>
          <cell r="DM54">
            <v>39827</v>
          </cell>
          <cell r="DO54">
            <v>28178</v>
          </cell>
          <cell r="DP54">
            <v>44069</v>
          </cell>
          <cell r="DQ54">
            <v>36123</v>
          </cell>
          <cell r="DV54">
            <v>910571</v>
          </cell>
          <cell r="DW54">
            <v>1287275</v>
          </cell>
          <cell r="DX54">
            <v>2197846</v>
          </cell>
          <cell r="DY54">
            <v>24381</v>
          </cell>
          <cell r="DZ54">
            <v>918</v>
          </cell>
          <cell r="EA54">
            <v>25299</v>
          </cell>
          <cell r="EB54">
            <v>0</v>
          </cell>
          <cell r="EC54">
            <v>0</v>
          </cell>
          <cell r="ED54">
            <v>0</v>
          </cell>
          <cell r="EE54">
            <v>74465</v>
          </cell>
          <cell r="EF54">
            <v>2297610</v>
          </cell>
          <cell r="EG54">
            <v>1094929</v>
          </cell>
          <cell r="EH54">
            <v>433406</v>
          </cell>
          <cell r="EI54">
            <v>1528335</v>
          </cell>
          <cell r="EJ54">
            <v>193852</v>
          </cell>
          <cell r="EK54">
            <v>68439</v>
          </cell>
          <cell r="EL54">
            <v>55797</v>
          </cell>
          <cell r="EM54">
            <v>318088</v>
          </cell>
          <cell r="EN54">
            <v>451187</v>
          </cell>
          <cell r="EO54">
            <v>2297610</v>
          </cell>
          <cell r="EP54">
            <v>0</v>
          </cell>
          <cell r="EQ54">
            <v>0</v>
          </cell>
          <cell r="ER54">
            <v>0</v>
          </cell>
          <cell r="ES54">
            <v>0</v>
          </cell>
          <cell r="ET54">
            <v>0</v>
          </cell>
          <cell r="EU54">
            <v>0</v>
          </cell>
          <cell r="EV54">
            <v>0</v>
          </cell>
          <cell r="EW54">
            <v>265558</v>
          </cell>
          <cell r="EX54">
            <v>100773</v>
          </cell>
          <cell r="EY54">
            <v>519152</v>
          </cell>
          <cell r="EZ54">
            <v>31075</v>
          </cell>
          <cell r="FA54">
            <v>7355</v>
          </cell>
          <cell r="FB54">
            <v>28982</v>
          </cell>
          <cell r="FC54">
            <v>27895</v>
          </cell>
          <cell r="FD54">
            <v>1810</v>
          </cell>
          <cell r="FE54">
            <v>21019</v>
          </cell>
          <cell r="FF54">
            <v>58970</v>
          </cell>
          <cell r="FG54">
            <v>9165</v>
          </cell>
          <cell r="FH54">
            <v>50001</v>
          </cell>
          <cell r="FI54">
            <v>118136</v>
          </cell>
          <cell r="FJ54">
            <v>4</v>
          </cell>
          <cell r="FK54">
            <v>121</v>
          </cell>
          <cell r="FM54">
            <v>118136</v>
          </cell>
          <cell r="FN54">
            <v>6523</v>
          </cell>
          <cell r="FO54">
            <v>10519</v>
          </cell>
          <cell r="FP54">
            <v>484</v>
          </cell>
          <cell r="FQ54">
            <v>10</v>
          </cell>
          <cell r="FR54">
            <v>88</v>
          </cell>
          <cell r="FS54">
            <v>98</v>
          </cell>
          <cell r="FT54">
            <v>44141</v>
          </cell>
          <cell r="FU54">
            <v>3505</v>
          </cell>
          <cell r="FV54">
            <v>0</v>
          </cell>
          <cell r="FW54">
            <v>0</v>
          </cell>
          <cell r="FX54">
            <v>8544</v>
          </cell>
          <cell r="FY54">
            <v>1573</v>
          </cell>
          <cell r="FZ54">
            <v>322</v>
          </cell>
          <cell r="GA54">
            <v>0</v>
          </cell>
          <cell r="GB54">
            <v>0</v>
          </cell>
          <cell r="GC54">
            <v>0</v>
          </cell>
          <cell r="GD54">
            <v>0</v>
          </cell>
          <cell r="GE54">
            <v>0</v>
          </cell>
          <cell r="GF54">
            <v>36593</v>
          </cell>
          <cell r="GG54">
            <v>13194</v>
          </cell>
          <cell r="GH54">
            <v>264</v>
          </cell>
          <cell r="GI54">
            <v>12</v>
          </cell>
          <cell r="GJ54">
            <v>208281</v>
          </cell>
          <cell r="GK54">
            <v>52785</v>
          </cell>
          <cell r="GL54">
            <v>13983</v>
          </cell>
          <cell r="GM54">
            <v>70</v>
          </cell>
          <cell r="GN54">
            <v>297559</v>
          </cell>
          <cell r="GO54">
            <v>71057</v>
          </cell>
          <cell r="GP54">
            <v>14569</v>
          </cell>
          <cell r="GQ54">
            <v>82</v>
          </cell>
          <cell r="GR54">
            <v>35</v>
          </cell>
          <cell r="GT54">
            <v>73957</v>
          </cell>
          <cell r="GU54">
            <v>12616</v>
          </cell>
          <cell r="GV54">
            <v>154767</v>
          </cell>
          <cell r="GW54">
            <v>37016</v>
          </cell>
          <cell r="GX54">
            <v>1177</v>
          </cell>
          <cell r="GY54">
            <v>51982</v>
          </cell>
          <cell r="GZ54">
            <v>110973</v>
          </cell>
          <cell r="HA54">
            <v>13793</v>
          </cell>
          <cell r="HB54">
            <v>206749</v>
          </cell>
          <cell r="HC54">
            <v>331515</v>
          </cell>
          <cell r="HD54">
            <v>89</v>
          </cell>
          <cell r="HE54">
            <v>331605</v>
          </cell>
          <cell r="HF54">
            <v>24104</v>
          </cell>
          <cell r="HG54">
            <v>86891</v>
          </cell>
          <cell r="HH54">
            <v>1</v>
          </cell>
          <cell r="HI54">
            <v>132</v>
          </cell>
          <cell r="HJ54">
            <v>111127</v>
          </cell>
          <cell r="HK54">
            <v>442732</v>
          </cell>
          <cell r="HL54">
            <v>54</v>
          </cell>
          <cell r="HM54">
            <v>37014</v>
          </cell>
          <cell r="HN54">
            <v>37068</v>
          </cell>
          <cell r="HO54">
            <v>363</v>
          </cell>
          <cell r="HP54">
            <v>20651</v>
          </cell>
          <cell r="HQ54">
            <v>21014</v>
          </cell>
          <cell r="HR54">
            <v>0</v>
          </cell>
          <cell r="HS54">
            <v>1525</v>
          </cell>
          <cell r="HT54">
            <v>1525</v>
          </cell>
          <cell r="HU54">
            <v>1696</v>
          </cell>
          <cell r="HV54">
            <v>61303</v>
          </cell>
          <cell r="HW54">
            <v>8727</v>
          </cell>
          <cell r="HX54">
            <v>1606</v>
          </cell>
          <cell r="HY54">
            <v>10333</v>
          </cell>
          <cell r="HZ54">
            <v>71636</v>
          </cell>
          <cell r="IA54">
            <v>45118</v>
          </cell>
          <cell r="IB54">
            <v>133534</v>
          </cell>
          <cell r="IC54">
            <v>504035</v>
          </cell>
          <cell r="ID54">
            <v>504035</v>
          </cell>
          <cell r="IE54">
            <v>514368</v>
          </cell>
          <cell r="IF54">
            <v>264279</v>
          </cell>
          <cell r="IG54">
            <v>91</v>
          </cell>
          <cell r="IJ54">
            <v>1</v>
          </cell>
          <cell r="IK54">
            <v>4.8300000000000003E-2</v>
          </cell>
          <cell r="IL54">
            <v>2.0000000000000001E-4</v>
          </cell>
          <cell r="IM54">
            <v>0.73829999999999996</v>
          </cell>
          <cell r="IN54">
            <v>0</v>
          </cell>
          <cell r="IO54">
            <v>0.57320000000000004</v>
          </cell>
          <cell r="IP54">
            <v>2.0000000000000001E-4</v>
          </cell>
          <cell r="IQ54">
            <v>0.2276</v>
          </cell>
          <cell r="IR54">
            <v>0.14940000000000001</v>
          </cell>
          <cell r="IS54">
            <v>0.52429999999999999</v>
          </cell>
          <cell r="IT54">
            <v>37161</v>
          </cell>
          <cell r="IU54">
            <v>9415</v>
          </cell>
          <cell r="IV54">
            <v>46576</v>
          </cell>
          <cell r="IW54">
            <v>1.2338</v>
          </cell>
          <cell r="IX54">
            <v>213952</v>
          </cell>
          <cell r="IZ54">
            <v>200</v>
          </cell>
          <cell r="JA54">
            <v>44</v>
          </cell>
          <cell r="JB54">
            <v>512</v>
          </cell>
          <cell r="JC54">
            <v>12</v>
          </cell>
          <cell r="JD54">
            <v>5</v>
          </cell>
          <cell r="JE54">
            <v>302</v>
          </cell>
          <cell r="JF54">
            <v>212</v>
          </cell>
          <cell r="JG54">
            <v>49</v>
          </cell>
          <cell r="JH54">
            <v>814</v>
          </cell>
          <cell r="JI54">
            <v>1075</v>
          </cell>
          <cell r="JJ54">
            <v>756</v>
          </cell>
          <cell r="JK54">
            <v>319</v>
          </cell>
          <cell r="JL54">
            <v>2483</v>
          </cell>
          <cell r="JM54">
            <v>1362</v>
          </cell>
          <cell r="JN54">
            <v>19072</v>
          </cell>
          <cell r="JO54">
            <v>200</v>
          </cell>
          <cell r="JP54">
            <v>273</v>
          </cell>
          <cell r="JQ54">
            <v>25392</v>
          </cell>
          <cell r="JR54">
            <v>2683</v>
          </cell>
          <cell r="JS54">
            <v>1635</v>
          </cell>
          <cell r="JT54">
            <v>44464</v>
          </cell>
          <cell r="JU54">
            <v>48782</v>
          </cell>
          <cell r="JV54">
            <v>22917</v>
          </cell>
          <cell r="JW54">
            <v>25865</v>
          </cell>
          <cell r="JX54">
            <v>45.38</v>
          </cell>
          <cell r="JY54">
            <v>12.66</v>
          </cell>
          <cell r="JZ54">
            <v>54.62</v>
          </cell>
          <cell r="KA54">
            <v>0.06</v>
          </cell>
          <cell r="KB54">
            <v>0.91</v>
          </cell>
          <cell r="KC54">
            <v>37</v>
          </cell>
          <cell r="KD54">
            <v>82</v>
          </cell>
          <cell r="KE54">
            <v>8</v>
          </cell>
          <cell r="KF54">
            <v>31</v>
          </cell>
          <cell r="KG54">
            <v>343</v>
          </cell>
          <cell r="KH54">
            <v>12480</v>
          </cell>
          <cell r="KI54">
            <v>52</v>
          </cell>
          <cell r="KJ54">
            <v>609</v>
          </cell>
          <cell r="KK54">
            <v>128</v>
          </cell>
          <cell r="KL54">
            <v>1798</v>
          </cell>
          <cell r="KM54">
            <v>20616</v>
          </cell>
          <cell r="KN54">
            <v>6479</v>
          </cell>
          <cell r="KO54">
            <v>213</v>
          </cell>
          <cell r="KQ54">
            <v>198</v>
          </cell>
          <cell r="KR54">
            <v>1221</v>
          </cell>
          <cell r="KS54">
            <v>70</v>
          </cell>
          <cell r="KT54">
            <v>122</v>
          </cell>
          <cell r="KU54">
            <v>30</v>
          </cell>
          <cell r="KV54">
            <v>47</v>
          </cell>
          <cell r="KW54">
            <v>32882</v>
          </cell>
          <cell r="KY54">
            <v>60455</v>
          </cell>
          <cell r="KZ54">
            <v>18854</v>
          </cell>
          <cell r="LC54" t="str">
            <v>MOORESVILLE PUBLIC LIBRARY</v>
          </cell>
          <cell r="LD54" t="str">
            <v>City Owned</v>
          </cell>
          <cell r="LE54" t="str">
            <v>304 S MAIN ST</v>
          </cell>
          <cell r="LF54" t="str">
            <v>MOORESVILLE</v>
          </cell>
          <cell r="LG54">
            <v>28115</v>
          </cell>
          <cell r="LH54">
            <v>3262</v>
          </cell>
          <cell r="LI54" t="str">
            <v>304 S MAIN ST</v>
          </cell>
          <cell r="LJ54" t="str">
            <v>MOORESVILLE</v>
          </cell>
          <cell r="LK54">
            <v>28115</v>
          </cell>
          <cell r="LL54">
            <v>3262</v>
          </cell>
          <cell r="LM54" t="str">
            <v>IREDELL</v>
          </cell>
          <cell r="LN54">
            <v>7046642927</v>
          </cell>
          <cell r="LO54">
            <v>7047994106</v>
          </cell>
          <cell r="LP54">
            <v>34000</v>
          </cell>
          <cell r="LQ54">
            <v>27</v>
          </cell>
          <cell r="LS54">
            <v>3076</v>
          </cell>
          <cell r="LT54">
            <v>52</v>
          </cell>
          <cell r="LW54">
            <v>2</v>
          </cell>
          <cell r="LX54" t="str">
            <v>M-MOORESVILLE-M</v>
          </cell>
          <cell r="LY54">
            <v>0</v>
          </cell>
          <cell r="LZ54" t="str">
            <v>CE</v>
          </cell>
          <cell r="MA54">
            <v>611.70000000000005</v>
          </cell>
          <cell r="MB54">
            <v>724.37</v>
          </cell>
        </row>
        <row r="55">
          <cell r="A55" t="str">
            <v>NC0011</v>
          </cell>
          <cell r="B55">
            <v>0</v>
          </cell>
          <cell r="C55">
            <v>1375</v>
          </cell>
          <cell r="D55">
            <v>2017</v>
          </cell>
          <cell r="E55">
            <v>0</v>
          </cell>
          <cell r="F55" t="str">
            <v>NC0011</v>
          </cell>
          <cell r="G55" t="str">
            <v>R-NANTAHALA</v>
          </cell>
          <cell r="H55" t="str">
            <v>NO</v>
          </cell>
          <cell r="I55" t="str">
            <v>MJ</v>
          </cell>
          <cell r="J55" t="str">
            <v>MO</v>
          </cell>
          <cell r="K55" t="str">
            <v>Y</v>
          </cell>
          <cell r="L55" t="str">
            <v>MC1</v>
          </cell>
          <cell r="M55" t="str">
            <v>N</v>
          </cell>
          <cell r="N55">
            <v>47567</v>
          </cell>
          <cell r="O55" t="str">
            <v>Yes</v>
          </cell>
          <cell r="P55">
            <v>257</v>
          </cell>
          <cell r="Q55">
            <v>52</v>
          </cell>
          <cell r="R55">
            <v>86</v>
          </cell>
          <cell r="S55">
            <v>9</v>
          </cell>
          <cell r="T55">
            <v>2424</v>
          </cell>
          <cell r="U55">
            <v>69</v>
          </cell>
          <cell r="V55">
            <v>12599</v>
          </cell>
          <cell r="W55">
            <v>1753</v>
          </cell>
          <cell r="X55">
            <v>349520</v>
          </cell>
          <cell r="Y55">
            <v>136320</v>
          </cell>
          <cell r="Z55" t="str">
            <v>11 BLUMENTHAL ST</v>
          </cell>
          <cell r="AA55" t="str">
            <v>MURPHY</v>
          </cell>
          <cell r="AB55">
            <v>28906</v>
          </cell>
          <cell r="AC55">
            <v>2950</v>
          </cell>
          <cell r="AD55" t="str">
            <v>11 BLUMENTHAL ST</v>
          </cell>
          <cell r="AE55" t="str">
            <v>MURPHY</v>
          </cell>
          <cell r="AF55">
            <v>28906</v>
          </cell>
          <cell r="AG55">
            <v>2</v>
          </cell>
          <cell r="AH55" t="str">
            <v>NANTAHALA REGIONAL LIBRARY</v>
          </cell>
          <cell r="AJ55" t="str">
            <v>Regional</v>
          </cell>
          <cell r="AK55" t="str">
            <v>CHEROKEE</v>
          </cell>
          <cell r="AL55" t="str">
            <v>Daphne Simmons</v>
          </cell>
          <cell r="AM55" t="str">
            <v>(828) 837-2025</v>
          </cell>
          <cell r="AN55" t="str">
            <v>(828) 837-6416</v>
          </cell>
          <cell r="AO55" t="str">
            <v>dchildres@nantahalalibrary.org</v>
          </cell>
          <cell r="AP55" t="str">
            <v>Daphne Simmons</v>
          </cell>
          <cell r="AQ55" t="str">
            <v>Nantahala Regional Library Director</v>
          </cell>
          <cell r="AR55" t="str">
            <v>(828) 837-2025</v>
          </cell>
          <cell r="AS55" t="str">
            <v>(828) 837-6416</v>
          </cell>
          <cell r="AT55" t="str">
            <v>dchildres@nantahalalibrary.org</v>
          </cell>
          <cell r="AU55" t="str">
            <v>www.nantahalalibrary.org</v>
          </cell>
          <cell r="BC55">
            <v>0</v>
          </cell>
          <cell r="BD55">
            <v>5</v>
          </cell>
          <cell r="BE55">
            <v>1</v>
          </cell>
          <cell r="BF55">
            <v>0</v>
          </cell>
          <cell r="BG55">
            <v>6</v>
          </cell>
          <cell r="BI55">
            <v>11986</v>
          </cell>
          <cell r="BJ55">
            <v>2.88</v>
          </cell>
          <cell r="BK55">
            <v>0</v>
          </cell>
          <cell r="BL55">
            <v>2.88</v>
          </cell>
          <cell r="BM55">
            <v>11.44</v>
          </cell>
          <cell r="BN55">
            <v>14.32</v>
          </cell>
          <cell r="BO55">
            <v>0.2011</v>
          </cell>
          <cell r="BP55">
            <v>2329</v>
          </cell>
          <cell r="BQ55">
            <v>54075</v>
          </cell>
          <cell r="BT55">
            <v>0</v>
          </cell>
          <cell r="BU55">
            <v>26244</v>
          </cell>
          <cell r="BV55">
            <v>38813</v>
          </cell>
          <cell r="BW55">
            <v>33352</v>
          </cell>
          <cell r="BY55">
            <v>42000</v>
          </cell>
          <cell r="BZ55">
            <v>42000</v>
          </cell>
          <cell r="CA55">
            <v>42000</v>
          </cell>
          <cell r="CC55">
            <v>0</v>
          </cell>
          <cell r="CD55">
            <v>0</v>
          </cell>
          <cell r="CE55">
            <v>0</v>
          </cell>
          <cell r="CG55">
            <v>0</v>
          </cell>
          <cell r="CH55">
            <v>0</v>
          </cell>
          <cell r="CI55">
            <v>0</v>
          </cell>
          <cell r="CK55">
            <v>0</v>
          </cell>
          <cell r="CL55">
            <v>0</v>
          </cell>
          <cell r="CM55">
            <v>0</v>
          </cell>
          <cell r="CO55">
            <v>27914</v>
          </cell>
          <cell r="CP55">
            <v>27914</v>
          </cell>
          <cell r="CQ55">
            <v>27914</v>
          </cell>
          <cell r="CR55">
            <v>0</v>
          </cell>
          <cell r="CS55">
            <v>0</v>
          </cell>
          <cell r="CT55">
            <v>0</v>
          </cell>
          <cell r="CV55">
            <v>0</v>
          </cell>
          <cell r="CW55">
            <v>0</v>
          </cell>
          <cell r="CX55">
            <v>0</v>
          </cell>
          <cell r="CZ55">
            <v>0</v>
          </cell>
          <cell r="DA55">
            <v>0</v>
          </cell>
          <cell r="DB55">
            <v>0</v>
          </cell>
          <cell r="DD55">
            <v>0</v>
          </cell>
          <cell r="DE55">
            <v>0</v>
          </cell>
          <cell r="DF55">
            <v>0</v>
          </cell>
          <cell r="DH55">
            <v>0</v>
          </cell>
          <cell r="DI55">
            <v>0</v>
          </cell>
          <cell r="DJ55">
            <v>0</v>
          </cell>
          <cell r="DK55">
            <v>0</v>
          </cell>
          <cell r="DL55">
            <v>0</v>
          </cell>
          <cell r="DM55">
            <v>0</v>
          </cell>
          <cell r="DO55">
            <v>15406</v>
          </cell>
          <cell r="DP55">
            <v>23586</v>
          </cell>
          <cell r="DQ55">
            <v>20602</v>
          </cell>
          <cell r="DS55">
            <v>0</v>
          </cell>
          <cell r="DT55">
            <v>0</v>
          </cell>
          <cell r="DU55">
            <v>0</v>
          </cell>
          <cell r="DV55">
            <v>484095</v>
          </cell>
          <cell r="DW55">
            <v>365084</v>
          </cell>
          <cell r="DX55">
            <v>849179</v>
          </cell>
          <cell r="DY55">
            <v>295570</v>
          </cell>
          <cell r="DZ55">
            <v>0</v>
          </cell>
          <cell r="EA55">
            <v>295570</v>
          </cell>
          <cell r="EB55">
            <v>0</v>
          </cell>
          <cell r="EC55">
            <v>0</v>
          </cell>
          <cell r="ED55">
            <v>0</v>
          </cell>
          <cell r="EE55">
            <v>83020</v>
          </cell>
          <cell r="EF55">
            <v>1227769</v>
          </cell>
          <cell r="EG55">
            <v>514024</v>
          </cell>
          <cell r="EH55">
            <v>272534</v>
          </cell>
          <cell r="EI55">
            <v>786558</v>
          </cell>
          <cell r="EJ55">
            <v>75001</v>
          </cell>
          <cell r="EK55">
            <v>18447</v>
          </cell>
          <cell r="EL55">
            <v>5740</v>
          </cell>
          <cell r="EM55">
            <v>99188</v>
          </cell>
          <cell r="EN55">
            <v>216644</v>
          </cell>
          <cell r="EO55">
            <v>1102390</v>
          </cell>
          <cell r="EP55">
            <v>125379</v>
          </cell>
          <cell r="EQ55">
            <v>0.1021</v>
          </cell>
          <cell r="ER55">
            <v>0</v>
          </cell>
          <cell r="ES55">
            <v>0</v>
          </cell>
          <cell r="ET55">
            <v>0</v>
          </cell>
          <cell r="EU55">
            <v>35000</v>
          </cell>
          <cell r="EV55">
            <v>35000</v>
          </cell>
          <cell r="EW55">
            <v>40950</v>
          </cell>
          <cell r="EX55">
            <v>20427</v>
          </cell>
          <cell r="EY55">
            <v>220404</v>
          </cell>
          <cell r="EZ55">
            <v>64481</v>
          </cell>
          <cell r="FA55">
            <v>5143</v>
          </cell>
          <cell r="FB55">
            <v>28145</v>
          </cell>
          <cell r="FC55">
            <v>35857</v>
          </cell>
          <cell r="FD55">
            <v>469</v>
          </cell>
          <cell r="FE55">
            <v>10942</v>
          </cell>
          <cell r="FF55">
            <v>100338</v>
          </cell>
          <cell r="FG55">
            <v>5612</v>
          </cell>
          <cell r="FH55">
            <v>39087</v>
          </cell>
          <cell r="FI55">
            <v>145037</v>
          </cell>
          <cell r="FJ55">
            <v>0</v>
          </cell>
          <cell r="FK55">
            <v>197</v>
          </cell>
          <cell r="FM55">
            <v>145037</v>
          </cell>
          <cell r="FN55">
            <v>5745</v>
          </cell>
          <cell r="FO55">
            <v>10998</v>
          </cell>
          <cell r="FP55">
            <v>49</v>
          </cell>
          <cell r="FQ55">
            <v>3</v>
          </cell>
          <cell r="FR55">
            <v>88</v>
          </cell>
          <cell r="FS55">
            <v>91</v>
          </cell>
          <cell r="FT55">
            <v>44141</v>
          </cell>
          <cell r="FU55">
            <v>3505</v>
          </cell>
          <cell r="FV55">
            <v>0</v>
          </cell>
          <cell r="FW55">
            <v>0</v>
          </cell>
          <cell r="FX55">
            <v>8544</v>
          </cell>
          <cell r="FY55">
            <v>1573</v>
          </cell>
          <cell r="FZ55">
            <v>322</v>
          </cell>
          <cell r="GA55">
            <v>0</v>
          </cell>
          <cell r="GE55">
            <v>0</v>
          </cell>
          <cell r="GJ55">
            <v>23</v>
          </cell>
          <cell r="GK55">
            <v>165</v>
          </cell>
          <cell r="GL55">
            <v>14</v>
          </cell>
          <cell r="GM55">
            <v>0</v>
          </cell>
          <cell r="GN55">
            <v>52708</v>
          </cell>
          <cell r="GO55">
            <v>5243</v>
          </cell>
          <cell r="GP55">
            <v>336</v>
          </cell>
          <cell r="GQ55">
            <v>0</v>
          </cell>
          <cell r="GR55">
            <v>61</v>
          </cell>
          <cell r="GT55">
            <v>99751</v>
          </cell>
          <cell r="GU55">
            <v>5313</v>
          </cell>
          <cell r="GV55">
            <v>48134</v>
          </cell>
          <cell r="GW55">
            <v>13856</v>
          </cell>
          <cell r="GX55">
            <v>159</v>
          </cell>
          <cell r="GY55">
            <v>10109</v>
          </cell>
          <cell r="GZ55">
            <v>113607</v>
          </cell>
          <cell r="HA55">
            <v>5472</v>
          </cell>
          <cell r="HB55">
            <v>58243</v>
          </cell>
          <cell r="HC55">
            <v>177322</v>
          </cell>
          <cell r="HD55">
            <v>3619</v>
          </cell>
          <cell r="HE55">
            <v>180941</v>
          </cell>
          <cell r="HF55">
            <v>9322</v>
          </cell>
          <cell r="HG55">
            <v>49551</v>
          </cell>
          <cell r="HH55">
            <v>0</v>
          </cell>
          <cell r="HI55">
            <v>26</v>
          </cell>
          <cell r="HJ55">
            <v>58899</v>
          </cell>
          <cell r="HK55">
            <v>239840</v>
          </cell>
          <cell r="HL55">
            <v>54</v>
          </cell>
          <cell r="HM55">
            <v>74</v>
          </cell>
          <cell r="HN55">
            <v>128</v>
          </cell>
          <cell r="HO55">
            <v>1046</v>
          </cell>
          <cell r="HP55">
            <v>438</v>
          </cell>
          <cell r="HQ55">
            <v>1484</v>
          </cell>
          <cell r="HR55">
            <v>0</v>
          </cell>
          <cell r="HS55">
            <v>188</v>
          </cell>
          <cell r="HT55">
            <v>188</v>
          </cell>
          <cell r="HU55">
            <v>0</v>
          </cell>
          <cell r="HV55">
            <v>1800</v>
          </cell>
          <cell r="HW55">
            <v>10777</v>
          </cell>
          <cell r="HX55">
            <v>54504</v>
          </cell>
          <cell r="HY55">
            <v>65281</v>
          </cell>
          <cell r="HZ55">
            <v>67081</v>
          </cell>
          <cell r="IA55">
            <v>10806</v>
          </cell>
          <cell r="IB55">
            <v>60545</v>
          </cell>
          <cell r="IC55">
            <v>241640</v>
          </cell>
          <cell r="ID55">
            <v>241640</v>
          </cell>
          <cell r="IE55">
            <v>306921</v>
          </cell>
          <cell r="IF55">
            <v>63449</v>
          </cell>
          <cell r="IG55">
            <v>526</v>
          </cell>
          <cell r="IJ55">
            <v>1</v>
          </cell>
          <cell r="IK55">
            <v>5.1400000000000001E-2</v>
          </cell>
          <cell r="IL55">
            <v>8.9999999999999998E-4</v>
          </cell>
          <cell r="IM55">
            <v>0.26450000000000001</v>
          </cell>
          <cell r="IN55">
            <v>0</v>
          </cell>
          <cell r="IO55">
            <v>0.23910000000000001</v>
          </cell>
          <cell r="IP55">
            <v>4.0000000000000002E-4</v>
          </cell>
          <cell r="IQ55">
            <v>0.65810000000000002</v>
          </cell>
          <cell r="IR55">
            <v>4.99E-2</v>
          </cell>
          <cell r="IS55">
            <v>0.2626</v>
          </cell>
          <cell r="IT55">
            <v>16809</v>
          </cell>
          <cell r="IU55">
            <v>2305</v>
          </cell>
          <cell r="IV55">
            <v>19114</v>
          </cell>
          <cell r="IW55">
            <v>0.40179999999999999</v>
          </cell>
          <cell r="IX55">
            <v>252387</v>
          </cell>
          <cell r="IZ55">
            <v>294</v>
          </cell>
          <cell r="JA55">
            <v>22</v>
          </cell>
          <cell r="JB55">
            <v>295</v>
          </cell>
          <cell r="JC55">
            <v>43</v>
          </cell>
          <cell r="JD55">
            <v>0</v>
          </cell>
          <cell r="JE55">
            <v>192</v>
          </cell>
          <cell r="JF55">
            <v>337</v>
          </cell>
          <cell r="JG55">
            <v>22</v>
          </cell>
          <cell r="JH55">
            <v>487</v>
          </cell>
          <cell r="JI55">
            <v>846</v>
          </cell>
          <cell r="JJ55">
            <v>611</v>
          </cell>
          <cell r="JK55">
            <v>235</v>
          </cell>
          <cell r="JL55">
            <v>4856</v>
          </cell>
          <cell r="JM55">
            <v>241</v>
          </cell>
          <cell r="JN55">
            <v>7290</v>
          </cell>
          <cell r="JO55">
            <v>517</v>
          </cell>
          <cell r="JP55">
            <v>0</v>
          </cell>
          <cell r="JQ55">
            <v>4041</v>
          </cell>
          <cell r="JR55">
            <v>5373</v>
          </cell>
          <cell r="JS55">
            <v>241</v>
          </cell>
          <cell r="JT55">
            <v>11331</v>
          </cell>
          <cell r="JU55">
            <v>16945</v>
          </cell>
          <cell r="JV55">
            <v>12387</v>
          </cell>
          <cell r="JW55">
            <v>4558</v>
          </cell>
          <cell r="JX55">
            <v>20.03</v>
          </cell>
          <cell r="JY55">
            <v>15.94</v>
          </cell>
          <cell r="JZ55">
            <v>23.27</v>
          </cell>
          <cell r="KA55">
            <v>0.32</v>
          </cell>
          <cell r="KB55">
            <v>0.67</v>
          </cell>
          <cell r="KC55">
            <v>0</v>
          </cell>
          <cell r="KD55">
            <v>0</v>
          </cell>
          <cell r="KE55">
            <v>25</v>
          </cell>
          <cell r="KF55">
            <v>102</v>
          </cell>
          <cell r="KG55">
            <v>369</v>
          </cell>
          <cell r="KH55">
            <v>8987</v>
          </cell>
          <cell r="KI55">
            <v>0</v>
          </cell>
          <cell r="KJ55">
            <v>0</v>
          </cell>
          <cell r="KK55">
            <v>1</v>
          </cell>
          <cell r="KL55">
            <v>27</v>
          </cell>
          <cell r="KM55">
            <v>73446</v>
          </cell>
          <cell r="KN55">
            <v>2505</v>
          </cell>
          <cell r="KO55">
            <v>164</v>
          </cell>
          <cell r="KQ55">
            <v>268</v>
          </cell>
          <cell r="KR55">
            <v>2970</v>
          </cell>
          <cell r="KS55">
            <v>21</v>
          </cell>
          <cell r="KT55">
            <v>119</v>
          </cell>
          <cell r="KU55">
            <v>31</v>
          </cell>
          <cell r="KV55">
            <v>84</v>
          </cell>
          <cell r="KW55">
            <v>54504</v>
          </cell>
          <cell r="KY55">
            <v>189775</v>
          </cell>
          <cell r="KZ55">
            <v>11284</v>
          </cell>
          <cell r="LC55" t="str">
            <v>ANDREWS PUBLIC LIBRARY</v>
          </cell>
          <cell r="LD55" t="str">
            <v>City Owned</v>
          </cell>
          <cell r="LE55" t="str">
            <v>PO DRAWER 700</v>
          </cell>
          <cell r="LF55" t="str">
            <v>ANDREWS</v>
          </cell>
          <cell r="LG55">
            <v>28901</v>
          </cell>
          <cell r="LH55">
            <v>700</v>
          </cell>
          <cell r="LI55" t="str">
            <v>871 MAIN ST</v>
          </cell>
          <cell r="LJ55" t="str">
            <v>ANDREWS</v>
          </cell>
          <cell r="LK55">
            <v>28901</v>
          </cell>
          <cell r="LL55">
            <v>700</v>
          </cell>
          <cell r="LM55" t="str">
            <v>CHEROKEE</v>
          </cell>
          <cell r="LN55">
            <v>8283215956</v>
          </cell>
          <cell r="LO55">
            <v>8283213256</v>
          </cell>
          <cell r="LP55">
            <v>51868</v>
          </cell>
          <cell r="LQ55">
            <v>12.44</v>
          </cell>
          <cell r="LS55">
            <v>11986</v>
          </cell>
          <cell r="LT55">
            <v>260</v>
          </cell>
          <cell r="LW55">
            <v>2</v>
          </cell>
          <cell r="LX55" t="str">
            <v>R-NANTAHALA-C</v>
          </cell>
          <cell r="LY55">
            <v>0</v>
          </cell>
          <cell r="LZ55" t="str">
            <v>BR</v>
          </cell>
          <cell r="MA55">
            <v>85.8</v>
          </cell>
          <cell r="MB55">
            <v>95.06</v>
          </cell>
        </row>
        <row r="56">
          <cell r="A56" t="str">
            <v>NC0012</v>
          </cell>
          <cell r="B56">
            <v>0</v>
          </cell>
          <cell r="C56">
            <v>1375</v>
          </cell>
          <cell r="D56">
            <v>2017</v>
          </cell>
          <cell r="E56">
            <v>0</v>
          </cell>
          <cell r="F56" t="str">
            <v>NC0012</v>
          </cell>
          <cell r="G56" t="str">
            <v>R-NEUSE</v>
          </cell>
          <cell r="H56" t="str">
            <v>NO</v>
          </cell>
          <cell r="I56" t="str">
            <v>MJ</v>
          </cell>
          <cell r="J56" t="str">
            <v>MO</v>
          </cell>
          <cell r="K56" t="str">
            <v>Y</v>
          </cell>
          <cell r="L56" t="str">
            <v>MC1</v>
          </cell>
          <cell r="M56" t="str">
            <v>N</v>
          </cell>
          <cell r="N56">
            <v>89919</v>
          </cell>
          <cell r="O56" t="str">
            <v>Yes</v>
          </cell>
          <cell r="P56">
            <v>661</v>
          </cell>
          <cell r="Q56">
            <v>10</v>
          </cell>
          <cell r="R56">
            <v>125</v>
          </cell>
          <cell r="S56">
            <v>6</v>
          </cell>
          <cell r="T56">
            <v>2849</v>
          </cell>
          <cell r="U56">
            <v>93</v>
          </cell>
          <cell r="V56">
            <v>13192</v>
          </cell>
          <cell r="W56">
            <v>2894</v>
          </cell>
          <cell r="X56">
            <v>247650</v>
          </cell>
          <cell r="Y56">
            <v>115000</v>
          </cell>
          <cell r="Z56" t="str">
            <v>510 N QUEEN ST</v>
          </cell>
          <cell r="AA56" t="str">
            <v>KINSTON</v>
          </cell>
          <cell r="AB56">
            <v>28501</v>
          </cell>
          <cell r="AC56">
            <v>4330</v>
          </cell>
          <cell r="AD56" t="str">
            <v>510 N QUEEN ST</v>
          </cell>
          <cell r="AE56" t="str">
            <v>KINSTON</v>
          </cell>
          <cell r="AF56">
            <v>28501</v>
          </cell>
          <cell r="AG56">
            <v>2</v>
          </cell>
          <cell r="AH56" t="str">
            <v>NEUSE REGIONAL LIBRARY</v>
          </cell>
          <cell r="AJ56" t="str">
            <v>Regional</v>
          </cell>
          <cell r="AK56" t="str">
            <v>LENOIR</v>
          </cell>
          <cell r="AL56" t="str">
            <v>Agnes W. Ho</v>
          </cell>
          <cell r="AM56" t="str">
            <v>(252) 527-7066</v>
          </cell>
          <cell r="AN56" t="str">
            <v>(252) 527-8220</v>
          </cell>
          <cell r="AO56" t="str">
            <v>aho@neuselibrary.org</v>
          </cell>
          <cell r="AP56" t="str">
            <v>Stephanie Brown</v>
          </cell>
          <cell r="AQ56" t="str">
            <v>Finance Officer</v>
          </cell>
          <cell r="AR56" t="str">
            <v>(252) 527-7066</v>
          </cell>
          <cell r="AS56" t="str">
            <v>(252) 527-8220</v>
          </cell>
          <cell r="AT56" t="str">
            <v>sbrown@neuselibrary.org</v>
          </cell>
          <cell r="AU56" t="str">
            <v>www.neuselibrary.org</v>
          </cell>
          <cell r="BC56">
            <v>1</v>
          </cell>
          <cell r="BD56">
            <v>7</v>
          </cell>
          <cell r="BE56">
            <v>0</v>
          </cell>
          <cell r="BF56">
            <v>4</v>
          </cell>
          <cell r="BG56">
            <v>12</v>
          </cell>
          <cell r="BI56">
            <v>17368</v>
          </cell>
          <cell r="BJ56">
            <v>6</v>
          </cell>
          <cell r="BK56">
            <v>0</v>
          </cell>
          <cell r="BL56">
            <v>6</v>
          </cell>
          <cell r="BM56">
            <v>24.08</v>
          </cell>
          <cell r="BN56">
            <v>30.08</v>
          </cell>
          <cell r="BO56">
            <v>0.19950000000000001</v>
          </cell>
          <cell r="BP56">
            <v>495</v>
          </cell>
          <cell r="BQ56">
            <v>187260</v>
          </cell>
          <cell r="BT56">
            <v>0</v>
          </cell>
          <cell r="BU56">
            <v>27588</v>
          </cell>
          <cell r="BV56">
            <v>48648</v>
          </cell>
          <cell r="BW56">
            <v>37000</v>
          </cell>
          <cell r="BY56">
            <v>39936</v>
          </cell>
          <cell r="BZ56">
            <v>70452</v>
          </cell>
          <cell r="CA56">
            <v>40000</v>
          </cell>
          <cell r="CC56">
            <v>38016</v>
          </cell>
          <cell r="CD56">
            <v>67056</v>
          </cell>
          <cell r="CE56">
            <v>40000</v>
          </cell>
          <cell r="CG56">
            <v>27588</v>
          </cell>
          <cell r="CH56">
            <v>48648</v>
          </cell>
          <cell r="CI56">
            <v>32000</v>
          </cell>
          <cell r="CK56">
            <v>27588</v>
          </cell>
          <cell r="CL56">
            <v>48648</v>
          </cell>
          <cell r="CM56">
            <v>35000</v>
          </cell>
          <cell r="CO56">
            <v>39936</v>
          </cell>
          <cell r="CP56">
            <v>70452</v>
          </cell>
          <cell r="CQ56">
            <v>45000</v>
          </cell>
          <cell r="CR56">
            <v>28272</v>
          </cell>
          <cell r="CS56">
            <v>49860</v>
          </cell>
          <cell r="CT56">
            <v>30000</v>
          </cell>
          <cell r="CV56">
            <v>25620</v>
          </cell>
          <cell r="CW56">
            <v>45180</v>
          </cell>
          <cell r="CX56">
            <v>32000</v>
          </cell>
          <cell r="CZ56">
            <v>27588</v>
          </cell>
          <cell r="DA56">
            <v>48648</v>
          </cell>
          <cell r="DB56">
            <v>32000</v>
          </cell>
          <cell r="DD56">
            <v>25620</v>
          </cell>
          <cell r="DE56">
            <v>45180</v>
          </cell>
          <cell r="DF56">
            <v>28000</v>
          </cell>
          <cell r="DH56">
            <v>27588</v>
          </cell>
          <cell r="DI56">
            <v>48648</v>
          </cell>
          <cell r="DJ56">
            <v>32000</v>
          </cell>
          <cell r="DK56">
            <v>25620</v>
          </cell>
          <cell r="DL56">
            <v>45180</v>
          </cell>
          <cell r="DM56">
            <v>26000</v>
          </cell>
          <cell r="DO56">
            <v>20004</v>
          </cell>
          <cell r="DP56">
            <v>35304</v>
          </cell>
          <cell r="DQ56">
            <v>20500</v>
          </cell>
          <cell r="DV56">
            <v>204250</v>
          </cell>
          <cell r="DW56">
            <v>960756</v>
          </cell>
          <cell r="DX56">
            <v>1165006</v>
          </cell>
          <cell r="DY56">
            <v>334704</v>
          </cell>
          <cell r="DZ56">
            <v>0</v>
          </cell>
          <cell r="EA56">
            <v>334704</v>
          </cell>
          <cell r="EB56">
            <v>31000</v>
          </cell>
          <cell r="EC56">
            <v>0</v>
          </cell>
          <cell r="ED56">
            <v>31000</v>
          </cell>
          <cell r="EE56">
            <v>649075</v>
          </cell>
          <cell r="EF56">
            <v>2179785</v>
          </cell>
          <cell r="EG56">
            <v>874864</v>
          </cell>
          <cell r="EH56">
            <v>248533</v>
          </cell>
          <cell r="EI56">
            <v>1123397</v>
          </cell>
          <cell r="EJ56">
            <v>109043</v>
          </cell>
          <cell r="EK56">
            <v>52258</v>
          </cell>
          <cell r="EL56">
            <v>36704</v>
          </cell>
          <cell r="EM56">
            <v>198005</v>
          </cell>
          <cell r="EN56">
            <v>490662</v>
          </cell>
          <cell r="EO56">
            <v>1812064</v>
          </cell>
          <cell r="EP56">
            <v>367721</v>
          </cell>
          <cell r="EQ56">
            <v>0.16869999999999999</v>
          </cell>
          <cell r="ER56">
            <v>0</v>
          </cell>
          <cell r="ES56">
            <v>0</v>
          </cell>
          <cell r="ET56">
            <v>31000</v>
          </cell>
          <cell r="EU56">
            <v>0</v>
          </cell>
          <cell r="EV56">
            <v>31000</v>
          </cell>
          <cell r="EW56">
            <v>101094</v>
          </cell>
          <cell r="EX56">
            <v>24284</v>
          </cell>
          <cell r="EY56">
            <v>233760</v>
          </cell>
          <cell r="EZ56">
            <v>47924</v>
          </cell>
          <cell r="FA56">
            <v>9315</v>
          </cell>
          <cell r="FB56">
            <v>34866</v>
          </cell>
          <cell r="FC56">
            <v>45958</v>
          </cell>
          <cell r="FD56">
            <v>552</v>
          </cell>
          <cell r="FE56">
            <v>12102</v>
          </cell>
          <cell r="FF56">
            <v>93882</v>
          </cell>
          <cell r="FG56">
            <v>9867</v>
          </cell>
          <cell r="FH56">
            <v>46968</v>
          </cell>
          <cell r="FI56">
            <v>150717</v>
          </cell>
          <cell r="FJ56">
            <v>2082</v>
          </cell>
          <cell r="FK56">
            <v>336</v>
          </cell>
          <cell r="FM56">
            <v>150717</v>
          </cell>
          <cell r="FN56">
            <v>4990</v>
          </cell>
          <cell r="FO56">
            <v>10250</v>
          </cell>
          <cell r="FP56">
            <v>552</v>
          </cell>
          <cell r="FQ56">
            <v>4</v>
          </cell>
          <cell r="FR56">
            <v>88</v>
          </cell>
          <cell r="FS56">
            <v>92</v>
          </cell>
          <cell r="FT56">
            <v>44141</v>
          </cell>
          <cell r="FU56">
            <v>3505</v>
          </cell>
          <cell r="FV56">
            <v>0</v>
          </cell>
          <cell r="FW56">
            <v>0</v>
          </cell>
          <cell r="FX56">
            <v>8544</v>
          </cell>
          <cell r="FY56">
            <v>1573</v>
          </cell>
          <cell r="FZ56">
            <v>322</v>
          </cell>
          <cell r="GA56">
            <v>0</v>
          </cell>
          <cell r="GE56">
            <v>0</v>
          </cell>
          <cell r="GJ56">
            <v>1067</v>
          </cell>
          <cell r="GK56">
            <v>5539</v>
          </cell>
          <cell r="GL56">
            <v>0</v>
          </cell>
          <cell r="GM56">
            <v>50</v>
          </cell>
          <cell r="GN56">
            <v>53752</v>
          </cell>
          <cell r="GO56">
            <v>10617</v>
          </cell>
          <cell r="GP56">
            <v>322</v>
          </cell>
          <cell r="GQ56">
            <v>50</v>
          </cell>
          <cell r="GR56">
            <v>30</v>
          </cell>
          <cell r="GT56">
            <v>68820</v>
          </cell>
          <cell r="GU56">
            <v>8204</v>
          </cell>
          <cell r="GV56">
            <v>36243</v>
          </cell>
          <cell r="GW56">
            <v>19847</v>
          </cell>
          <cell r="GX56">
            <v>178</v>
          </cell>
          <cell r="GY56">
            <v>6087</v>
          </cell>
          <cell r="GZ56">
            <v>88667</v>
          </cell>
          <cell r="HA56">
            <v>8382</v>
          </cell>
          <cell r="HB56">
            <v>42330</v>
          </cell>
          <cell r="HC56">
            <v>139379</v>
          </cell>
          <cell r="HD56">
            <v>2616</v>
          </cell>
          <cell r="HE56">
            <v>146106</v>
          </cell>
          <cell r="HF56">
            <v>5592</v>
          </cell>
          <cell r="HG56">
            <v>35829</v>
          </cell>
          <cell r="HH56">
            <v>4111</v>
          </cell>
          <cell r="HI56">
            <v>968</v>
          </cell>
          <cell r="HJ56">
            <v>42389</v>
          </cell>
          <cell r="HK56">
            <v>188495</v>
          </cell>
          <cell r="HL56">
            <v>46</v>
          </cell>
          <cell r="HM56">
            <v>3203</v>
          </cell>
          <cell r="HN56">
            <v>3249</v>
          </cell>
          <cell r="HO56">
            <v>437</v>
          </cell>
          <cell r="HP56">
            <v>845</v>
          </cell>
          <cell r="HQ56">
            <v>1282</v>
          </cell>
          <cell r="HR56">
            <v>0</v>
          </cell>
          <cell r="HS56">
            <v>0</v>
          </cell>
          <cell r="HT56">
            <v>0</v>
          </cell>
          <cell r="HU56">
            <v>718</v>
          </cell>
          <cell r="HV56">
            <v>5249</v>
          </cell>
          <cell r="HW56">
            <v>2023</v>
          </cell>
          <cell r="HX56">
            <v>2812</v>
          </cell>
          <cell r="HY56">
            <v>4835</v>
          </cell>
          <cell r="HZ56">
            <v>10084</v>
          </cell>
          <cell r="IA56">
            <v>6874</v>
          </cell>
          <cell r="IB56">
            <v>42703</v>
          </cell>
          <cell r="IC56">
            <v>193744</v>
          </cell>
          <cell r="ID56">
            <v>193744</v>
          </cell>
          <cell r="IE56">
            <v>198579</v>
          </cell>
          <cell r="IF56">
            <v>53931</v>
          </cell>
          <cell r="IG56">
            <v>5018</v>
          </cell>
          <cell r="IJ56">
            <v>1</v>
          </cell>
          <cell r="IK56">
            <v>4.5199999999999997E-2</v>
          </cell>
          <cell r="IL56">
            <v>1.4E-3</v>
          </cell>
          <cell r="IM56">
            <v>0.27700000000000002</v>
          </cell>
          <cell r="IN56">
            <v>0</v>
          </cell>
          <cell r="IO56">
            <v>0.22989999999999999</v>
          </cell>
          <cell r="IP56">
            <v>4.0000000000000002E-4</v>
          </cell>
          <cell r="IQ56">
            <v>0.64480000000000004</v>
          </cell>
          <cell r="IR56">
            <v>6.6799999999999998E-2</v>
          </cell>
          <cell r="IS56">
            <v>0.27839999999999998</v>
          </cell>
          <cell r="IT56">
            <v>38978</v>
          </cell>
          <cell r="IU56">
            <v>10876</v>
          </cell>
          <cell r="IV56">
            <v>49854</v>
          </cell>
          <cell r="IW56">
            <v>0.5544</v>
          </cell>
          <cell r="IX56">
            <v>423663</v>
          </cell>
          <cell r="IZ56">
            <v>402</v>
          </cell>
          <cell r="JA56">
            <v>55</v>
          </cell>
          <cell r="JB56">
            <v>850</v>
          </cell>
          <cell r="JC56">
            <v>0</v>
          </cell>
          <cell r="JD56">
            <v>0</v>
          </cell>
          <cell r="JE56">
            <v>45</v>
          </cell>
          <cell r="JF56">
            <v>402</v>
          </cell>
          <cell r="JG56">
            <v>55</v>
          </cell>
          <cell r="JH56">
            <v>895</v>
          </cell>
          <cell r="JI56">
            <v>1352</v>
          </cell>
          <cell r="JJ56">
            <v>1307</v>
          </cell>
          <cell r="JK56">
            <v>45</v>
          </cell>
          <cell r="JL56">
            <v>2683</v>
          </cell>
          <cell r="JM56">
            <v>416</v>
          </cell>
          <cell r="JN56">
            <v>20496</v>
          </cell>
          <cell r="JO56">
            <v>0</v>
          </cell>
          <cell r="JP56">
            <v>0</v>
          </cell>
          <cell r="JQ56">
            <v>3916</v>
          </cell>
          <cell r="JR56">
            <v>2683</v>
          </cell>
          <cell r="JS56">
            <v>416</v>
          </cell>
          <cell r="JT56">
            <v>24412</v>
          </cell>
          <cell r="JU56">
            <v>27511</v>
          </cell>
          <cell r="JV56">
            <v>23595</v>
          </cell>
          <cell r="JW56">
            <v>3916</v>
          </cell>
          <cell r="JX56">
            <v>20.350000000000001</v>
          </cell>
          <cell r="JY56">
            <v>6.67</v>
          </cell>
          <cell r="JZ56">
            <v>27.28</v>
          </cell>
          <cell r="KA56">
            <v>0.1</v>
          </cell>
          <cell r="KB56">
            <v>0.89</v>
          </cell>
          <cell r="KC56">
            <v>0</v>
          </cell>
          <cell r="KD56">
            <v>0</v>
          </cell>
          <cell r="KE56">
            <v>53</v>
          </cell>
          <cell r="KF56">
            <v>165</v>
          </cell>
          <cell r="KG56">
            <v>0</v>
          </cell>
          <cell r="KH56">
            <v>0</v>
          </cell>
          <cell r="KI56">
            <v>0</v>
          </cell>
          <cell r="KJ56">
            <v>0</v>
          </cell>
          <cell r="KK56">
            <v>0</v>
          </cell>
          <cell r="KL56">
            <v>0</v>
          </cell>
          <cell r="KM56">
            <v>123347</v>
          </cell>
          <cell r="KN56">
            <v>64917</v>
          </cell>
          <cell r="KO56">
            <v>20961</v>
          </cell>
          <cell r="KQ56">
            <v>2018</v>
          </cell>
          <cell r="KR56">
            <v>5910</v>
          </cell>
          <cell r="KS56">
            <v>17546</v>
          </cell>
          <cell r="KT56">
            <v>3650</v>
          </cell>
          <cell r="KU56">
            <v>40</v>
          </cell>
          <cell r="KV56">
            <v>165</v>
          </cell>
          <cell r="KW56">
            <v>94499</v>
          </cell>
          <cell r="KY56">
            <v>146788</v>
          </cell>
          <cell r="KZ56">
            <v>51830</v>
          </cell>
          <cell r="LC56" t="str">
            <v>KINSTON-LENOIR COUNTY PUBLIC LIBRARY</v>
          </cell>
          <cell r="LD56" t="str">
            <v>County Owned</v>
          </cell>
          <cell r="LE56" t="str">
            <v>510 N QUEEN ST</v>
          </cell>
          <cell r="LF56" t="str">
            <v>KINSTON</v>
          </cell>
          <cell r="LG56">
            <v>28501</v>
          </cell>
          <cell r="LH56">
            <v>4330</v>
          </cell>
          <cell r="LI56" t="str">
            <v>510 N QUEEN ST</v>
          </cell>
          <cell r="LJ56" t="str">
            <v>KINSTON</v>
          </cell>
          <cell r="LK56">
            <v>28501</v>
          </cell>
          <cell r="LL56">
            <v>4330</v>
          </cell>
          <cell r="LM56" t="str">
            <v>LENOIR</v>
          </cell>
          <cell r="LN56">
            <v>2525277066</v>
          </cell>
          <cell r="LO56">
            <v>2525278220</v>
          </cell>
          <cell r="LP56">
            <v>60942</v>
          </cell>
          <cell r="LQ56">
            <v>30.08</v>
          </cell>
          <cell r="LS56">
            <v>17368</v>
          </cell>
          <cell r="LT56">
            <v>416</v>
          </cell>
          <cell r="LW56">
            <v>1</v>
          </cell>
          <cell r="LX56" t="str">
            <v>R-NEUSE-K</v>
          </cell>
          <cell r="LY56">
            <v>0</v>
          </cell>
          <cell r="LZ56" t="str">
            <v>CE</v>
          </cell>
          <cell r="MA56">
            <v>94.89</v>
          </cell>
          <cell r="MB56">
            <v>93.84</v>
          </cell>
        </row>
        <row r="57">
          <cell r="A57" t="str">
            <v>NC0047</v>
          </cell>
          <cell r="B57">
            <v>0</v>
          </cell>
          <cell r="C57">
            <v>1375</v>
          </cell>
          <cell r="D57">
            <v>2017</v>
          </cell>
          <cell r="E57">
            <v>0</v>
          </cell>
          <cell r="F57" t="str">
            <v>NC0047</v>
          </cell>
          <cell r="G57" t="str">
            <v>C-NEW HANOVER</v>
          </cell>
          <cell r="H57" t="str">
            <v>NO</v>
          </cell>
          <cell r="I57" t="str">
            <v>CO</v>
          </cell>
          <cell r="J57" t="str">
            <v>MO</v>
          </cell>
          <cell r="K57" t="str">
            <v>Y</v>
          </cell>
          <cell r="L57" t="str">
            <v>CO1</v>
          </cell>
          <cell r="M57" t="str">
            <v>N</v>
          </cell>
          <cell r="N57">
            <v>220231</v>
          </cell>
          <cell r="O57" t="str">
            <v>No</v>
          </cell>
          <cell r="P57">
            <v>2822</v>
          </cell>
          <cell r="Q57">
            <v>202</v>
          </cell>
          <cell r="R57">
            <v>416</v>
          </cell>
          <cell r="S57">
            <v>37</v>
          </cell>
          <cell r="T57">
            <v>14639</v>
          </cell>
          <cell r="U57">
            <v>255</v>
          </cell>
          <cell r="V57">
            <v>112288</v>
          </cell>
          <cell r="W57">
            <v>10964</v>
          </cell>
          <cell r="Z57" t="str">
            <v>201 CHESTNUT ST</v>
          </cell>
          <cell r="AA57" t="str">
            <v>WILMINGTON</v>
          </cell>
          <cell r="AB57">
            <v>28401</v>
          </cell>
          <cell r="AC57">
            <v>3942</v>
          </cell>
          <cell r="AD57" t="str">
            <v>201 CHESTNUT ST</v>
          </cell>
          <cell r="AE57" t="str">
            <v>WILMINGTON</v>
          </cell>
          <cell r="AF57">
            <v>28401</v>
          </cell>
          <cell r="AG57">
            <v>3</v>
          </cell>
          <cell r="AH57" t="str">
            <v>NEW HANOVER COUNTY PUBLIC LIBRARY</v>
          </cell>
          <cell r="AJ57" t="str">
            <v>County</v>
          </cell>
          <cell r="AK57" t="str">
            <v>NEW HANOVER</v>
          </cell>
          <cell r="AL57" t="str">
            <v>HARRY TUCHMAYER</v>
          </cell>
          <cell r="AM57" t="str">
            <v>(910) 798-6321</v>
          </cell>
          <cell r="AN57" t="str">
            <v>(910) 798-6312</v>
          </cell>
          <cell r="AO57" t="str">
            <v>HTUCHMAYER@NHCGOV.COM</v>
          </cell>
          <cell r="AP57" t="str">
            <v>YVETTE MAYS</v>
          </cell>
          <cell r="AQ57" t="str">
            <v>ADMIN SUPPORT SPECIALIST</v>
          </cell>
          <cell r="AR57" t="str">
            <v>(910) 798-6309</v>
          </cell>
          <cell r="AS57" t="str">
            <v>(910) 798-6312</v>
          </cell>
          <cell r="AT57" t="str">
            <v>YMAYS@NHCGOV.COM</v>
          </cell>
          <cell r="AU57" t="str">
            <v>WWW.NHCLIBRARY.ORG</v>
          </cell>
          <cell r="BC57">
            <v>1</v>
          </cell>
          <cell r="BD57">
            <v>3</v>
          </cell>
          <cell r="BE57">
            <v>0</v>
          </cell>
          <cell r="BF57">
            <v>1</v>
          </cell>
          <cell r="BG57">
            <v>5</v>
          </cell>
          <cell r="BI57">
            <v>11856</v>
          </cell>
          <cell r="BJ57">
            <v>15</v>
          </cell>
          <cell r="BK57">
            <v>0</v>
          </cell>
          <cell r="BL57">
            <v>15</v>
          </cell>
          <cell r="BM57">
            <v>31</v>
          </cell>
          <cell r="BN57">
            <v>46</v>
          </cell>
          <cell r="BO57">
            <v>0.3261</v>
          </cell>
          <cell r="BP57">
            <v>12466</v>
          </cell>
          <cell r="BQ57">
            <v>117908</v>
          </cell>
          <cell r="BT57">
            <v>84571</v>
          </cell>
          <cell r="BU57">
            <v>58962</v>
          </cell>
          <cell r="BV57">
            <v>84372</v>
          </cell>
          <cell r="BW57">
            <v>71242</v>
          </cell>
          <cell r="BY57">
            <v>60023</v>
          </cell>
          <cell r="BZ57">
            <v>60023</v>
          </cell>
          <cell r="CA57">
            <v>60023</v>
          </cell>
          <cell r="CC57">
            <v>59749</v>
          </cell>
          <cell r="CD57">
            <v>59749</v>
          </cell>
          <cell r="CE57">
            <v>59749</v>
          </cell>
          <cell r="CG57">
            <v>58294</v>
          </cell>
          <cell r="CH57">
            <v>58294</v>
          </cell>
          <cell r="CI57">
            <v>58294</v>
          </cell>
          <cell r="CK57">
            <v>51312</v>
          </cell>
          <cell r="CL57">
            <v>74511</v>
          </cell>
          <cell r="CM57">
            <v>62912</v>
          </cell>
          <cell r="CR57">
            <v>46334</v>
          </cell>
          <cell r="CS57">
            <v>57799</v>
          </cell>
          <cell r="CT57">
            <v>53819</v>
          </cell>
          <cell r="CV57">
            <v>49721</v>
          </cell>
          <cell r="CW57">
            <v>72358</v>
          </cell>
          <cell r="CX57">
            <v>58355</v>
          </cell>
          <cell r="DH57">
            <v>34474</v>
          </cell>
          <cell r="DI57">
            <v>50248</v>
          </cell>
          <cell r="DJ57">
            <v>42386</v>
          </cell>
          <cell r="DO57">
            <v>30980</v>
          </cell>
          <cell r="DP57">
            <v>45893</v>
          </cell>
          <cell r="DQ57">
            <v>37400</v>
          </cell>
          <cell r="DV57">
            <v>0</v>
          </cell>
          <cell r="DW57">
            <v>3621556</v>
          </cell>
          <cell r="DX57">
            <v>3621556</v>
          </cell>
          <cell r="DY57">
            <v>192213</v>
          </cell>
          <cell r="DZ57">
            <v>147500</v>
          </cell>
          <cell r="EA57">
            <v>339713</v>
          </cell>
          <cell r="EB57">
            <v>18122</v>
          </cell>
          <cell r="EC57">
            <v>0</v>
          </cell>
          <cell r="ED57">
            <v>18122</v>
          </cell>
          <cell r="EE57">
            <v>184877</v>
          </cell>
          <cell r="EF57">
            <v>4164268</v>
          </cell>
          <cell r="EG57">
            <v>2371070</v>
          </cell>
          <cell r="EH57">
            <v>718693</v>
          </cell>
          <cell r="EI57">
            <v>3089763</v>
          </cell>
          <cell r="EJ57">
            <v>360638</v>
          </cell>
          <cell r="EK57">
            <v>131554</v>
          </cell>
          <cell r="EL57">
            <v>165706</v>
          </cell>
          <cell r="EM57">
            <v>657898</v>
          </cell>
          <cell r="EN57">
            <v>416607</v>
          </cell>
          <cell r="EO57">
            <v>4164268</v>
          </cell>
          <cell r="EP57">
            <v>0</v>
          </cell>
          <cell r="EQ57">
            <v>0</v>
          </cell>
          <cell r="ER57">
            <v>0</v>
          </cell>
          <cell r="ES57">
            <v>0</v>
          </cell>
          <cell r="ET57">
            <v>0</v>
          </cell>
          <cell r="EU57">
            <v>0</v>
          </cell>
          <cell r="EV57">
            <v>0</v>
          </cell>
          <cell r="EW57">
            <v>0</v>
          </cell>
          <cell r="EX57">
            <v>61284</v>
          </cell>
          <cell r="EY57">
            <v>520761</v>
          </cell>
          <cell r="EZ57">
            <v>94777</v>
          </cell>
          <cell r="FA57">
            <v>12993</v>
          </cell>
          <cell r="FB57">
            <v>83603</v>
          </cell>
          <cell r="FC57">
            <v>142809</v>
          </cell>
          <cell r="FD57">
            <v>489</v>
          </cell>
          <cell r="FE57">
            <v>30090</v>
          </cell>
          <cell r="FF57">
            <v>237586</v>
          </cell>
          <cell r="FG57">
            <v>13482</v>
          </cell>
          <cell r="FH57">
            <v>113693</v>
          </cell>
          <cell r="FI57">
            <v>364761</v>
          </cell>
          <cell r="FJ57">
            <v>92</v>
          </cell>
          <cell r="FK57">
            <v>447</v>
          </cell>
          <cell r="FM57">
            <v>364761</v>
          </cell>
          <cell r="FN57">
            <v>17063</v>
          </cell>
          <cell r="FO57">
            <v>19645</v>
          </cell>
          <cell r="FP57">
            <v>42</v>
          </cell>
          <cell r="FQ57">
            <v>45</v>
          </cell>
          <cell r="FR57">
            <v>88</v>
          </cell>
          <cell r="FS57">
            <v>133</v>
          </cell>
          <cell r="FT57">
            <v>44141</v>
          </cell>
          <cell r="FU57">
            <v>3505</v>
          </cell>
          <cell r="FV57">
            <v>0</v>
          </cell>
          <cell r="FW57">
            <v>0</v>
          </cell>
          <cell r="FX57">
            <v>8544</v>
          </cell>
          <cell r="FY57">
            <v>1573</v>
          </cell>
          <cell r="FZ57">
            <v>322</v>
          </cell>
          <cell r="GA57">
            <v>0</v>
          </cell>
          <cell r="GE57">
            <v>0</v>
          </cell>
          <cell r="GF57">
            <v>36593</v>
          </cell>
          <cell r="GG57">
            <v>13194</v>
          </cell>
          <cell r="GH57">
            <v>264</v>
          </cell>
          <cell r="GI57">
            <v>12</v>
          </cell>
          <cell r="GJ57">
            <v>2755</v>
          </cell>
          <cell r="GK57">
            <v>113</v>
          </cell>
          <cell r="GL57">
            <v>7500</v>
          </cell>
          <cell r="GM57">
            <v>62</v>
          </cell>
          <cell r="GN57">
            <v>92033</v>
          </cell>
          <cell r="GO57">
            <v>18385</v>
          </cell>
          <cell r="GP57">
            <v>8086</v>
          </cell>
          <cell r="GQ57">
            <v>74</v>
          </cell>
          <cell r="GR57">
            <v>45</v>
          </cell>
          <cell r="GT57">
            <v>311746</v>
          </cell>
          <cell r="GU57">
            <v>29108</v>
          </cell>
          <cell r="GV57">
            <v>325399</v>
          </cell>
          <cell r="GW57">
            <v>133458</v>
          </cell>
          <cell r="GX57">
            <v>1048</v>
          </cell>
          <cell r="GY57">
            <v>57664</v>
          </cell>
          <cell r="GZ57">
            <v>445204</v>
          </cell>
          <cell r="HA57">
            <v>30156</v>
          </cell>
          <cell r="HB57">
            <v>383063</v>
          </cell>
          <cell r="HC57">
            <v>858423</v>
          </cell>
          <cell r="HD57">
            <v>8077</v>
          </cell>
          <cell r="HE57">
            <v>867158</v>
          </cell>
          <cell r="HF57">
            <v>71689</v>
          </cell>
          <cell r="HG57">
            <v>206085</v>
          </cell>
          <cell r="HH57">
            <v>658</v>
          </cell>
          <cell r="HI57">
            <v>175</v>
          </cell>
          <cell r="HJ57">
            <v>277949</v>
          </cell>
          <cell r="HK57">
            <v>1145107</v>
          </cell>
          <cell r="HL57">
            <v>1171</v>
          </cell>
          <cell r="HM57">
            <v>94451</v>
          </cell>
          <cell r="HN57">
            <v>95622</v>
          </cell>
          <cell r="HO57">
            <v>1792</v>
          </cell>
          <cell r="HP57">
            <v>43980</v>
          </cell>
          <cell r="HQ57">
            <v>45772</v>
          </cell>
          <cell r="HR57">
            <v>0</v>
          </cell>
          <cell r="HS57">
            <v>589</v>
          </cell>
          <cell r="HT57">
            <v>589</v>
          </cell>
          <cell r="HU57">
            <v>2671</v>
          </cell>
          <cell r="HV57">
            <v>144654</v>
          </cell>
          <cell r="HW57">
            <v>119111</v>
          </cell>
          <cell r="HX57">
            <v>149396</v>
          </cell>
          <cell r="HY57">
            <v>268507</v>
          </cell>
          <cell r="HZ57">
            <v>413161</v>
          </cell>
          <cell r="IA57">
            <v>117461</v>
          </cell>
          <cell r="IB57">
            <v>324135</v>
          </cell>
          <cell r="IC57">
            <v>1289761</v>
          </cell>
          <cell r="ID57">
            <v>1289761</v>
          </cell>
          <cell r="IE57">
            <v>1558268</v>
          </cell>
          <cell r="IF57">
            <v>413219</v>
          </cell>
          <cell r="IG57">
            <v>257</v>
          </cell>
          <cell r="IJ57">
            <v>1</v>
          </cell>
          <cell r="IK57">
            <v>5.33E-2</v>
          </cell>
          <cell r="IL57">
            <v>8.9999999999999998E-4</v>
          </cell>
          <cell r="IM57">
            <v>0.22770000000000001</v>
          </cell>
          <cell r="IN57">
            <v>0</v>
          </cell>
          <cell r="IO57">
            <v>0.1767</v>
          </cell>
          <cell r="IP57">
            <v>2.9999999999999997E-4</v>
          </cell>
          <cell r="IQ57">
            <v>0.70040000000000002</v>
          </cell>
          <cell r="IR57">
            <v>6.8099999999999994E-2</v>
          </cell>
          <cell r="IS57">
            <v>0.32040000000000002</v>
          </cell>
          <cell r="IT57">
            <v>84212</v>
          </cell>
          <cell r="IU57">
            <v>16274</v>
          </cell>
          <cell r="IV57">
            <v>100486</v>
          </cell>
          <cell r="IW57">
            <v>0.45629999999999998</v>
          </cell>
          <cell r="IX57">
            <v>749930</v>
          </cell>
          <cell r="IZ57">
            <v>466</v>
          </cell>
          <cell r="JA57">
            <v>98</v>
          </cell>
          <cell r="JB57">
            <v>1668</v>
          </cell>
          <cell r="JC57">
            <v>396</v>
          </cell>
          <cell r="JD57">
            <v>14</v>
          </cell>
          <cell r="JE57">
            <v>532</v>
          </cell>
          <cell r="JF57">
            <v>862</v>
          </cell>
          <cell r="JG57">
            <v>112</v>
          </cell>
          <cell r="JH57">
            <v>2200</v>
          </cell>
          <cell r="JI57">
            <v>3174</v>
          </cell>
          <cell r="JJ57">
            <v>2232</v>
          </cell>
          <cell r="JK57">
            <v>942</v>
          </cell>
          <cell r="JL57">
            <v>4868</v>
          </cell>
          <cell r="JM57">
            <v>635</v>
          </cell>
          <cell r="JN57">
            <v>44118</v>
          </cell>
          <cell r="JO57">
            <v>3072</v>
          </cell>
          <cell r="JP57">
            <v>1795</v>
          </cell>
          <cell r="JQ57">
            <v>15500</v>
          </cell>
          <cell r="JR57">
            <v>7940</v>
          </cell>
          <cell r="JS57">
            <v>2430</v>
          </cell>
          <cell r="JT57">
            <v>59618</v>
          </cell>
          <cell r="JU57">
            <v>69988</v>
          </cell>
          <cell r="JV57">
            <v>49621</v>
          </cell>
          <cell r="JW57">
            <v>20367</v>
          </cell>
          <cell r="JX57">
            <v>22.05</v>
          </cell>
          <cell r="JY57">
            <v>9.2100000000000009</v>
          </cell>
          <cell r="JZ57">
            <v>27.1</v>
          </cell>
          <cell r="KA57">
            <v>0.11</v>
          </cell>
          <cell r="KB57">
            <v>0.85</v>
          </cell>
          <cell r="KC57">
            <v>244</v>
          </cell>
          <cell r="KD57">
            <v>1850</v>
          </cell>
          <cell r="KE57">
            <v>290</v>
          </cell>
          <cell r="KF57">
            <v>2316</v>
          </cell>
          <cell r="KM57">
            <v>297690</v>
          </cell>
          <cell r="KN57">
            <v>77978</v>
          </cell>
          <cell r="KO57">
            <v>10207</v>
          </cell>
          <cell r="KQ57">
            <v>1702</v>
          </cell>
          <cell r="KR57">
            <v>31695</v>
          </cell>
          <cell r="KS57">
            <v>1377</v>
          </cell>
          <cell r="KT57">
            <v>604</v>
          </cell>
          <cell r="KU57">
            <v>80</v>
          </cell>
          <cell r="KV57">
            <v>112</v>
          </cell>
          <cell r="KW57">
            <v>126440</v>
          </cell>
          <cell r="KY57">
            <v>342287</v>
          </cell>
          <cell r="LC57" t="str">
            <v>NEW HANOVER COUNTY PUBLIC LIBRARY</v>
          </cell>
          <cell r="LD57" t="str">
            <v>County Owned</v>
          </cell>
          <cell r="LE57" t="str">
            <v>201 CHESTNUT ST</v>
          </cell>
          <cell r="LF57" t="str">
            <v>WILMINGTON</v>
          </cell>
          <cell r="LG57">
            <v>28401</v>
          </cell>
          <cell r="LH57">
            <v>3942</v>
          </cell>
          <cell r="LI57" t="str">
            <v>201 CHESTNUT ST</v>
          </cell>
          <cell r="LJ57" t="str">
            <v>WILMINGTON</v>
          </cell>
          <cell r="LK57">
            <v>28401</v>
          </cell>
          <cell r="LL57">
            <v>3942</v>
          </cell>
          <cell r="LM57" t="str">
            <v>NEW HANOVER</v>
          </cell>
          <cell r="LN57">
            <v>9107986300</v>
          </cell>
          <cell r="LO57">
            <v>9107986312</v>
          </cell>
          <cell r="LP57">
            <v>122687</v>
          </cell>
          <cell r="LQ57">
            <v>50</v>
          </cell>
          <cell r="LS57">
            <v>11856</v>
          </cell>
          <cell r="LT57">
            <v>208</v>
          </cell>
          <cell r="LW57">
            <v>1</v>
          </cell>
          <cell r="LX57" t="str">
            <v>C-NEWHANOVER-N</v>
          </cell>
          <cell r="LY57">
            <v>0</v>
          </cell>
          <cell r="LZ57" t="str">
            <v>CE</v>
          </cell>
          <cell r="MA57">
            <v>5.95</v>
          </cell>
          <cell r="MB57">
            <v>44.04</v>
          </cell>
        </row>
        <row r="58">
          <cell r="A58" t="str">
            <v>NC0013</v>
          </cell>
          <cell r="B58">
            <v>0</v>
          </cell>
          <cell r="C58">
            <v>1375</v>
          </cell>
          <cell r="D58">
            <v>2017</v>
          </cell>
          <cell r="E58">
            <v>0</v>
          </cell>
          <cell r="F58" t="str">
            <v>NC0013</v>
          </cell>
          <cell r="G58" t="str">
            <v>R-NORTHWESTERN</v>
          </cell>
          <cell r="H58" t="str">
            <v>NO</v>
          </cell>
          <cell r="I58" t="str">
            <v>MJ</v>
          </cell>
          <cell r="J58" t="str">
            <v>MA</v>
          </cell>
          <cell r="K58" t="str">
            <v>Y</v>
          </cell>
          <cell r="L58" t="str">
            <v>MC1</v>
          </cell>
          <cell r="M58" t="str">
            <v>N</v>
          </cell>
          <cell r="N58">
            <v>168853</v>
          </cell>
          <cell r="O58" t="str">
            <v>Yes</v>
          </cell>
          <cell r="P58">
            <v>2987</v>
          </cell>
          <cell r="Q58">
            <v>355</v>
          </cell>
          <cell r="R58">
            <v>346</v>
          </cell>
          <cell r="S58">
            <v>99</v>
          </cell>
          <cell r="T58">
            <v>13282</v>
          </cell>
          <cell r="U58">
            <v>1413</v>
          </cell>
          <cell r="V58">
            <v>50523</v>
          </cell>
          <cell r="W58">
            <v>4365</v>
          </cell>
          <cell r="X58">
            <v>420864</v>
          </cell>
          <cell r="Y58">
            <v>193474</v>
          </cell>
          <cell r="Z58" t="str">
            <v>111 N FRONT ST</v>
          </cell>
          <cell r="AA58" t="str">
            <v>ELKIN</v>
          </cell>
          <cell r="AB58">
            <v>28621</v>
          </cell>
          <cell r="AC58">
            <v>3398</v>
          </cell>
          <cell r="AD58" t="str">
            <v>111 N FRONT ST</v>
          </cell>
          <cell r="AE58" t="str">
            <v>ELKIN</v>
          </cell>
          <cell r="AF58">
            <v>28621</v>
          </cell>
          <cell r="AG58">
            <v>2</v>
          </cell>
          <cell r="AH58" t="str">
            <v>NORTHWESTERN REGIONAL LIBRARY</v>
          </cell>
          <cell r="AJ58" t="str">
            <v>Regional</v>
          </cell>
          <cell r="AK58" t="str">
            <v>SURRY</v>
          </cell>
          <cell r="AL58" t="str">
            <v>Joan Sherif</v>
          </cell>
          <cell r="AM58" t="str">
            <v>(336) 835-4894</v>
          </cell>
          <cell r="AN58" t="str">
            <v>(336) 835-1356</v>
          </cell>
          <cell r="AO58" t="str">
            <v>jsherif@nwrl.org</v>
          </cell>
          <cell r="AP58" t="str">
            <v>Joan Sherif</v>
          </cell>
          <cell r="AQ58" t="str">
            <v>Director</v>
          </cell>
          <cell r="AR58" t="str">
            <v>(336) 835-4894</v>
          </cell>
          <cell r="AS58" t="str">
            <v>(336) 835-1356</v>
          </cell>
          <cell r="AT58" t="str">
            <v>jsherif@nwrl.org</v>
          </cell>
          <cell r="AU58" t="str">
            <v>www.nwrl.org</v>
          </cell>
          <cell r="BC58">
            <v>0</v>
          </cell>
          <cell r="BD58">
            <v>13</v>
          </cell>
          <cell r="BE58">
            <v>1</v>
          </cell>
          <cell r="BF58">
            <v>0</v>
          </cell>
          <cell r="BG58">
            <v>14</v>
          </cell>
          <cell r="BI58">
            <v>33362</v>
          </cell>
          <cell r="BJ58">
            <v>3</v>
          </cell>
          <cell r="BK58">
            <v>0</v>
          </cell>
          <cell r="BL58">
            <v>3</v>
          </cell>
          <cell r="BM58">
            <v>46.19</v>
          </cell>
          <cell r="BN58">
            <v>49.19</v>
          </cell>
          <cell r="BO58">
            <v>6.0999999999999999E-2</v>
          </cell>
          <cell r="BP58">
            <v>375</v>
          </cell>
          <cell r="BQ58">
            <v>59050</v>
          </cell>
          <cell r="DK58">
            <v>25327</v>
          </cell>
          <cell r="DL58">
            <v>41885</v>
          </cell>
          <cell r="DM58">
            <v>33606</v>
          </cell>
          <cell r="DO58">
            <v>21878</v>
          </cell>
          <cell r="DP58">
            <v>36182</v>
          </cell>
          <cell r="DQ58">
            <v>29030</v>
          </cell>
          <cell r="DV58">
            <v>305718</v>
          </cell>
          <cell r="DW58">
            <v>1557122</v>
          </cell>
          <cell r="DX58">
            <v>1862840</v>
          </cell>
          <cell r="DY58">
            <v>457202</v>
          </cell>
          <cell r="DZ58">
            <v>0</v>
          </cell>
          <cell r="EA58">
            <v>457202</v>
          </cell>
          <cell r="EB58">
            <v>0</v>
          </cell>
          <cell r="EC58">
            <v>0</v>
          </cell>
          <cell r="ED58">
            <v>0</v>
          </cell>
          <cell r="EE58">
            <v>72723</v>
          </cell>
          <cell r="EF58">
            <v>2392765</v>
          </cell>
          <cell r="EG58">
            <v>1284876</v>
          </cell>
          <cell r="EH58">
            <v>328192</v>
          </cell>
          <cell r="EI58">
            <v>1613068</v>
          </cell>
          <cell r="EJ58">
            <v>80581</v>
          </cell>
          <cell r="EK58">
            <v>15816</v>
          </cell>
          <cell r="EL58">
            <v>2194</v>
          </cell>
          <cell r="EM58">
            <v>98591</v>
          </cell>
          <cell r="EN58">
            <v>443119</v>
          </cell>
          <cell r="EO58">
            <v>2154778</v>
          </cell>
          <cell r="EP58">
            <v>237987</v>
          </cell>
          <cell r="EQ58">
            <v>9.9500000000000005E-2</v>
          </cell>
          <cell r="ER58">
            <v>310000</v>
          </cell>
          <cell r="ES58">
            <v>0</v>
          </cell>
          <cell r="ET58">
            <v>0</v>
          </cell>
          <cell r="EU58">
            <v>535891</v>
          </cell>
          <cell r="EV58">
            <v>845891</v>
          </cell>
          <cell r="EW58">
            <v>845891</v>
          </cell>
          <cell r="EX58">
            <v>23468</v>
          </cell>
          <cell r="EY58">
            <v>432928</v>
          </cell>
          <cell r="EZ58">
            <v>116540</v>
          </cell>
          <cell r="FA58">
            <v>13538</v>
          </cell>
          <cell r="FB58">
            <v>85633</v>
          </cell>
          <cell r="FC58">
            <v>84554</v>
          </cell>
          <cell r="FD58">
            <v>63</v>
          </cell>
          <cell r="FE58">
            <v>46550</v>
          </cell>
          <cell r="FF58">
            <v>201094</v>
          </cell>
          <cell r="FG58">
            <v>13601</v>
          </cell>
          <cell r="FH58">
            <v>132183</v>
          </cell>
          <cell r="FI58">
            <v>346878</v>
          </cell>
          <cell r="FJ58">
            <v>255</v>
          </cell>
          <cell r="FK58">
            <v>166</v>
          </cell>
          <cell r="FM58">
            <v>346878</v>
          </cell>
          <cell r="FN58">
            <v>5800</v>
          </cell>
          <cell r="FO58">
            <v>12891</v>
          </cell>
          <cell r="FP58">
            <v>15</v>
          </cell>
          <cell r="FQ58">
            <v>2</v>
          </cell>
          <cell r="FR58">
            <v>88</v>
          </cell>
          <cell r="FS58">
            <v>90</v>
          </cell>
          <cell r="FT58">
            <v>44141</v>
          </cell>
          <cell r="FU58">
            <v>3505</v>
          </cell>
          <cell r="FV58">
            <v>0</v>
          </cell>
          <cell r="FW58">
            <v>0</v>
          </cell>
          <cell r="FX58">
            <v>8544</v>
          </cell>
          <cell r="FY58">
            <v>1573</v>
          </cell>
          <cell r="FZ58">
            <v>322</v>
          </cell>
          <cell r="GA58">
            <v>0</v>
          </cell>
          <cell r="GE58">
            <v>0</v>
          </cell>
          <cell r="GJ58">
            <v>7476</v>
          </cell>
          <cell r="GK58">
            <v>1272</v>
          </cell>
          <cell r="GL58">
            <v>0</v>
          </cell>
          <cell r="GM58">
            <v>0</v>
          </cell>
          <cell r="GN58">
            <v>60161</v>
          </cell>
          <cell r="GO58">
            <v>6350</v>
          </cell>
          <cell r="GP58">
            <v>322</v>
          </cell>
          <cell r="GQ58">
            <v>0</v>
          </cell>
          <cell r="GR58">
            <v>96</v>
          </cell>
          <cell r="GT58">
            <v>138504</v>
          </cell>
          <cell r="GU58">
            <v>14732</v>
          </cell>
          <cell r="GV58">
            <v>124084</v>
          </cell>
          <cell r="GW58">
            <v>28487</v>
          </cell>
          <cell r="GX58">
            <v>159</v>
          </cell>
          <cell r="GY58">
            <v>27196</v>
          </cell>
          <cell r="GZ58">
            <v>166991</v>
          </cell>
          <cell r="HA58">
            <v>14891</v>
          </cell>
          <cell r="HB58">
            <v>151280</v>
          </cell>
          <cell r="HC58">
            <v>333162</v>
          </cell>
          <cell r="HD58">
            <v>15</v>
          </cell>
          <cell r="HE58">
            <v>333649</v>
          </cell>
          <cell r="HF58">
            <v>9716</v>
          </cell>
          <cell r="HG58">
            <v>38795</v>
          </cell>
          <cell r="HH58">
            <v>472</v>
          </cell>
          <cell r="HI58">
            <v>20</v>
          </cell>
          <cell r="HJ58">
            <v>48531</v>
          </cell>
          <cell r="HK58">
            <v>382180</v>
          </cell>
          <cell r="HL58">
            <v>44</v>
          </cell>
          <cell r="HM58">
            <v>7476</v>
          </cell>
          <cell r="HN58">
            <v>7520</v>
          </cell>
          <cell r="HO58">
            <v>218</v>
          </cell>
          <cell r="HP58">
            <v>1272</v>
          </cell>
          <cell r="HQ58">
            <v>1490</v>
          </cell>
          <cell r="HR58">
            <v>0</v>
          </cell>
          <cell r="HS58">
            <v>0</v>
          </cell>
          <cell r="HT58">
            <v>0</v>
          </cell>
          <cell r="HU58">
            <v>0</v>
          </cell>
          <cell r="HV58">
            <v>9010</v>
          </cell>
          <cell r="HW58">
            <v>11768</v>
          </cell>
          <cell r="HX58">
            <v>0</v>
          </cell>
          <cell r="HY58">
            <v>11768</v>
          </cell>
          <cell r="HZ58">
            <v>20778</v>
          </cell>
          <cell r="IA58">
            <v>11206</v>
          </cell>
          <cell r="IB58">
            <v>50001</v>
          </cell>
          <cell r="IC58">
            <v>391190</v>
          </cell>
          <cell r="ID58">
            <v>391190</v>
          </cell>
          <cell r="IE58">
            <v>402958</v>
          </cell>
          <cell r="IF58">
            <v>166171</v>
          </cell>
          <cell r="IG58">
            <v>211</v>
          </cell>
          <cell r="IJ58">
            <v>1</v>
          </cell>
          <cell r="IK58">
            <v>3.0499999999999999E-2</v>
          </cell>
          <cell r="IL58">
            <v>4.0000000000000002E-4</v>
          </cell>
          <cell r="IM58">
            <v>0.15440000000000001</v>
          </cell>
          <cell r="IN58">
            <v>0</v>
          </cell>
          <cell r="IO58">
            <v>0.13900000000000001</v>
          </cell>
          <cell r="IP58">
            <v>2.0000000000000001E-4</v>
          </cell>
          <cell r="IQ58">
            <v>0.80120000000000002</v>
          </cell>
          <cell r="IR58">
            <v>2.81E-2</v>
          </cell>
          <cell r="IS58">
            <v>0.42480000000000001</v>
          </cell>
          <cell r="IT58">
            <v>43383</v>
          </cell>
          <cell r="IU58">
            <v>18347</v>
          </cell>
          <cell r="IV58">
            <v>61730</v>
          </cell>
          <cell r="IW58">
            <v>0.36559999999999998</v>
          </cell>
          <cell r="IX58">
            <v>337669</v>
          </cell>
          <cell r="IZ58">
            <v>1367</v>
          </cell>
          <cell r="JA58">
            <v>182</v>
          </cell>
          <cell r="JB58">
            <v>2573</v>
          </cell>
          <cell r="JC58">
            <v>0</v>
          </cell>
          <cell r="JD58">
            <v>0</v>
          </cell>
          <cell r="JE58">
            <v>45</v>
          </cell>
          <cell r="JF58">
            <v>1367</v>
          </cell>
          <cell r="JG58">
            <v>182</v>
          </cell>
          <cell r="JH58">
            <v>2618</v>
          </cell>
          <cell r="JI58">
            <v>4167</v>
          </cell>
          <cell r="JJ58">
            <v>4122</v>
          </cell>
          <cell r="JK58">
            <v>45</v>
          </cell>
          <cell r="JL58">
            <v>18570</v>
          </cell>
          <cell r="JM58">
            <v>903</v>
          </cell>
          <cell r="JN58">
            <v>54751</v>
          </cell>
          <cell r="JO58">
            <v>0</v>
          </cell>
          <cell r="JP58">
            <v>0</v>
          </cell>
          <cell r="JQ58">
            <v>0</v>
          </cell>
          <cell r="JR58">
            <v>18570</v>
          </cell>
          <cell r="JS58">
            <v>903</v>
          </cell>
          <cell r="JT58">
            <v>54751</v>
          </cell>
          <cell r="JU58">
            <v>74224</v>
          </cell>
          <cell r="JV58">
            <v>74224</v>
          </cell>
          <cell r="JW58">
            <v>0</v>
          </cell>
          <cell r="JX58">
            <v>17.809999999999999</v>
          </cell>
          <cell r="JY58">
            <v>13.58</v>
          </cell>
          <cell r="JZ58">
            <v>20.91</v>
          </cell>
          <cell r="KA58">
            <v>0.25</v>
          </cell>
          <cell r="KB58">
            <v>0.74</v>
          </cell>
          <cell r="KC58">
            <v>387</v>
          </cell>
          <cell r="KE58">
            <v>679</v>
          </cell>
          <cell r="KM58">
            <v>280000</v>
          </cell>
          <cell r="KN58">
            <v>74209</v>
          </cell>
          <cell r="KO58">
            <v>28452</v>
          </cell>
          <cell r="KQ58">
            <v>2612</v>
          </cell>
          <cell r="KR58">
            <v>31344</v>
          </cell>
          <cell r="KS58">
            <v>15656</v>
          </cell>
          <cell r="KT58">
            <v>20477</v>
          </cell>
          <cell r="KU58">
            <v>52</v>
          </cell>
          <cell r="KV58">
            <v>160</v>
          </cell>
          <cell r="KW58">
            <v>127566</v>
          </cell>
          <cell r="KZ58">
            <v>117070</v>
          </cell>
          <cell r="LC58" t="str">
            <v>ALLEGHANY COUNTY PUBLIC LIBRARY</v>
          </cell>
          <cell r="LD58" t="str">
            <v>County Owned</v>
          </cell>
          <cell r="LE58" t="str">
            <v>PO BOX 656</v>
          </cell>
          <cell r="LF58" t="str">
            <v>SPARTA</v>
          </cell>
          <cell r="LG58">
            <v>28675</v>
          </cell>
          <cell r="LH58">
            <v>8894</v>
          </cell>
          <cell r="LI58" t="str">
            <v>122 N MAIN ST</v>
          </cell>
          <cell r="LJ58" t="str">
            <v>SPARTA</v>
          </cell>
          <cell r="LK58">
            <v>28675</v>
          </cell>
          <cell r="LL58">
            <v>8894</v>
          </cell>
          <cell r="LM58" t="str">
            <v>ALLEGHANY</v>
          </cell>
          <cell r="LN58">
            <v>3363725573</v>
          </cell>
          <cell r="LO58">
            <v>3363724912</v>
          </cell>
          <cell r="LP58">
            <v>98108</v>
          </cell>
          <cell r="LQ58">
            <v>38.86</v>
          </cell>
          <cell r="LS58">
            <v>33362</v>
          </cell>
          <cell r="LT58">
            <v>728</v>
          </cell>
          <cell r="LW58">
            <v>2</v>
          </cell>
          <cell r="LX58" t="str">
            <v>R-NORTHWESTERN-A</v>
          </cell>
          <cell r="LY58">
            <v>0</v>
          </cell>
          <cell r="LZ58" t="str">
            <v>BR</v>
          </cell>
          <cell r="MA58">
            <v>15.85</v>
          </cell>
          <cell r="MB58">
            <v>22.65</v>
          </cell>
        </row>
        <row r="59">
          <cell r="A59" t="str">
            <v>NC0048</v>
          </cell>
          <cell r="B59">
            <v>0</v>
          </cell>
          <cell r="C59">
            <v>1375</v>
          </cell>
          <cell r="D59">
            <v>2017</v>
          </cell>
          <cell r="E59">
            <v>0</v>
          </cell>
          <cell r="F59" t="str">
            <v>NC0048</v>
          </cell>
          <cell r="G59" t="str">
            <v>C-ONSLOW</v>
          </cell>
          <cell r="H59" t="str">
            <v>NO</v>
          </cell>
          <cell r="I59" t="str">
            <v>CO</v>
          </cell>
          <cell r="J59" t="str">
            <v>MO</v>
          </cell>
          <cell r="K59" t="str">
            <v>Y</v>
          </cell>
          <cell r="L59" t="str">
            <v>CO1</v>
          </cell>
          <cell r="M59" t="str">
            <v>N</v>
          </cell>
          <cell r="N59">
            <v>194636</v>
          </cell>
          <cell r="O59" t="str">
            <v>No</v>
          </cell>
          <cell r="P59">
            <v>1606</v>
          </cell>
          <cell r="Q59">
            <v>251</v>
          </cell>
          <cell r="R59">
            <v>125</v>
          </cell>
          <cell r="S59">
            <v>24</v>
          </cell>
          <cell r="T59">
            <v>8735</v>
          </cell>
          <cell r="U59">
            <v>557</v>
          </cell>
          <cell r="V59">
            <v>61658</v>
          </cell>
          <cell r="W59">
            <v>5906</v>
          </cell>
          <cell r="X59">
            <v>790200</v>
          </cell>
          <cell r="Y59">
            <v>241200</v>
          </cell>
          <cell r="Z59" t="str">
            <v>58 DORIS AVENUE E</v>
          </cell>
          <cell r="AA59" t="str">
            <v>JACKSONVILLE</v>
          </cell>
          <cell r="AB59">
            <v>28540</v>
          </cell>
          <cell r="AC59">
            <v>5197</v>
          </cell>
          <cell r="AD59" t="str">
            <v>58 DORIS AVENUE E</v>
          </cell>
          <cell r="AE59" t="str">
            <v>JACKSONVILLE</v>
          </cell>
          <cell r="AF59">
            <v>28540</v>
          </cell>
          <cell r="AG59">
            <v>2</v>
          </cell>
          <cell r="AH59" t="str">
            <v>ONSLOW COUNTY PUBLIC LIBRARY</v>
          </cell>
          <cell r="AJ59" t="str">
            <v>County</v>
          </cell>
          <cell r="AK59" t="str">
            <v>ONSLOW</v>
          </cell>
          <cell r="AL59" t="str">
            <v>Virginia Sharp March</v>
          </cell>
          <cell r="AM59" t="str">
            <v>(910) 455-7350</v>
          </cell>
          <cell r="AN59" t="str">
            <v>(910) 989-5790</v>
          </cell>
          <cell r="AO59" t="str">
            <v>virginia_march@onslowcountync.gov</v>
          </cell>
          <cell r="AP59" t="str">
            <v>Virginia Sharp March</v>
          </cell>
          <cell r="AQ59" t="str">
            <v>Director</v>
          </cell>
          <cell r="AR59" t="str">
            <v>(910) 455-7350</v>
          </cell>
          <cell r="AS59" t="str">
            <v>(910) 989-5790</v>
          </cell>
          <cell r="AT59" t="str">
            <v>virginia_march@onslowcountync.gov</v>
          </cell>
          <cell r="AU59" t="str">
            <v>www.onslowcountync.gov/library</v>
          </cell>
          <cell r="BC59">
            <v>1</v>
          </cell>
          <cell r="BD59">
            <v>3</v>
          </cell>
          <cell r="BE59">
            <v>0</v>
          </cell>
          <cell r="BF59">
            <v>0</v>
          </cell>
          <cell r="BG59">
            <v>4</v>
          </cell>
          <cell r="BI59">
            <v>10852</v>
          </cell>
          <cell r="BJ59">
            <v>6</v>
          </cell>
          <cell r="BK59">
            <v>0</v>
          </cell>
          <cell r="BL59">
            <v>6</v>
          </cell>
          <cell r="BM59">
            <v>28.5</v>
          </cell>
          <cell r="BN59">
            <v>34.5</v>
          </cell>
          <cell r="BO59">
            <v>0.1739</v>
          </cell>
          <cell r="BP59">
            <v>6106</v>
          </cell>
          <cell r="BQ59">
            <v>97469</v>
          </cell>
          <cell r="BU59">
            <v>45028</v>
          </cell>
          <cell r="BV59">
            <v>58537</v>
          </cell>
          <cell r="BY59">
            <v>45028</v>
          </cell>
          <cell r="BZ59">
            <v>58537</v>
          </cell>
          <cell r="CC59">
            <v>45028</v>
          </cell>
          <cell r="CD59">
            <v>58537</v>
          </cell>
          <cell r="CG59">
            <v>45028</v>
          </cell>
          <cell r="CH59">
            <v>58537</v>
          </cell>
          <cell r="CK59">
            <v>45028</v>
          </cell>
          <cell r="CL59">
            <v>58537</v>
          </cell>
          <cell r="CR59">
            <v>28124</v>
          </cell>
          <cell r="CS59">
            <v>36562</v>
          </cell>
          <cell r="CV59">
            <v>25003</v>
          </cell>
          <cell r="CW59">
            <v>32503</v>
          </cell>
          <cell r="CZ59">
            <v>34218</v>
          </cell>
          <cell r="DA59">
            <v>44483</v>
          </cell>
          <cell r="DD59">
            <v>25003</v>
          </cell>
          <cell r="DE59">
            <v>32503</v>
          </cell>
          <cell r="DO59">
            <v>25003</v>
          </cell>
          <cell r="DP59">
            <v>32503</v>
          </cell>
          <cell r="DV59">
            <v>0</v>
          </cell>
          <cell r="DW59">
            <v>1841028</v>
          </cell>
          <cell r="DX59">
            <v>1841028</v>
          </cell>
          <cell r="DY59">
            <v>220280</v>
          </cell>
          <cell r="DZ59">
            <v>0</v>
          </cell>
          <cell r="EA59">
            <v>220280</v>
          </cell>
          <cell r="EB59">
            <v>13936</v>
          </cell>
          <cell r="EC59">
            <v>0</v>
          </cell>
          <cell r="ED59">
            <v>13936</v>
          </cell>
          <cell r="EE59">
            <v>186379</v>
          </cell>
          <cell r="EF59">
            <v>2261623</v>
          </cell>
          <cell r="EG59">
            <v>1191952</v>
          </cell>
          <cell r="EH59">
            <v>360720</v>
          </cell>
          <cell r="EI59">
            <v>1552672</v>
          </cell>
          <cell r="EJ59">
            <v>115148</v>
          </cell>
          <cell r="EK59">
            <v>42693</v>
          </cell>
          <cell r="EL59">
            <v>39009</v>
          </cell>
          <cell r="EM59">
            <v>196850</v>
          </cell>
          <cell r="EN59">
            <v>476547</v>
          </cell>
          <cell r="EO59">
            <v>2226069</v>
          </cell>
          <cell r="EP59">
            <v>35554</v>
          </cell>
          <cell r="EQ59">
            <v>1.5699999999999999E-2</v>
          </cell>
          <cell r="ER59">
            <v>0</v>
          </cell>
          <cell r="ES59">
            <v>0</v>
          </cell>
          <cell r="ET59">
            <v>0</v>
          </cell>
          <cell r="EU59">
            <v>0</v>
          </cell>
          <cell r="EV59">
            <v>0</v>
          </cell>
          <cell r="EW59">
            <v>21711</v>
          </cell>
          <cell r="EX59">
            <v>36426</v>
          </cell>
          <cell r="EY59">
            <v>238142</v>
          </cell>
          <cell r="EZ59">
            <v>37456</v>
          </cell>
          <cell r="FA59">
            <v>6066</v>
          </cell>
          <cell r="FB59">
            <v>27400</v>
          </cell>
          <cell r="FC59">
            <v>23555</v>
          </cell>
          <cell r="FD59">
            <v>1343</v>
          </cell>
          <cell r="FE59">
            <v>11807</v>
          </cell>
          <cell r="FF59">
            <v>61011</v>
          </cell>
          <cell r="FG59">
            <v>7409</v>
          </cell>
          <cell r="FH59">
            <v>39207</v>
          </cell>
          <cell r="FI59">
            <v>107627</v>
          </cell>
          <cell r="FJ59">
            <v>0</v>
          </cell>
          <cell r="FK59">
            <v>78</v>
          </cell>
          <cell r="FM59">
            <v>107627</v>
          </cell>
          <cell r="FN59">
            <v>8900</v>
          </cell>
          <cell r="FO59">
            <v>10330</v>
          </cell>
          <cell r="FP59">
            <v>1783</v>
          </cell>
          <cell r="FQ59">
            <v>8</v>
          </cell>
          <cell r="FR59">
            <v>88</v>
          </cell>
          <cell r="FS59">
            <v>96</v>
          </cell>
          <cell r="FT59">
            <v>44141</v>
          </cell>
          <cell r="FU59">
            <v>3505</v>
          </cell>
          <cell r="FV59">
            <v>0</v>
          </cell>
          <cell r="FW59">
            <v>0</v>
          </cell>
          <cell r="FX59">
            <v>8544</v>
          </cell>
          <cell r="FY59">
            <v>1573</v>
          </cell>
          <cell r="FZ59">
            <v>322</v>
          </cell>
          <cell r="GA59">
            <v>0</v>
          </cell>
          <cell r="GF59">
            <v>36593</v>
          </cell>
          <cell r="GG59">
            <v>13194</v>
          </cell>
          <cell r="GH59">
            <v>264</v>
          </cell>
          <cell r="GI59">
            <v>12</v>
          </cell>
          <cell r="GJ59">
            <v>874</v>
          </cell>
          <cell r="GK59">
            <v>228</v>
          </cell>
          <cell r="GL59">
            <v>5</v>
          </cell>
          <cell r="GM59">
            <v>73</v>
          </cell>
          <cell r="GN59">
            <v>90152</v>
          </cell>
          <cell r="GO59">
            <v>18500</v>
          </cell>
          <cell r="GP59">
            <v>591</v>
          </cell>
          <cell r="GQ59">
            <v>85</v>
          </cell>
          <cell r="GR59">
            <v>28</v>
          </cell>
          <cell r="GT59">
            <v>101279</v>
          </cell>
          <cell r="GU59">
            <v>17402</v>
          </cell>
          <cell r="GV59">
            <v>161994</v>
          </cell>
          <cell r="GW59">
            <v>33236</v>
          </cell>
          <cell r="GX59">
            <v>2955</v>
          </cell>
          <cell r="GY59">
            <v>37837</v>
          </cell>
          <cell r="GZ59">
            <v>134515</v>
          </cell>
          <cell r="HA59">
            <v>20357</v>
          </cell>
          <cell r="HB59">
            <v>199831</v>
          </cell>
          <cell r="HC59">
            <v>354703</v>
          </cell>
          <cell r="HD59">
            <v>687</v>
          </cell>
          <cell r="HE59">
            <v>356885</v>
          </cell>
          <cell r="HF59">
            <v>26900</v>
          </cell>
          <cell r="HG59">
            <v>97378</v>
          </cell>
          <cell r="HH59">
            <v>1495</v>
          </cell>
          <cell r="HI59">
            <v>94</v>
          </cell>
          <cell r="HJ59">
            <v>124372</v>
          </cell>
          <cell r="HK59">
            <v>481257</v>
          </cell>
          <cell r="HL59">
            <v>148</v>
          </cell>
          <cell r="HM59">
            <v>33457</v>
          </cell>
          <cell r="HN59">
            <v>33605</v>
          </cell>
          <cell r="HO59">
            <v>401</v>
          </cell>
          <cell r="HP59">
            <v>17553</v>
          </cell>
          <cell r="HQ59">
            <v>17954</v>
          </cell>
          <cell r="HR59">
            <v>0</v>
          </cell>
          <cell r="HS59">
            <v>353</v>
          </cell>
          <cell r="HT59">
            <v>353</v>
          </cell>
          <cell r="HU59">
            <v>2810</v>
          </cell>
          <cell r="HV59">
            <v>54722</v>
          </cell>
          <cell r="HW59">
            <v>23696</v>
          </cell>
          <cell r="HX59">
            <v>112451</v>
          </cell>
          <cell r="HY59">
            <v>136147</v>
          </cell>
          <cell r="HZ59">
            <v>190869</v>
          </cell>
          <cell r="IA59">
            <v>44854</v>
          </cell>
          <cell r="IB59">
            <v>142585</v>
          </cell>
          <cell r="IC59">
            <v>535979</v>
          </cell>
          <cell r="ID59">
            <v>535979</v>
          </cell>
          <cell r="IE59">
            <v>672126</v>
          </cell>
          <cell r="IF59">
            <v>223428</v>
          </cell>
          <cell r="IG59">
            <v>94</v>
          </cell>
          <cell r="IJ59">
            <v>1</v>
          </cell>
          <cell r="IK59">
            <v>4.5900000000000003E-2</v>
          </cell>
          <cell r="IL59">
            <v>2.9999999999999997E-4</v>
          </cell>
          <cell r="IM59">
            <v>0.45910000000000001</v>
          </cell>
          <cell r="IN59">
            <v>0</v>
          </cell>
          <cell r="IO59">
            <v>0.37859999999999999</v>
          </cell>
          <cell r="IP59">
            <v>4.0000000000000002E-4</v>
          </cell>
          <cell r="IQ59">
            <v>0.45190000000000002</v>
          </cell>
          <cell r="IR59">
            <v>0.11509999999999999</v>
          </cell>
          <cell r="IS59">
            <v>0.41689999999999999</v>
          </cell>
          <cell r="IT59">
            <v>44661</v>
          </cell>
          <cell r="IU59">
            <v>13438</v>
          </cell>
          <cell r="IV59">
            <v>58099</v>
          </cell>
          <cell r="IW59">
            <v>0.29849999999999999</v>
          </cell>
          <cell r="IX59">
            <v>400029</v>
          </cell>
          <cell r="IZ59">
            <v>266</v>
          </cell>
          <cell r="JA59">
            <v>110</v>
          </cell>
          <cell r="JB59">
            <v>1118</v>
          </cell>
          <cell r="JC59">
            <v>37</v>
          </cell>
          <cell r="JD59">
            <v>1</v>
          </cell>
          <cell r="JE59">
            <v>5</v>
          </cell>
          <cell r="JF59">
            <v>303</v>
          </cell>
          <cell r="JG59">
            <v>111</v>
          </cell>
          <cell r="JH59">
            <v>1123</v>
          </cell>
          <cell r="JI59">
            <v>1537</v>
          </cell>
          <cell r="JJ59">
            <v>1494</v>
          </cell>
          <cell r="JK59">
            <v>43</v>
          </cell>
          <cell r="JL59">
            <v>7730</v>
          </cell>
          <cell r="JM59">
            <v>797</v>
          </cell>
          <cell r="JN59">
            <v>24106</v>
          </cell>
          <cell r="JO59">
            <v>623</v>
          </cell>
          <cell r="JP59">
            <v>21</v>
          </cell>
          <cell r="JQ59">
            <v>348</v>
          </cell>
          <cell r="JR59">
            <v>8353</v>
          </cell>
          <cell r="JS59">
            <v>818</v>
          </cell>
          <cell r="JT59">
            <v>24454</v>
          </cell>
          <cell r="JU59">
            <v>33625</v>
          </cell>
          <cell r="JV59">
            <v>32633</v>
          </cell>
          <cell r="JW59">
            <v>992</v>
          </cell>
          <cell r="JX59">
            <v>21.88</v>
          </cell>
          <cell r="JY59">
            <v>27.57</v>
          </cell>
          <cell r="JZ59">
            <v>21.78</v>
          </cell>
          <cell r="KA59">
            <v>0.25</v>
          </cell>
          <cell r="KB59">
            <v>0.73</v>
          </cell>
          <cell r="KC59">
            <v>45</v>
          </cell>
          <cell r="KD59">
            <v>23</v>
          </cell>
          <cell r="KE59">
            <v>8</v>
          </cell>
          <cell r="KF59">
            <v>66</v>
          </cell>
          <cell r="KG59">
            <v>950</v>
          </cell>
          <cell r="KH59">
            <v>19608</v>
          </cell>
          <cell r="KI59">
            <v>56</v>
          </cell>
          <cell r="KJ59">
            <v>624</v>
          </cell>
          <cell r="KK59">
            <v>56</v>
          </cell>
          <cell r="KL59">
            <v>1464</v>
          </cell>
          <cell r="KM59">
            <v>80434</v>
          </cell>
          <cell r="KN59">
            <v>30129</v>
          </cell>
          <cell r="KO59">
            <v>1766</v>
          </cell>
          <cell r="KQ59">
            <v>231</v>
          </cell>
          <cell r="KR59">
            <v>3633</v>
          </cell>
          <cell r="KS59">
            <v>660</v>
          </cell>
          <cell r="KT59">
            <v>240</v>
          </cell>
          <cell r="KU59">
            <v>43</v>
          </cell>
          <cell r="KV59">
            <v>114</v>
          </cell>
          <cell r="KW59">
            <v>66044</v>
          </cell>
          <cell r="LC59" t="str">
            <v>ONSLOW COUNTY PUBLIC LIBRARY</v>
          </cell>
          <cell r="LD59" t="str">
            <v>County Owned</v>
          </cell>
          <cell r="LE59" t="str">
            <v>58 DORIS AVENUE E</v>
          </cell>
          <cell r="LF59" t="str">
            <v>JACKSONVILLE</v>
          </cell>
          <cell r="LG59">
            <v>28540</v>
          </cell>
          <cell r="LH59">
            <v>5197</v>
          </cell>
          <cell r="LI59" t="str">
            <v>58 DORIS AVENUE E</v>
          </cell>
          <cell r="LJ59" t="str">
            <v>JACKSONVILLE</v>
          </cell>
          <cell r="LK59">
            <v>28540</v>
          </cell>
          <cell r="LL59">
            <v>5197</v>
          </cell>
          <cell r="LM59" t="str">
            <v>ONSLOW</v>
          </cell>
          <cell r="LN59">
            <v>9104557350</v>
          </cell>
          <cell r="LO59">
            <v>9109895790</v>
          </cell>
          <cell r="LP59">
            <v>34136</v>
          </cell>
          <cell r="LQ59">
            <v>34.5</v>
          </cell>
          <cell r="LS59">
            <v>10852</v>
          </cell>
          <cell r="LT59">
            <v>208</v>
          </cell>
          <cell r="LW59">
            <v>2</v>
          </cell>
          <cell r="LX59" t="str">
            <v>C-ONSLOW-O</v>
          </cell>
          <cell r="LY59">
            <v>0</v>
          </cell>
          <cell r="LZ59" t="str">
            <v>CE</v>
          </cell>
          <cell r="MA59">
            <v>120.16</v>
          </cell>
          <cell r="MB59">
            <v>129.58000000000001</v>
          </cell>
        </row>
        <row r="60">
          <cell r="A60" t="str">
            <v>NC0108</v>
          </cell>
          <cell r="B60">
            <v>0</v>
          </cell>
          <cell r="C60">
            <v>1375</v>
          </cell>
          <cell r="D60">
            <v>2017</v>
          </cell>
          <cell r="E60">
            <v>0</v>
          </cell>
          <cell r="F60" t="str">
            <v>NC0108</v>
          </cell>
          <cell r="G60" t="str">
            <v>C-ORANGE</v>
          </cell>
          <cell r="H60" t="str">
            <v>NO</v>
          </cell>
          <cell r="I60" t="str">
            <v>CO</v>
          </cell>
          <cell r="J60" t="str">
            <v>MA</v>
          </cell>
          <cell r="K60" t="str">
            <v>Y</v>
          </cell>
          <cell r="L60" t="str">
            <v>CO2</v>
          </cell>
          <cell r="M60" t="str">
            <v>N</v>
          </cell>
          <cell r="N60">
            <v>83685</v>
          </cell>
          <cell r="O60" t="str">
            <v>No</v>
          </cell>
          <cell r="P60">
            <v>486</v>
          </cell>
          <cell r="Q60">
            <v>134</v>
          </cell>
          <cell r="R60">
            <v>96</v>
          </cell>
          <cell r="S60">
            <v>14</v>
          </cell>
          <cell r="T60">
            <v>3000</v>
          </cell>
          <cell r="U60">
            <v>182</v>
          </cell>
          <cell r="V60">
            <v>54141</v>
          </cell>
          <cell r="W60">
            <v>4986</v>
          </cell>
          <cell r="X60">
            <v>368199</v>
          </cell>
          <cell r="Z60" t="str">
            <v>137 W MARGARET LN</v>
          </cell>
          <cell r="AA60" t="str">
            <v>HILLSBOROUGH</v>
          </cell>
          <cell r="AB60">
            <v>27278</v>
          </cell>
          <cell r="AD60" t="str">
            <v>137 W MARGARET LN</v>
          </cell>
          <cell r="AE60" t="str">
            <v>HILLSBOROUGH</v>
          </cell>
          <cell r="AF60">
            <v>27278</v>
          </cell>
          <cell r="AG60">
            <v>3</v>
          </cell>
          <cell r="AH60" t="str">
            <v>ORANGE COUNTY PUBLIC LIBRARY</v>
          </cell>
          <cell r="AJ60" t="str">
            <v>County</v>
          </cell>
          <cell r="AK60" t="str">
            <v>ORANGE</v>
          </cell>
          <cell r="AL60" t="str">
            <v>Lucinda Munger</v>
          </cell>
          <cell r="AM60" t="str">
            <v>(919) 245-2528</v>
          </cell>
          <cell r="AN60" t="str">
            <v>(919) 644-3372</v>
          </cell>
          <cell r="AO60" t="str">
            <v>lmunger@orangecountync.gov</v>
          </cell>
          <cell r="AP60" t="str">
            <v>Andrea Tullos</v>
          </cell>
          <cell r="AQ60" t="str">
            <v>Assistant Library Director</v>
          </cell>
          <cell r="AR60" t="str">
            <v>(919) 245-2529</v>
          </cell>
          <cell r="AS60" t="str">
            <v>(919) 644-3372</v>
          </cell>
          <cell r="AT60" t="str">
            <v>atullos@orangecountync.gov</v>
          </cell>
          <cell r="AU60" t="str">
            <v>http://www.orangecountync.gov/departments/library/index.php</v>
          </cell>
          <cell r="BC60">
            <v>1</v>
          </cell>
          <cell r="BD60">
            <v>2</v>
          </cell>
          <cell r="BE60">
            <v>0</v>
          </cell>
          <cell r="BF60">
            <v>0</v>
          </cell>
          <cell r="BG60">
            <v>3</v>
          </cell>
          <cell r="BI60">
            <v>6916</v>
          </cell>
          <cell r="BJ60">
            <v>12.15</v>
          </cell>
          <cell r="BK60">
            <v>0</v>
          </cell>
          <cell r="BL60">
            <v>12.15</v>
          </cell>
          <cell r="BM60">
            <v>12.13</v>
          </cell>
          <cell r="BN60">
            <v>24.28</v>
          </cell>
          <cell r="BO60">
            <v>0.50039999999999996</v>
          </cell>
          <cell r="BP60">
            <v>1994</v>
          </cell>
          <cell r="BQ60">
            <v>96933</v>
          </cell>
          <cell r="BT60">
            <v>71308</v>
          </cell>
          <cell r="BY60">
            <v>56560</v>
          </cell>
          <cell r="BZ60">
            <v>56560</v>
          </cell>
          <cell r="CA60">
            <v>56560</v>
          </cell>
          <cell r="CC60">
            <v>54302</v>
          </cell>
          <cell r="CD60">
            <v>54302</v>
          </cell>
          <cell r="CE60">
            <v>54302</v>
          </cell>
          <cell r="CG60">
            <v>69101</v>
          </cell>
          <cell r="CH60">
            <v>69101</v>
          </cell>
          <cell r="CI60">
            <v>69101</v>
          </cell>
          <cell r="CK60">
            <v>47951</v>
          </cell>
          <cell r="CL60">
            <v>47951</v>
          </cell>
          <cell r="CM60">
            <v>47951</v>
          </cell>
          <cell r="CR60">
            <v>48911</v>
          </cell>
          <cell r="CS60">
            <v>49808</v>
          </cell>
          <cell r="CT60">
            <v>49359</v>
          </cell>
          <cell r="CV60">
            <v>43112</v>
          </cell>
          <cell r="CW60">
            <v>56324</v>
          </cell>
          <cell r="CX60">
            <v>49718</v>
          </cell>
          <cell r="CZ60">
            <v>48466</v>
          </cell>
          <cell r="DA60">
            <v>48648</v>
          </cell>
          <cell r="DB60">
            <v>48555</v>
          </cell>
          <cell r="DH60">
            <v>53711</v>
          </cell>
          <cell r="DI60">
            <v>53711</v>
          </cell>
          <cell r="DJ60">
            <v>53711</v>
          </cell>
          <cell r="DK60">
            <v>37732</v>
          </cell>
          <cell r="DL60">
            <v>37732</v>
          </cell>
          <cell r="DM60">
            <v>37732</v>
          </cell>
          <cell r="DO60">
            <v>33150</v>
          </cell>
          <cell r="DP60">
            <v>37968</v>
          </cell>
          <cell r="DQ60">
            <v>35559</v>
          </cell>
          <cell r="DV60">
            <v>4000</v>
          </cell>
          <cell r="DW60">
            <v>2040252</v>
          </cell>
          <cell r="DX60">
            <v>2044252</v>
          </cell>
          <cell r="DY60">
            <v>104512</v>
          </cell>
          <cell r="DZ60">
            <v>56310</v>
          </cell>
          <cell r="EA60">
            <v>160822</v>
          </cell>
          <cell r="EB60">
            <v>73890</v>
          </cell>
          <cell r="EC60">
            <v>0</v>
          </cell>
          <cell r="ED60">
            <v>73890</v>
          </cell>
          <cell r="EE60">
            <v>60734</v>
          </cell>
          <cell r="EF60">
            <v>2339698</v>
          </cell>
          <cell r="EG60">
            <v>1318594</v>
          </cell>
          <cell r="EH60">
            <v>518426</v>
          </cell>
          <cell r="EI60">
            <v>1837020</v>
          </cell>
          <cell r="EJ60">
            <v>154218</v>
          </cell>
          <cell r="EK60">
            <v>49731</v>
          </cell>
          <cell r="EL60">
            <v>32249</v>
          </cell>
          <cell r="EM60">
            <v>236198</v>
          </cell>
          <cell r="EN60">
            <v>234417</v>
          </cell>
          <cell r="EO60">
            <v>2307635</v>
          </cell>
          <cell r="EP60">
            <v>32063</v>
          </cell>
          <cell r="EQ60">
            <v>1.37E-2</v>
          </cell>
          <cell r="ER60">
            <v>0</v>
          </cell>
          <cell r="ES60">
            <v>0</v>
          </cell>
          <cell r="ET60">
            <v>20941</v>
          </cell>
          <cell r="EU60">
            <v>2617</v>
          </cell>
          <cell r="EV60">
            <v>23558</v>
          </cell>
          <cell r="EW60">
            <v>23558</v>
          </cell>
          <cell r="EX60">
            <v>18714</v>
          </cell>
          <cell r="EY60">
            <v>170111</v>
          </cell>
          <cell r="EZ60">
            <v>27090</v>
          </cell>
          <cell r="FA60">
            <v>5208</v>
          </cell>
          <cell r="FB60">
            <v>31044</v>
          </cell>
          <cell r="FC60">
            <v>20083</v>
          </cell>
          <cell r="FD60">
            <v>871</v>
          </cell>
          <cell r="FE60">
            <v>10504</v>
          </cell>
          <cell r="FF60">
            <v>47173</v>
          </cell>
          <cell r="FG60">
            <v>6079</v>
          </cell>
          <cell r="FH60">
            <v>41548</v>
          </cell>
          <cell r="FI60">
            <v>94800</v>
          </cell>
          <cell r="FJ60">
            <v>268</v>
          </cell>
          <cell r="FK60">
            <v>203</v>
          </cell>
          <cell r="FM60">
            <v>94800</v>
          </cell>
          <cell r="FN60">
            <v>6903</v>
          </cell>
          <cell r="FO60">
            <v>7976</v>
          </cell>
          <cell r="FP60">
            <v>405</v>
          </cell>
          <cell r="FQ60">
            <v>9</v>
          </cell>
          <cell r="FR60">
            <v>88</v>
          </cell>
          <cell r="FS60">
            <v>97</v>
          </cell>
          <cell r="FT60">
            <v>44141</v>
          </cell>
          <cell r="FU60">
            <v>3505</v>
          </cell>
          <cell r="FV60">
            <v>0</v>
          </cell>
          <cell r="FW60">
            <v>0</v>
          </cell>
          <cell r="FX60">
            <v>8544</v>
          </cell>
          <cell r="FY60">
            <v>1573</v>
          </cell>
          <cell r="FZ60">
            <v>322</v>
          </cell>
          <cell r="GA60">
            <v>0</v>
          </cell>
          <cell r="GE60">
            <v>0</v>
          </cell>
          <cell r="GJ60">
            <v>1044</v>
          </cell>
          <cell r="GK60">
            <v>330</v>
          </cell>
          <cell r="GL60">
            <v>0</v>
          </cell>
          <cell r="GM60">
            <v>0</v>
          </cell>
          <cell r="GN60">
            <v>53729</v>
          </cell>
          <cell r="GO60">
            <v>5408</v>
          </cell>
          <cell r="GP60">
            <v>322</v>
          </cell>
          <cell r="GQ60">
            <v>0</v>
          </cell>
          <cell r="GR60">
            <v>32</v>
          </cell>
          <cell r="GT60">
            <v>63939</v>
          </cell>
          <cell r="GU60">
            <v>10323</v>
          </cell>
          <cell r="GV60">
            <v>134652</v>
          </cell>
          <cell r="GW60">
            <v>41881</v>
          </cell>
          <cell r="GX60">
            <v>6095</v>
          </cell>
          <cell r="GY60">
            <v>55588</v>
          </cell>
          <cell r="GZ60">
            <v>105820</v>
          </cell>
          <cell r="HA60">
            <v>16418</v>
          </cell>
          <cell r="HB60">
            <v>190240</v>
          </cell>
          <cell r="HC60">
            <v>312478</v>
          </cell>
          <cell r="HD60">
            <v>3823</v>
          </cell>
          <cell r="HE60">
            <v>316301</v>
          </cell>
          <cell r="HF60">
            <v>23295</v>
          </cell>
          <cell r="HG60">
            <v>59438</v>
          </cell>
          <cell r="HH60">
            <v>0</v>
          </cell>
          <cell r="HI60">
            <v>2797</v>
          </cell>
          <cell r="HJ60">
            <v>85530</v>
          </cell>
          <cell r="HK60">
            <v>401831</v>
          </cell>
          <cell r="HL60">
            <v>12</v>
          </cell>
          <cell r="HM60">
            <v>8280</v>
          </cell>
          <cell r="HN60">
            <v>8292</v>
          </cell>
          <cell r="HO60">
            <v>123</v>
          </cell>
          <cell r="HP60">
            <v>3493</v>
          </cell>
          <cell r="HQ60">
            <v>3616</v>
          </cell>
          <cell r="HR60">
            <v>0</v>
          </cell>
          <cell r="HS60">
            <v>0</v>
          </cell>
          <cell r="HT60">
            <v>0</v>
          </cell>
          <cell r="HU60">
            <v>0</v>
          </cell>
          <cell r="HV60">
            <v>11908</v>
          </cell>
          <cell r="HW60">
            <v>12260</v>
          </cell>
          <cell r="HX60">
            <v>1633</v>
          </cell>
          <cell r="HY60">
            <v>13893</v>
          </cell>
          <cell r="HZ60">
            <v>25801</v>
          </cell>
          <cell r="IA60">
            <v>26911</v>
          </cell>
          <cell r="IB60">
            <v>86349</v>
          </cell>
          <cell r="IC60">
            <v>413739</v>
          </cell>
          <cell r="ID60">
            <v>413739</v>
          </cell>
          <cell r="IE60">
            <v>427632</v>
          </cell>
          <cell r="IF60">
            <v>225247</v>
          </cell>
          <cell r="IG60">
            <v>2085</v>
          </cell>
          <cell r="IJ60">
            <v>1</v>
          </cell>
          <cell r="IK60">
            <v>4.8800000000000003E-2</v>
          </cell>
          <cell r="IL60">
            <v>1.1999999999999999E-3</v>
          </cell>
          <cell r="IM60">
            <v>0.34949999999999998</v>
          </cell>
          <cell r="IN60">
            <v>0</v>
          </cell>
          <cell r="IO60">
            <v>0.31580000000000003</v>
          </cell>
          <cell r="IP60">
            <v>5.9999999999999995E-4</v>
          </cell>
          <cell r="IQ60">
            <v>0.55730000000000002</v>
          </cell>
          <cell r="IR60">
            <v>7.2400000000000006E-2</v>
          </cell>
          <cell r="IS60">
            <v>0.5444</v>
          </cell>
          <cell r="IT60">
            <v>14701</v>
          </cell>
          <cell r="IU60">
            <v>2624</v>
          </cell>
          <cell r="IV60">
            <v>17325</v>
          </cell>
          <cell r="IW60">
            <v>0.20699999999999999</v>
          </cell>
          <cell r="IX60">
            <v>240610</v>
          </cell>
          <cell r="IZ60">
            <v>105</v>
          </cell>
          <cell r="JA60">
            <v>15</v>
          </cell>
          <cell r="JB60">
            <v>376</v>
          </cell>
          <cell r="JC60">
            <v>9</v>
          </cell>
          <cell r="JD60">
            <v>0</v>
          </cell>
          <cell r="JE60">
            <v>31</v>
          </cell>
          <cell r="JF60">
            <v>114</v>
          </cell>
          <cell r="JG60">
            <v>15</v>
          </cell>
          <cell r="JH60">
            <v>407</v>
          </cell>
          <cell r="JI60">
            <v>536</v>
          </cell>
          <cell r="JJ60">
            <v>496</v>
          </cell>
          <cell r="JK60">
            <v>40</v>
          </cell>
          <cell r="JL60">
            <v>904</v>
          </cell>
          <cell r="JM60">
            <v>82</v>
          </cell>
          <cell r="JN60">
            <v>9270</v>
          </cell>
          <cell r="JO60">
            <v>82</v>
          </cell>
          <cell r="JP60">
            <v>0</v>
          </cell>
          <cell r="JQ60">
            <v>334</v>
          </cell>
          <cell r="JR60">
            <v>986</v>
          </cell>
          <cell r="JS60">
            <v>82</v>
          </cell>
          <cell r="JT60">
            <v>9604</v>
          </cell>
          <cell r="JU60">
            <v>10672</v>
          </cell>
          <cell r="JV60">
            <v>10256</v>
          </cell>
          <cell r="JW60">
            <v>416</v>
          </cell>
          <cell r="JX60">
            <v>19.91</v>
          </cell>
          <cell r="JY60">
            <v>8.65</v>
          </cell>
          <cell r="JZ60">
            <v>23.6</v>
          </cell>
          <cell r="KA60">
            <v>0.09</v>
          </cell>
          <cell r="KB60">
            <v>0.9</v>
          </cell>
          <cell r="KC60">
            <v>4</v>
          </cell>
          <cell r="KD60">
            <v>15</v>
          </cell>
          <cell r="KE60">
            <v>35</v>
          </cell>
          <cell r="KF60">
            <v>135</v>
          </cell>
          <cell r="KG60">
            <v>129</v>
          </cell>
          <cell r="KH60">
            <v>3560</v>
          </cell>
          <cell r="KI60">
            <v>28</v>
          </cell>
          <cell r="KJ60">
            <v>334</v>
          </cell>
          <cell r="KK60">
            <v>70</v>
          </cell>
          <cell r="KL60">
            <v>1613</v>
          </cell>
          <cell r="KM60">
            <v>18470</v>
          </cell>
          <cell r="KN60">
            <v>6936</v>
          </cell>
          <cell r="KO60">
            <v>360</v>
          </cell>
          <cell r="KQ60">
            <v>4601</v>
          </cell>
          <cell r="KR60">
            <v>9720</v>
          </cell>
          <cell r="KS60">
            <v>13</v>
          </cell>
          <cell r="KT60">
            <v>183</v>
          </cell>
          <cell r="KU60">
            <v>35</v>
          </cell>
          <cell r="KV60">
            <v>60</v>
          </cell>
          <cell r="KW60">
            <v>47404</v>
          </cell>
          <cell r="KY60">
            <v>200434</v>
          </cell>
          <cell r="KZ60">
            <v>16121</v>
          </cell>
          <cell r="LC60" t="str">
            <v>ORANGE COUNTY PUBLIC LIBRARY</v>
          </cell>
          <cell r="LD60" t="str">
            <v>County Owned</v>
          </cell>
          <cell r="LE60" t="str">
            <v>137 W MARGARET LN</v>
          </cell>
          <cell r="LF60" t="str">
            <v>HILLSBOROUGH</v>
          </cell>
          <cell r="LG60">
            <v>27278</v>
          </cell>
          <cell r="LI60" t="str">
            <v>137 W MARGARET LN</v>
          </cell>
          <cell r="LJ60" t="str">
            <v>Hillsborough</v>
          </cell>
          <cell r="LK60">
            <v>27278</v>
          </cell>
          <cell r="LM60" t="str">
            <v>Orange</v>
          </cell>
          <cell r="LN60">
            <v>9192452525</v>
          </cell>
          <cell r="LO60">
            <v>9196443003</v>
          </cell>
          <cell r="LP60">
            <v>31560</v>
          </cell>
          <cell r="LQ60">
            <v>24.13</v>
          </cell>
          <cell r="LS60">
            <v>6916</v>
          </cell>
          <cell r="LT60">
            <v>156</v>
          </cell>
          <cell r="LW60">
            <v>1</v>
          </cell>
          <cell r="LX60" t="str">
            <v>C-ORANGE-O</v>
          </cell>
          <cell r="LY60">
            <v>0</v>
          </cell>
          <cell r="LZ60" t="str">
            <v>CE</v>
          </cell>
          <cell r="MA60">
            <v>90.35</v>
          </cell>
          <cell r="MB60">
            <v>12.6</v>
          </cell>
        </row>
        <row r="61">
          <cell r="A61" t="str">
            <v>NC0049</v>
          </cell>
          <cell r="B61">
            <v>0</v>
          </cell>
          <cell r="C61">
            <v>1375</v>
          </cell>
          <cell r="D61">
            <v>2017</v>
          </cell>
          <cell r="E61">
            <v>0</v>
          </cell>
          <cell r="F61" t="str">
            <v>NC0049</v>
          </cell>
          <cell r="G61" t="str">
            <v>C-PENDER</v>
          </cell>
          <cell r="H61" t="str">
            <v>NO</v>
          </cell>
          <cell r="I61" t="str">
            <v>CO</v>
          </cell>
          <cell r="J61" t="str">
            <v>MO</v>
          </cell>
          <cell r="K61" t="str">
            <v>Y</v>
          </cell>
          <cell r="L61" t="str">
            <v>CO1</v>
          </cell>
          <cell r="M61" t="str">
            <v>N</v>
          </cell>
          <cell r="N61">
            <v>57941</v>
          </cell>
          <cell r="O61" t="str">
            <v>No</v>
          </cell>
          <cell r="P61">
            <v>472</v>
          </cell>
          <cell r="Q61">
            <v>27</v>
          </cell>
          <cell r="R61">
            <v>137</v>
          </cell>
          <cell r="S61">
            <v>0</v>
          </cell>
          <cell r="T61">
            <v>3607</v>
          </cell>
          <cell r="U61">
            <v>0</v>
          </cell>
          <cell r="V61">
            <v>24305</v>
          </cell>
          <cell r="W61">
            <v>3210</v>
          </cell>
          <cell r="X61">
            <v>101100</v>
          </cell>
          <cell r="Z61" t="str">
            <v>PO BOX 879</v>
          </cell>
          <cell r="AA61" t="str">
            <v>BURGAW</v>
          </cell>
          <cell r="AB61">
            <v>28425</v>
          </cell>
          <cell r="AC61">
            <v>879</v>
          </cell>
          <cell r="AD61" t="str">
            <v>103 S COWAN ST</v>
          </cell>
          <cell r="AE61" t="str">
            <v>BURGAW</v>
          </cell>
          <cell r="AF61">
            <v>28425</v>
          </cell>
          <cell r="AG61">
            <v>3</v>
          </cell>
          <cell r="AH61" t="str">
            <v>PENDER COUNTY PUBLIC LIBRARY</v>
          </cell>
          <cell r="AJ61" t="str">
            <v>County</v>
          </cell>
          <cell r="AK61" t="str">
            <v>PENDER</v>
          </cell>
          <cell r="AL61" t="str">
            <v>Michael Y Taylor</v>
          </cell>
          <cell r="AM61" t="str">
            <v>(910) 259-5113</v>
          </cell>
          <cell r="AO61" t="str">
            <v>mtaylor@pendercountync.gov</v>
          </cell>
          <cell r="AP61" t="str">
            <v>Mike Taylor</v>
          </cell>
          <cell r="AQ61" t="str">
            <v>Library Director</v>
          </cell>
          <cell r="AR61" t="str">
            <v>(910) 259-5113</v>
          </cell>
          <cell r="AT61" t="str">
            <v>mtaylor@pendercountync.gov</v>
          </cell>
          <cell r="AU61" t="str">
            <v>penderpubliclibrary.org</v>
          </cell>
          <cell r="BC61">
            <v>1</v>
          </cell>
          <cell r="BD61">
            <v>1</v>
          </cell>
          <cell r="BE61">
            <v>0</v>
          </cell>
          <cell r="BF61">
            <v>0</v>
          </cell>
          <cell r="BG61">
            <v>2</v>
          </cell>
          <cell r="BI61">
            <v>4556</v>
          </cell>
          <cell r="BJ61">
            <v>2</v>
          </cell>
          <cell r="BK61">
            <v>0</v>
          </cell>
          <cell r="BL61">
            <v>2</v>
          </cell>
          <cell r="BM61">
            <v>10.8</v>
          </cell>
          <cell r="BN61">
            <v>12.8</v>
          </cell>
          <cell r="BO61">
            <v>0.15629999999999999</v>
          </cell>
          <cell r="BP61">
            <v>1866</v>
          </cell>
          <cell r="BQ61">
            <v>73538</v>
          </cell>
          <cell r="CG61">
            <v>49714</v>
          </cell>
          <cell r="CH61">
            <v>79475</v>
          </cell>
          <cell r="CI61">
            <v>62698</v>
          </cell>
          <cell r="DK61">
            <v>47347</v>
          </cell>
          <cell r="DL61">
            <v>75691</v>
          </cell>
          <cell r="DM61">
            <v>59712</v>
          </cell>
          <cell r="DV61">
            <v>0</v>
          </cell>
          <cell r="DW61">
            <v>706383</v>
          </cell>
          <cell r="DX61">
            <v>706383</v>
          </cell>
          <cell r="DY61">
            <v>106500</v>
          </cell>
          <cell r="DZ61">
            <v>0</v>
          </cell>
          <cell r="EA61">
            <v>106500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812883</v>
          </cell>
          <cell r="EG61">
            <v>488685</v>
          </cell>
          <cell r="EH61">
            <v>133961</v>
          </cell>
          <cell r="EI61">
            <v>622646</v>
          </cell>
          <cell r="EJ61">
            <v>69522</v>
          </cell>
          <cell r="EK61">
            <v>11707</v>
          </cell>
          <cell r="EL61">
            <v>294</v>
          </cell>
          <cell r="EM61">
            <v>81523</v>
          </cell>
          <cell r="EN61">
            <v>87767</v>
          </cell>
          <cell r="EO61">
            <v>791936</v>
          </cell>
          <cell r="EP61">
            <v>20947</v>
          </cell>
          <cell r="EQ61">
            <v>2.58E-2</v>
          </cell>
          <cell r="ER61">
            <v>5500</v>
          </cell>
          <cell r="ES61">
            <v>0</v>
          </cell>
          <cell r="ET61">
            <v>0</v>
          </cell>
          <cell r="EU61">
            <v>0</v>
          </cell>
          <cell r="EV61">
            <v>5500</v>
          </cell>
          <cell r="EW61">
            <v>5500</v>
          </cell>
          <cell r="EX61">
            <v>11021</v>
          </cell>
          <cell r="EY61">
            <v>203416</v>
          </cell>
          <cell r="EZ61">
            <v>30615</v>
          </cell>
          <cell r="FA61">
            <v>3673</v>
          </cell>
          <cell r="FB61">
            <v>26312</v>
          </cell>
          <cell r="FC61">
            <v>35513</v>
          </cell>
          <cell r="FD61">
            <v>0</v>
          </cell>
          <cell r="FE61">
            <v>13242</v>
          </cell>
          <cell r="FF61">
            <v>66128</v>
          </cell>
          <cell r="FG61">
            <v>3673</v>
          </cell>
          <cell r="FH61">
            <v>39554</v>
          </cell>
          <cell r="FI61">
            <v>109355</v>
          </cell>
          <cell r="FJ61">
            <v>1276</v>
          </cell>
          <cell r="FK61">
            <v>116</v>
          </cell>
          <cell r="FM61">
            <v>109355</v>
          </cell>
          <cell r="FN61">
            <v>3208</v>
          </cell>
          <cell r="FO61">
            <v>2561</v>
          </cell>
          <cell r="FP61">
            <v>111</v>
          </cell>
          <cell r="FQ61">
            <v>3</v>
          </cell>
          <cell r="FR61">
            <v>88</v>
          </cell>
          <cell r="FS61">
            <v>91</v>
          </cell>
          <cell r="FT61">
            <v>44141</v>
          </cell>
          <cell r="FU61">
            <v>3505</v>
          </cell>
          <cell r="FV61">
            <v>0</v>
          </cell>
          <cell r="FW61">
            <v>0</v>
          </cell>
          <cell r="FX61">
            <v>8544</v>
          </cell>
          <cell r="FY61">
            <v>1573</v>
          </cell>
          <cell r="FZ61">
            <v>322</v>
          </cell>
          <cell r="GA61">
            <v>0</v>
          </cell>
          <cell r="GB61">
            <v>26436</v>
          </cell>
          <cell r="GC61">
            <v>1747</v>
          </cell>
          <cell r="GD61">
            <v>278</v>
          </cell>
          <cell r="GE61">
            <v>55</v>
          </cell>
          <cell r="GJ61">
            <v>34</v>
          </cell>
          <cell r="GK61">
            <v>0</v>
          </cell>
          <cell r="GL61">
            <v>0</v>
          </cell>
          <cell r="GM61">
            <v>63</v>
          </cell>
          <cell r="GN61">
            <v>79155</v>
          </cell>
          <cell r="GO61">
            <v>6825</v>
          </cell>
          <cell r="GP61">
            <v>600</v>
          </cell>
          <cell r="GQ61">
            <v>118</v>
          </cell>
          <cell r="GR61">
            <v>37</v>
          </cell>
          <cell r="GT61">
            <v>59691</v>
          </cell>
          <cell r="GU61">
            <v>8645</v>
          </cell>
          <cell r="GV61">
            <v>64550</v>
          </cell>
          <cell r="GW61">
            <v>23761</v>
          </cell>
          <cell r="GY61">
            <v>18251</v>
          </cell>
          <cell r="GZ61">
            <v>83452</v>
          </cell>
          <cell r="HA61">
            <v>8645</v>
          </cell>
          <cell r="HB61">
            <v>82801</v>
          </cell>
          <cell r="HC61">
            <v>174898</v>
          </cell>
          <cell r="HD61">
            <v>514</v>
          </cell>
          <cell r="HE61">
            <v>175519</v>
          </cell>
          <cell r="HF61">
            <v>9581</v>
          </cell>
          <cell r="HG61">
            <v>19523</v>
          </cell>
          <cell r="HH61">
            <v>107</v>
          </cell>
          <cell r="HI61">
            <v>205</v>
          </cell>
          <cell r="HJ61">
            <v>29309</v>
          </cell>
          <cell r="HK61">
            <v>204828</v>
          </cell>
          <cell r="HL61">
            <v>111</v>
          </cell>
          <cell r="HM61">
            <v>15565</v>
          </cell>
          <cell r="HN61">
            <v>15676</v>
          </cell>
          <cell r="HO61">
            <v>122</v>
          </cell>
          <cell r="HP61">
            <v>1765</v>
          </cell>
          <cell r="HQ61">
            <v>1887</v>
          </cell>
          <cell r="HR61">
            <v>0</v>
          </cell>
          <cell r="HS61">
            <v>21</v>
          </cell>
          <cell r="HT61">
            <v>21</v>
          </cell>
          <cell r="HU61">
            <v>1423</v>
          </cell>
          <cell r="HV61">
            <v>19007</v>
          </cell>
          <cell r="HW61">
            <v>9067</v>
          </cell>
          <cell r="HX61">
            <v>8481</v>
          </cell>
          <cell r="HY61">
            <v>17548</v>
          </cell>
          <cell r="HZ61">
            <v>36555</v>
          </cell>
          <cell r="IA61">
            <v>11468</v>
          </cell>
          <cell r="IB61">
            <v>31012</v>
          </cell>
          <cell r="IC61">
            <v>223835</v>
          </cell>
          <cell r="ID61">
            <v>223835</v>
          </cell>
          <cell r="IE61">
            <v>241383</v>
          </cell>
          <cell r="IF61">
            <v>93284</v>
          </cell>
          <cell r="IG61">
            <v>91</v>
          </cell>
          <cell r="IJ61">
            <v>1</v>
          </cell>
          <cell r="IK61">
            <v>1.55E-2</v>
          </cell>
          <cell r="IL61">
            <v>5.9999999999999995E-4</v>
          </cell>
          <cell r="IM61">
            <v>0.42620000000000002</v>
          </cell>
          <cell r="IN61">
            <v>0</v>
          </cell>
          <cell r="IO61">
            <v>0.3891</v>
          </cell>
          <cell r="IP61">
            <v>4.0000000000000002E-4</v>
          </cell>
          <cell r="IQ61">
            <v>0.53759999999999997</v>
          </cell>
          <cell r="IR61">
            <v>4.9299999999999997E-2</v>
          </cell>
          <cell r="IS61">
            <v>0.4168</v>
          </cell>
          <cell r="IT61">
            <v>10379</v>
          </cell>
          <cell r="IU61">
            <v>3484</v>
          </cell>
          <cell r="IV61">
            <v>13863</v>
          </cell>
          <cell r="IW61">
            <v>0.23930000000000001</v>
          </cell>
          <cell r="IX61">
            <v>127821</v>
          </cell>
          <cell r="IZ61">
            <v>15</v>
          </cell>
          <cell r="JA61">
            <v>2</v>
          </cell>
          <cell r="JB61">
            <v>538</v>
          </cell>
          <cell r="JC61">
            <v>1</v>
          </cell>
          <cell r="JD61">
            <v>0</v>
          </cell>
          <cell r="JE61">
            <v>16</v>
          </cell>
          <cell r="JF61">
            <v>16</v>
          </cell>
          <cell r="JG61">
            <v>2</v>
          </cell>
          <cell r="JH61">
            <v>554</v>
          </cell>
          <cell r="JI61">
            <v>572</v>
          </cell>
          <cell r="JJ61">
            <v>555</v>
          </cell>
          <cell r="JK61">
            <v>17</v>
          </cell>
          <cell r="JL61">
            <v>296</v>
          </cell>
          <cell r="JM61">
            <v>44</v>
          </cell>
          <cell r="JN61">
            <v>11850</v>
          </cell>
          <cell r="JO61">
            <v>32</v>
          </cell>
          <cell r="JP61">
            <v>0</v>
          </cell>
          <cell r="JQ61">
            <v>361</v>
          </cell>
          <cell r="JR61">
            <v>328</v>
          </cell>
          <cell r="JS61">
            <v>44</v>
          </cell>
          <cell r="JT61">
            <v>12211</v>
          </cell>
          <cell r="JU61">
            <v>12583</v>
          </cell>
          <cell r="JV61">
            <v>12190</v>
          </cell>
          <cell r="JW61">
            <v>393</v>
          </cell>
          <cell r="JX61">
            <v>22</v>
          </cell>
          <cell r="JY61">
            <v>20.5</v>
          </cell>
          <cell r="JZ61">
            <v>22.04</v>
          </cell>
          <cell r="KA61">
            <v>0.03</v>
          </cell>
          <cell r="KB61">
            <v>0.97</v>
          </cell>
          <cell r="KC61">
            <v>0</v>
          </cell>
          <cell r="KD61">
            <v>0</v>
          </cell>
          <cell r="KE61">
            <v>0</v>
          </cell>
          <cell r="KF61">
            <v>0</v>
          </cell>
          <cell r="KG61">
            <v>266</v>
          </cell>
          <cell r="KH61">
            <v>5368</v>
          </cell>
          <cell r="KI61">
            <v>0</v>
          </cell>
          <cell r="KJ61">
            <v>0</v>
          </cell>
          <cell r="KK61">
            <v>124</v>
          </cell>
          <cell r="KL61">
            <v>2297</v>
          </cell>
          <cell r="KM61">
            <v>24959</v>
          </cell>
          <cell r="KN61">
            <v>5409</v>
          </cell>
          <cell r="KO61">
            <v>1534</v>
          </cell>
          <cell r="KQ61">
            <v>793</v>
          </cell>
          <cell r="KS61">
            <v>14</v>
          </cell>
          <cell r="KT61">
            <v>67</v>
          </cell>
          <cell r="KU61">
            <v>19</v>
          </cell>
          <cell r="KV61">
            <v>27</v>
          </cell>
          <cell r="KW61">
            <v>12116</v>
          </cell>
          <cell r="KY61">
            <v>36761</v>
          </cell>
          <cell r="KZ61">
            <v>43071</v>
          </cell>
          <cell r="LC61" t="str">
            <v>PENDER COUNTY PUBLIC LIBRARY</v>
          </cell>
          <cell r="LD61" t="str">
            <v>County Owned</v>
          </cell>
          <cell r="LE61" t="str">
            <v>PO BOX 879</v>
          </cell>
          <cell r="LF61" t="str">
            <v>BURGAW</v>
          </cell>
          <cell r="LG61">
            <v>28425</v>
          </cell>
          <cell r="LH61">
            <v>879</v>
          </cell>
          <cell r="LI61" t="str">
            <v>103 S COWAN ST</v>
          </cell>
          <cell r="LJ61" t="str">
            <v>BURGAW</v>
          </cell>
          <cell r="LK61">
            <v>28425</v>
          </cell>
          <cell r="LL61">
            <v>879</v>
          </cell>
          <cell r="LM61" t="str">
            <v>PENDER</v>
          </cell>
          <cell r="LN61">
            <v>9102591234</v>
          </cell>
          <cell r="LP61">
            <v>21000</v>
          </cell>
          <cell r="LQ61">
            <v>13.43</v>
          </cell>
          <cell r="LS61">
            <v>4556</v>
          </cell>
          <cell r="LT61">
            <v>104</v>
          </cell>
          <cell r="LW61">
            <v>2</v>
          </cell>
          <cell r="LX61" t="str">
            <v>C-PENDER-P</v>
          </cell>
          <cell r="LY61">
            <v>0</v>
          </cell>
          <cell r="LZ61" t="str">
            <v>CE</v>
          </cell>
          <cell r="MA61">
            <v>29.6</v>
          </cell>
          <cell r="MB61">
            <v>20.32</v>
          </cell>
        </row>
        <row r="62">
          <cell r="A62" t="str">
            <v>NC0062</v>
          </cell>
          <cell r="B62">
            <v>0</v>
          </cell>
          <cell r="C62">
            <v>1375</v>
          </cell>
          <cell r="D62">
            <v>2017</v>
          </cell>
          <cell r="E62">
            <v>0</v>
          </cell>
          <cell r="F62" t="str">
            <v>NC0062</v>
          </cell>
          <cell r="G62" t="str">
            <v>C-VANCE</v>
          </cell>
          <cell r="H62" t="str">
            <v>NO</v>
          </cell>
          <cell r="I62" t="str">
            <v>NP</v>
          </cell>
          <cell r="J62" t="str">
            <v>SO</v>
          </cell>
          <cell r="K62" t="str">
            <v>Y</v>
          </cell>
          <cell r="L62" t="str">
            <v>CO1</v>
          </cell>
          <cell r="M62" t="str">
            <v>N</v>
          </cell>
          <cell r="N62">
            <v>45097</v>
          </cell>
          <cell r="O62" t="str">
            <v>No</v>
          </cell>
          <cell r="P62">
            <v>412</v>
          </cell>
          <cell r="Q62">
            <v>91</v>
          </cell>
          <cell r="R62">
            <v>31</v>
          </cell>
          <cell r="S62">
            <v>11</v>
          </cell>
          <cell r="T62">
            <v>679</v>
          </cell>
          <cell r="U62">
            <v>486</v>
          </cell>
          <cell r="V62">
            <v>8099</v>
          </cell>
          <cell r="W62">
            <v>1205</v>
          </cell>
          <cell r="Z62" t="str">
            <v>205 BRECKENRIDGE ST</v>
          </cell>
          <cell r="AA62" t="str">
            <v>HENDERSON</v>
          </cell>
          <cell r="AB62">
            <v>27536</v>
          </cell>
          <cell r="AC62">
            <v>4211</v>
          </cell>
          <cell r="AD62" t="str">
            <v>205 BRECKENRIDGE ST</v>
          </cell>
          <cell r="AE62" t="str">
            <v>HENDERSON</v>
          </cell>
          <cell r="AF62">
            <v>27536</v>
          </cell>
          <cell r="AG62">
            <v>1</v>
          </cell>
          <cell r="AH62" t="str">
            <v>H. LESLIE PERRY MEMORIAL LIBRARY</v>
          </cell>
          <cell r="AJ62" t="str">
            <v>County</v>
          </cell>
          <cell r="AK62" t="str">
            <v>VANCE</v>
          </cell>
          <cell r="AL62" t="str">
            <v>Patti McAnally</v>
          </cell>
          <cell r="AM62">
            <v>2524383316</v>
          </cell>
          <cell r="AN62" t="str">
            <v>(252) 438-3744</v>
          </cell>
          <cell r="AO62" t="str">
            <v>pmcanally@perrylibrary.org</v>
          </cell>
          <cell r="AP62" t="str">
            <v>Patti McAnally</v>
          </cell>
          <cell r="AQ62" t="str">
            <v>Library Director</v>
          </cell>
          <cell r="AR62" t="str">
            <v>(252) 438-3316</v>
          </cell>
          <cell r="AS62" t="str">
            <v>(252) 438-3744</v>
          </cell>
          <cell r="AT62" t="str">
            <v>pmcanally@perrylibrary.org</v>
          </cell>
          <cell r="AU62" t="str">
            <v>www.perrylibrary.org</v>
          </cell>
          <cell r="BC62">
            <v>1</v>
          </cell>
          <cell r="BD62">
            <v>0</v>
          </cell>
          <cell r="BE62">
            <v>0</v>
          </cell>
          <cell r="BF62">
            <v>0</v>
          </cell>
          <cell r="BG62">
            <v>1</v>
          </cell>
          <cell r="BI62">
            <v>2500</v>
          </cell>
          <cell r="BJ62">
            <v>3</v>
          </cell>
          <cell r="BK62">
            <v>0</v>
          </cell>
          <cell r="BL62">
            <v>3</v>
          </cell>
          <cell r="BM62">
            <v>12</v>
          </cell>
          <cell r="BN62">
            <v>15</v>
          </cell>
          <cell r="BO62">
            <v>0.2</v>
          </cell>
          <cell r="BQ62">
            <v>64200</v>
          </cell>
          <cell r="BT62">
            <v>43308</v>
          </cell>
          <cell r="BY62">
            <v>36324</v>
          </cell>
          <cell r="BZ62">
            <v>58104</v>
          </cell>
          <cell r="CA62">
            <v>39108</v>
          </cell>
          <cell r="CK62">
            <v>31824</v>
          </cell>
          <cell r="CL62">
            <v>50928</v>
          </cell>
          <cell r="CM62">
            <v>33144</v>
          </cell>
          <cell r="DO62">
            <v>24684</v>
          </cell>
          <cell r="DP62">
            <v>39480</v>
          </cell>
          <cell r="DQ62">
            <v>30188</v>
          </cell>
          <cell r="DS62">
            <v>41448</v>
          </cell>
          <cell r="DT62">
            <v>66312</v>
          </cell>
          <cell r="DU62">
            <v>42612</v>
          </cell>
          <cell r="DV62">
            <v>187400</v>
          </cell>
          <cell r="DW62">
            <v>562200</v>
          </cell>
          <cell r="DX62">
            <v>749600</v>
          </cell>
          <cell r="DY62">
            <v>105090</v>
          </cell>
          <cell r="DZ62">
            <v>0</v>
          </cell>
          <cell r="EA62">
            <v>105090</v>
          </cell>
          <cell r="EB62">
            <v>0</v>
          </cell>
          <cell r="EC62">
            <v>0</v>
          </cell>
          <cell r="ED62">
            <v>0</v>
          </cell>
          <cell r="EE62">
            <v>91515</v>
          </cell>
          <cell r="EF62">
            <v>946205</v>
          </cell>
          <cell r="EG62">
            <v>418442</v>
          </cell>
          <cell r="EH62">
            <v>153191</v>
          </cell>
          <cell r="EI62">
            <v>571633</v>
          </cell>
          <cell r="EJ62">
            <v>48000</v>
          </cell>
          <cell r="EK62">
            <v>12000</v>
          </cell>
          <cell r="EL62">
            <v>10000</v>
          </cell>
          <cell r="EM62">
            <v>70000</v>
          </cell>
          <cell r="EN62">
            <v>284000</v>
          </cell>
          <cell r="EO62">
            <v>925633</v>
          </cell>
          <cell r="EP62">
            <v>20572</v>
          </cell>
          <cell r="EQ62">
            <v>2.1700000000000001E-2</v>
          </cell>
          <cell r="ER62">
            <v>0</v>
          </cell>
          <cell r="ES62">
            <v>0</v>
          </cell>
          <cell r="ET62">
            <v>0</v>
          </cell>
          <cell r="EU62">
            <v>0</v>
          </cell>
          <cell r="EV62">
            <v>0</v>
          </cell>
          <cell r="EW62">
            <v>0</v>
          </cell>
          <cell r="EX62">
            <v>8890</v>
          </cell>
          <cell r="EY62">
            <v>175562</v>
          </cell>
          <cell r="EZ62">
            <v>19247</v>
          </cell>
          <cell r="FA62">
            <v>3313</v>
          </cell>
          <cell r="FB62">
            <v>13139</v>
          </cell>
          <cell r="FC62">
            <v>35495</v>
          </cell>
          <cell r="FD62">
            <v>146</v>
          </cell>
          <cell r="FE62">
            <v>13770</v>
          </cell>
          <cell r="FF62">
            <v>54742</v>
          </cell>
          <cell r="FG62">
            <v>3459</v>
          </cell>
          <cell r="FH62">
            <v>26909</v>
          </cell>
          <cell r="FI62">
            <v>85110</v>
          </cell>
          <cell r="FJ62">
            <v>0</v>
          </cell>
          <cell r="FK62">
            <v>31</v>
          </cell>
          <cell r="FM62">
            <v>85110</v>
          </cell>
          <cell r="FN62">
            <v>2281</v>
          </cell>
          <cell r="FO62">
            <v>1350</v>
          </cell>
          <cell r="FP62">
            <v>52</v>
          </cell>
          <cell r="FQ62">
            <v>7</v>
          </cell>
          <cell r="FR62">
            <v>88</v>
          </cell>
          <cell r="FS62">
            <v>95</v>
          </cell>
          <cell r="FT62">
            <v>44141</v>
          </cell>
          <cell r="FU62">
            <v>3505</v>
          </cell>
          <cell r="FV62">
            <v>0</v>
          </cell>
          <cell r="FW62">
            <v>0</v>
          </cell>
          <cell r="FX62">
            <v>8544</v>
          </cell>
          <cell r="FY62">
            <v>1573</v>
          </cell>
          <cell r="FZ62">
            <v>322</v>
          </cell>
          <cell r="GA62">
            <v>0</v>
          </cell>
          <cell r="GB62">
            <v>26436</v>
          </cell>
          <cell r="GC62">
            <v>1747</v>
          </cell>
          <cell r="GD62">
            <v>278</v>
          </cell>
          <cell r="GE62">
            <v>0</v>
          </cell>
          <cell r="GJ62">
            <v>75</v>
          </cell>
          <cell r="GK62">
            <v>7</v>
          </cell>
          <cell r="GL62">
            <v>0</v>
          </cell>
          <cell r="GM62">
            <v>15</v>
          </cell>
          <cell r="GN62">
            <v>79196</v>
          </cell>
          <cell r="GO62">
            <v>6832</v>
          </cell>
          <cell r="GP62">
            <v>600</v>
          </cell>
          <cell r="GQ62">
            <v>15</v>
          </cell>
          <cell r="GR62">
            <v>11</v>
          </cell>
          <cell r="GT62">
            <v>21849</v>
          </cell>
          <cell r="GU62">
            <v>4208</v>
          </cell>
          <cell r="GV62">
            <v>28357</v>
          </cell>
          <cell r="GW62">
            <v>8275</v>
          </cell>
          <cell r="GX62">
            <v>47</v>
          </cell>
          <cell r="GY62">
            <v>5847</v>
          </cell>
          <cell r="GZ62">
            <v>30124</v>
          </cell>
          <cell r="HA62">
            <v>4255</v>
          </cell>
          <cell r="HB62">
            <v>34204</v>
          </cell>
          <cell r="HC62">
            <v>68583</v>
          </cell>
          <cell r="HD62">
            <v>672</v>
          </cell>
          <cell r="HE62">
            <v>69255</v>
          </cell>
          <cell r="HF62">
            <v>3394</v>
          </cell>
          <cell r="HG62">
            <v>3184</v>
          </cell>
          <cell r="HJ62">
            <v>6578</v>
          </cell>
          <cell r="HK62">
            <v>75833</v>
          </cell>
          <cell r="HL62">
            <v>150</v>
          </cell>
          <cell r="HM62">
            <v>3973</v>
          </cell>
          <cell r="HN62">
            <v>4123</v>
          </cell>
          <cell r="HO62">
            <v>17</v>
          </cell>
          <cell r="HP62">
            <v>730</v>
          </cell>
          <cell r="HQ62">
            <v>747</v>
          </cell>
          <cell r="HR62">
            <v>0</v>
          </cell>
          <cell r="HS62">
            <v>14</v>
          </cell>
          <cell r="HT62">
            <v>14</v>
          </cell>
          <cell r="HU62">
            <v>33</v>
          </cell>
          <cell r="HV62">
            <v>4917</v>
          </cell>
          <cell r="HW62">
            <v>8834</v>
          </cell>
          <cell r="HY62">
            <v>8834</v>
          </cell>
          <cell r="HZ62">
            <v>13751</v>
          </cell>
          <cell r="IA62">
            <v>4141</v>
          </cell>
          <cell r="IB62">
            <v>7339</v>
          </cell>
          <cell r="IC62">
            <v>80750</v>
          </cell>
          <cell r="ID62">
            <v>80750</v>
          </cell>
          <cell r="IE62">
            <v>89584</v>
          </cell>
          <cell r="IF62">
            <v>38902</v>
          </cell>
          <cell r="IG62">
            <v>668</v>
          </cell>
          <cell r="IJ62">
            <v>1</v>
          </cell>
          <cell r="IK62">
            <v>1.11E-2</v>
          </cell>
          <cell r="IL62">
            <v>2.0000000000000001E-4</v>
          </cell>
          <cell r="IM62">
            <v>0.49349999999999999</v>
          </cell>
          <cell r="IN62">
            <v>0</v>
          </cell>
          <cell r="IO62">
            <v>0.4511</v>
          </cell>
          <cell r="IP62">
            <v>5.0000000000000001E-4</v>
          </cell>
          <cell r="IQ62">
            <v>0.48480000000000001</v>
          </cell>
          <cell r="IR62">
            <v>5.1900000000000002E-2</v>
          </cell>
          <cell r="IS62">
            <v>0.48180000000000001</v>
          </cell>
          <cell r="IT62">
            <v>28727</v>
          </cell>
          <cell r="IU62">
            <v>3936</v>
          </cell>
          <cell r="IV62">
            <v>32663</v>
          </cell>
          <cell r="IW62">
            <v>0.72430000000000005</v>
          </cell>
          <cell r="IX62">
            <v>178000</v>
          </cell>
          <cell r="IZ62">
            <v>30</v>
          </cell>
          <cell r="JA62">
            <v>40</v>
          </cell>
          <cell r="JB62">
            <v>100</v>
          </cell>
          <cell r="JC62">
            <v>0</v>
          </cell>
          <cell r="JD62">
            <v>0</v>
          </cell>
          <cell r="JE62">
            <v>0</v>
          </cell>
          <cell r="JF62">
            <v>30</v>
          </cell>
          <cell r="JG62">
            <v>40</v>
          </cell>
          <cell r="JH62">
            <v>100</v>
          </cell>
          <cell r="JI62">
            <v>170</v>
          </cell>
          <cell r="JJ62">
            <v>170</v>
          </cell>
          <cell r="JK62">
            <v>0</v>
          </cell>
          <cell r="JL62">
            <v>900</v>
          </cell>
          <cell r="JM62">
            <v>150</v>
          </cell>
          <cell r="JN62">
            <v>2150</v>
          </cell>
          <cell r="JO62">
            <v>0</v>
          </cell>
          <cell r="JP62">
            <v>0</v>
          </cell>
          <cell r="JQ62">
            <v>0</v>
          </cell>
          <cell r="JR62">
            <v>900</v>
          </cell>
          <cell r="JS62">
            <v>150</v>
          </cell>
          <cell r="JT62">
            <v>2150</v>
          </cell>
          <cell r="JU62">
            <v>3200</v>
          </cell>
          <cell r="JV62">
            <v>3200</v>
          </cell>
          <cell r="JW62">
            <v>0</v>
          </cell>
          <cell r="JX62">
            <v>18.82</v>
          </cell>
          <cell r="JY62">
            <v>30</v>
          </cell>
          <cell r="JZ62">
            <v>21.5</v>
          </cell>
          <cell r="KA62">
            <v>0.28000000000000003</v>
          </cell>
          <cell r="KB62">
            <v>0.67</v>
          </cell>
          <cell r="KC62">
            <v>5</v>
          </cell>
          <cell r="KD62">
            <v>30</v>
          </cell>
          <cell r="KE62">
            <v>31</v>
          </cell>
          <cell r="KF62">
            <v>31</v>
          </cell>
          <cell r="KM62">
            <v>15650</v>
          </cell>
          <cell r="KN62">
            <v>11600</v>
          </cell>
          <cell r="KO62">
            <v>890</v>
          </cell>
          <cell r="KQ62">
            <v>211</v>
          </cell>
          <cell r="KR62">
            <v>7500</v>
          </cell>
          <cell r="KS62">
            <v>83</v>
          </cell>
          <cell r="KT62">
            <v>156</v>
          </cell>
          <cell r="KU62">
            <v>21</v>
          </cell>
          <cell r="KV62">
            <v>35</v>
          </cell>
          <cell r="KW62">
            <v>38500</v>
          </cell>
          <cell r="KY62">
            <v>105365</v>
          </cell>
          <cell r="LC62" t="str">
            <v>PERRY MEMORIAL LIBRARY</v>
          </cell>
          <cell r="LD62" t="str">
            <v>City Owned</v>
          </cell>
          <cell r="LE62" t="str">
            <v>205 BRECKENRIDGE ST</v>
          </cell>
          <cell r="LF62" t="str">
            <v>HENDERSON</v>
          </cell>
          <cell r="LG62">
            <v>27536</v>
          </cell>
          <cell r="LH62">
            <v>4211</v>
          </cell>
          <cell r="LI62" t="str">
            <v>205 BRECKENRIDGE ST</v>
          </cell>
          <cell r="LJ62" t="str">
            <v>HENDERSON</v>
          </cell>
          <cell r="LK62">
            <v>27536</v>
          </cell>
          <cell r="LL62">
            <v>4211</v>
          </cell>
          <cell r="LM62" t="str">
            <v>VANCE</v>
          </cell>
          <cell r="LN62">
            <v>2524383316</v>
          </cell>
          <cell r="LO62">
            <v>2524383744</v>
          </cell>
          <cell r="LP62">
            <v>38000</v>
          </cell>
          <cell r="LQ62">
            <v>15</v>
          </cell>
          <cell r="LS62">
            <v>2500</v>
          </cell>
          <cell r="LT62">
            <v>52</v>
          </cell>
          <cell r="LW62">
            <v>2</v>
          </cell>
          <cell r="LX62" t="str">
            <v>C-VANCE-H</v>
          </cell>
          <cell r="LY62">
            <v>0</v>
          </cell>
          <cell r="LZ62" t="str">
            <v>CE</v>
          </cell>
          <cell r="MA62">
            <v>6.1</v>
          </cell>
          <cell r="MB62">
            <v>60.5</v>
          </cell>
        </row>
        <row r="63">
          <cell r="A63" t="str">
            <v>NC0109</v>
          </cell>
          <cell r="B63">
            <v>0</v>
          </cell>
          <cell r="C63">
            <v>1375</v>
          </cell>
          <cell r="D63">
            <v>2017</v>
          </cell>
          <cell r="E63">
            <v>0</v>
          </cell>
          <cell r="F63" t="str">
            <v>NC0109</v>
          </cell>
          <cell r="G63" t="str">
            <v>C-PERSON</v>
          </cell>
          <cell r="H63" t="str">
            <v>NO</v>
          </cell>
          <cell r="I63" t="str">
            <v>CC</v>
          </cell>
          <cell r="J63" t="str">
            <v>SO</v>
          </cell>
          <cell r="K63" t="str">
            <v>Y</v>
          </cell>
          <cell r="L63" t="str">
            <v>CO1</v>
          </cell>
          <cell r="M63" t="str">
            <v>N</v>
          </cell>
          <cell r="N63">
            <v>39132</v>
          </cell>
          <cell r="O63" t="str">
            <v>Yes</v>
          </cell>
          <cell r="P63">
            <v>217</v>
          </cell>
          <cell r="Q63">
            <v>31</v>
          </cell>
          <cell r="R63">
            <v>37</v>
          </cell>
          <cell r="S63">
            <v>4</v>
          </cell>
          <cell r="T63">
            <v>992</v>
          </cell>
          <cell r="U63">
            <v>11</v>
          </cell>
          <cell r="V63">
            <v>18645</v>
          </cell>
          <cell r="W63">
            <v>864</v>
          </cell>
          <cell r="X63">
            <v>420440</v>
          </cell>
          <cell r="Y63">
            <v>63480</v>
          </cell>
          <cell r="Z63" t="str">
            <v>319 S MAIN ST</v>
          </cell>
          <cell r="AA63" t="str">
            <v>ROXBORO</v>
          </cell>
          <cell r="AB63">
            <v>27573</v>
          </cell>
          <cell r="AD63" t="str">
            <v>319 S MAIN ST</v>
          </cell>
          <cell r="AE63" t="str">
            <v>ROXBORO</v>
          </cell>
          <cell r="AF63">
            <v>27573</v>
          </cell>
          <cell r="AG63">
            <v>1</v>
          </cell>
          <cell r="AH63" t="str">
            <v>PERSON COUNTY PUBLIC LIBRARY</v>
          </cell>
          <cell r="AJ63" t="str">
            <v>County</v>
          </cell>
          <cell r="AK63" t="str">
            <v>PERSON</v>
          </cell>
          <cell r="AL63" t="str">
            <v>Christy M Bondy</v>
          </cell>
          <cell r="AM63" t="str">
            <v>(336) 597-7881</v>
          </cell>
          <cell r="AN63" t="str">
            <v>(336) 597-5081</v>
          </cell>
          <cell r="AO63" t="str">
            <v>cbondy@personcounty.net</v>
          </cell>
          <cell r="AP63" t="str">
            <v>Christy Bondy</v>
          </cell>
          <cell r="AQ63" t="str">
            <v>Library Director</v>
          </cell>
          <cell r="AR63" t="str">
            <v>(336) 597-7881</v>
          </cell>
          <cell r="AS63" t="str">
            <v>(336) 597-5081</v>
          </cell>
          <cell r="AT63" t="str">
            <v>cbondy@personcounty.net</v>
          </cell>
          <cell r="AU63" t="str">
            <v>www.personcounty.net/index.aspx?page=176</v>
          </cell>
          <cell r="BC63">
            <v>1</v>
          </cell>
          <cell r="BD63">
            <v>0</v>
          </cell>
          <cell r="BE63">
            <v>0</v>
          </cell>
          <cell r="BF63">
            <v>1</v>
          </cell>
          <cell r="BG63">
            <v>2</v>
          </cell>
          <cell r="BI63">
            <v>3020</v>
          </cell>
          <cell r="BJ63">
            <v>4</v>
          </cell>
          <cell r="BK63">
            <v>0</v>
          </cell>
          <cell r="BL63">
            <v>4</v>
          </cell>
          <cell r="BM63">
            <v>3</v>
          </cell>
          <cell r="BN63">
            <v>7</v>
          </cell>
          <cell r="BO63">
            <v>0.57140000000000002</v>
          </cell>
          <cell r="BP63">
            <v>561</v>
          </cell>
          <cell r="BQ63">
            <v>61169</v>
          </cell>
          <cell r="BT63">
            <v>42221</v>
          </cell>
          <cell r="CR63">
            <v>36045</v>
          </cell>
          <cell r="CS63">
            <v>55869</v>
          </cell>
          <cell r="CT63">
            <v>40017</v>
          </cell>
          <cell r="CV63">
            <v>36045</v>
          </cell>
          <cell r="CW63">
            <v>55869</v>
          </cell>
          <cell r="CX63">
            <v>40017</v>
          </cell>
          <cell r="CZ63">
            <v>30966</v>
          </cell>
          <cell r="DA63">
            <v>45708</v>
          </cell>
          <cell r="DB63">
            <v>35170</v>
          </cell>
          <cell r="DH63">
            <v>29738</v>
          </cell>
          <cell r="DI63">
            <v>43895</v>
          </cell>
          <cell r="DJ63">
            <v>32204</v>
          </cell>
          <cell r="DK63">
            <v>27437</v>
          </cell>
          <cell r="DL63">
            <v>40502</v>
          </cell>
          <cell r="DM63">
            <v>27991</v>
          </cell>
          <cell r="DV63">
            <v>0</v>
          </cell>
          <cell r="DW63">
            <v>437419</v>
          </cell>
          <cell r="DX63">
            <v>437419</v>
          </cell>
          <cell r="DY63">
            <v>95881</v>
          </cell>
          <cell r="DZ63">
            <v>0</v>
          </cell>
          <cell r="EA63">
            <v>95881</v>
          </cell>
          <cell r="EB63">
            <v>0</v>
          </cell>
          <cell r="EC63">
            <v>0</v>
          </cell>
          <cell r="ED63">
            <v>0</v>
          </cell>
          <cell r="EE63">
            <v>0</v>
          </cell>
          <cell r="EF63">
            <v>533300</v>
          </cell>
          <cell r="EG63">
            <v>302276</v>
          </cell>
          <cell r="EH63">
            <v>117954</v>
          </cell>
          <cell r="EI63">
            <v>420230</v>
          </cell>
          <cell r="EJ63">
            <v>72594</v>
          </cell>
          <cell r="EK63">
            <v>7800</v>
          </cell>
          <cell r="EL63">
            <v>1777</v>
          </cell>
          <cell r="EM63">
            <v>82171</v>
          </cell>
          <cell r="EN63">
            <v>45156</v>
          </cell>
          <cell r="EO63">
            <v>547557</v>
          </cell>
          <cell r="EP63">
            <v>-14257</v>
          </cell>
          <cell r="EQ63">
            <v>-2.6700000000000002E-2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14306</v>
          </cell>
          <cell r="EY63">
            <v>165148</v>
          </cell>
          <cell r="EZ63">
            <v>24978</v>
          </cell>
          <cell r="FA63">
            <v>2541</v>
          </cell>
          <cell r="FB63">
            <v>18969</v>
          </cell>
          <cell r="FC63">
            <v>12459</v>
          </cell>
          <cell r="FD63">
            <v>688</v>
          </cell>
          <cell r="FE63">
            <v>8400</v>
          </cell>
          <cell r="FF63">
            <v>37437</v>
          </cell>
          <cell r="FG63">
            <v>3229</v>
          </cell>
          <cell r="FH63">
            <v>27369</v>
          </cell>
          <cell r="FI63">
            <v>68035</v>
          </cell>
          <cell r="FJ63">
            <v>86</v>
          </cell>
          <cell r="FK63">
            <v>99</v>
          </cell>
          <cell r="FM63">
            <v>68035</v>
          </cell>
          <cell r="FN63">
            <v>2861</v>
          </cell>
          <cell r="FO63">
            <v>1843</v>
          </cell>
          <cell r="FP63">
            <v>1100</v>
          </cell>
          <cell r="FQ63">
            <v>8</v>
          </cell>
          <cell r="FR63">
            <v>88</v>
          </cell>
          <cell r="FS63">
            <v>96</v>
          </cell>
          <cell r="FT63">
            <v>44141</v>
          </cell>
          <cell r="FU63">
            <v>3505</v>
          </cell>
          <cell r="FV63">
            <v>0</v>
          </cell>
          <cell r="FW63">
            <v>0</v>
          </cell>
          <cell r="FX63">
            <v>8544</v>
          </cell>
          <cell r="FY63">
            <v>1573</v>
          </cell>
          <cell r="FZ63">
            <v>322</v>
          </cell>
          <cell r="GA63">
            <v>0</v>
          </cell>
          <cell r="GB63">
            <v>26436</v>
          </cell>
          <cell r="GC63">
            <v>1747</v>
          </cell>
          <cell r="GD63">
            <v>278</v>
          </cell>
          <cell r="GE63">
            <v>0</v>
          </cell>
          <cell r="GJ63">
            <v>82</v>
          </cell>
          <cell r="GK63">
            <v>4350</v>
          </cell>
          <cell r="GL63">
            <v>0</v>
          </cell>
          <cell r="GM63">
            <v>50</v>
          </cell>
          <cell r="GN63">
            <v>79203</v>
          </cell>
          <cell r="GO63">
            <v>11175</v>
          </cell>
          <cell r="GP63">
            <v>600</v>
          </cell>
          <cell r="GQ63">
            <v>50</v>
          </cell>
          <cell r="GR63">
            <v>22</v>
          </cell>
          <cell r="GT63">
            <v>41570</v>
          </cell>
          <cell r="GU63">
            <v>2573</v>
          </cell>
          <cell r="GV63">
            <v>65610</v>
          </cell>
          <cell r="GW63">
            <v>7406</v>
          </cell>
          <cell r="GX63">
            <v>464</v>
          </cell>
          <cell r="GY63">
            <v>13353</v>
          </cell>
          <cell r="GZ63">
            <v>48976</v>
          </cell>
          <cell r="HA63">
            <v>3037</v>
          </cell>
          <cell r="HB63">
            <v>78963</v>
          </cell>
          <cell r="HC63">
            <v>130976</v>
          </cell>
          <cell r="HD63">
            <v>3626</v>
          </cell>
          <cell r="HE63">
            <v>139771</v>
          </cell>
          <cell r="HF63">
            <v>4338</v>
          </cell>
          <cell r="HG63">
            <v>10345</v>
          </cell>
          <cell r="HH63">
            <v>5169</v>
          </cell>
          <cell r="HI63">
            <v>28348</v>
          </cell>
          <cell r="HJ63">
            <v>43031</v>
          </cell>
          <cell r="HK63">
            <v>182802</v>
          </cell>
          <cell r="HL63">
            <v>24</v>
          </cell>
          <cell r="HM63">
            <v>6666</v>
          </cell>
          <cell r="HN63">
            <v>6690</v>
          </cell>
          <cell r="HO63">
            <v>161</v>
          </cell>
          <cell r="HP63">
            <v>1321</v>
          </cell>
          <cell r="HQ63">
            <v>1482</v>
          </cell>
          <cell r="HR63">
            <v>0</v>
          </cell>
          <cell r="HS63">
            <v>13</v>
          </cell>
          <cell r="HT63">
            <v>13</v>
          </cell>
          <cell r="HU63">
            <v>183</v>
          </cell>
          <cell r="HV63">
            <v>8368</v>
          </cell>
          <cell r="HW63">
            <v>993</v>
          </cell>
          <cell r="HX63">
            <v>0</v>
          </cell>
          <cell r="HY63">
            <v>993</v>
          </cell>
          <cell r="HZ63">
            <v>9361</v>
          </cell>
          <cell r="IA63">
            <v>5820</v>
          </cell>
          <cell r="IB63">
            <v>16178</v>
          </cell>
          <cell r="IC63">
            <v>191170</v>
          </cell>
          <cell r="ID63">
            <v>191170</v>
          </cell>
          <cell r="IE63">
            <v>192163</v>
          </cell>
          <cell r="IF63">
            <v>83099</v>
          </cell>
          <cell r="IG63">
            <v>14</v>
          </cell>
          <cell r="IJ63">
            <v>1</v>
          </cell>
          <cell r="IK63">
            <v>1.4800000000000001E-2</v>
          </cell>
          <cell r="IL63">
            <v>5.9999999999999995E-4</v>
          </cell>
          <cell r="IM63">
            <v>0.55120000000000002</v>
          </cell>
          <cell r="IN63">
            <v>0</v>
          </cell>
          <cell r="IO63">
            <v>0.47960000000000003</v>
          </cell>
          <cell r="IP63">
            <v>5.9999999999999995E-4</v>
          </cell>
          <cell r="IQ63">
            <v>0.41199999999999998</v>
          </cell>
          <cell r="IR63">
            <v>8.5000000000000006E-2</v>
          </cell>
          <cell r="IS63">
            <v>0.43469999999999998</v>
          </cell>
          <cell r="IT63">
            <v>25639</v>
          </cell>
          <cell r="IU63">
            <v>7194</v>
          </cell>
          <cell r="IV63">
            <v>32833</v>
          </cell>
          <cell r="IW63">
            <v>0.83899999999999997</v>
          </cell>
          <cell r="IX63">
            <v>107341</v>
          </cell>
          <cell r="IZ63">
            <v>116</v>
          </cell>
          <cell r="JA63">
            <v>20</v>
          </cell>
          <cell r="JB63">
            <v>122</v>
          </cell>
          <cell r="JC63">
            <v>40</v>
          </cell>
          <cell r="JD63">
            <v>3</v>
          </cell>
          <cell r="JE63">
            <v>105</v>
          </cell>
          <cell r="JF63">
            <v>156</v>
          </cell>
          <cell r="JG63">
            <v>23</v>
          </cell>
          <cell r="JH63">
            <v>227</v>
          </cell>
          <cell r="JI63">
            <v>406</v>
          </cell>
          <cell r="JJ63">
            <v>258</v>
          </cell>
          <cell r="JK63">
            <v>148</v>
          </cell>
          <cell r="JL63">
            <v>743</v>
          </cell>
          <cell r="JM63">
            <v>142</v>
          </cell>
          <cell r="JN63">
            <v>2718</v>
          </cell>
          <cell r="JO63">
            <v>1221</v>
          </cell>
          <cell r="JP63">
            <v>96</v>
          </cell>
          <cell r="JQ63">
            <v>2838</v>
          </cell>
          <cell r="JR63">
            <v>1964</v>
          </cell>
          <cell r="JS63">
            <v>238</v>
          </cell>
          <cell r="JT63">
            <v>5556</v>
          </cell>
          <cell r="JU63">
            <v>7758</v>
          </cell>
          <cell r="JV63">
            <v>3603</v>
          </cell>
          <cell r="JW63">
            <v>4155</v>
          </cell>
          <cell r="JX63">
            <v>19.11</v>
          </cell>
          <cell r="JY63">
            <v>12.59</v>
          </cell>
          <cell r="JZ63">
            <v>24.48</v>
          </cell>
          <cell r="KA63">
            <v>0.25</v>
          </cell>
          <cell r="KB63">
            <v>0.72</v>
          </cell>
          <cell r="KC63">
            <v>1</v>
          </cell>
          <cell r="KD63">
            <v>1</v>
          </cell>
          <cell r="KE63">
            <v>41</v>
          </cell>
          <cell r="KF63">
            <v>170</v>
          </cell>
          <cell r="KG63">
            <v>243</v>
          </cell>
          <cell r="KH63">
            <v>5814</v>
          </cell>
          <cell r="KI63">
            <v>1</v>
          </cell>
          <cell r="KJ63">
            <v>3</v>
          </cell>
          <cell r="KK63">
            <v>7</v>
          </cell>
          <cell r="KL63">
            <v>258</v>
          </cell>
          <cell r="KM63">
            <v>8341</v>
          </cell>
          <cell r="KN63">
            <v>2346</v>
          </cell>
          <cell r="KO63">
            <v>323</v>
          </cell>
          <cell r="KQ63">
            <v>274</v>
          </cell>
          <cell r="KR63">
            <v>3359</v>
          </cell>
          <cell r="KS63">
            <v>8</v>
          </cell>
          <cell r="KT63">
            <v>74</v>
          </cell>
          <cell r="KU63">
            <v>10</v>
          </cell>
          <cell r="KV63">
            <v>13</v>
          </cell>
          <cell r="KW63">
            <v>15463</v>
          </cell>
          <cell r="KY63">
            <v>15212</v>
          </cell>
          <cell r="KZ63">
            <v>8696</v>
          </cell>
          <cell r="LC63" t="str">
            <v>PERSON COUNTY PUBLIC LIBRARY</v>
          </cell>
          <cell r="LD63" t="str">
            <v>County Owned</v>
          </cell>
          <cell r="LE63" t="str">
            <v>319 S. MAIN STREET</v>
          </cell>
          <cell r="LF63" t="str">
            <v>ROXBORO</v>
          </cell>
          <cell r="LG63">
            <v>27573</v>
          </cell>
          <cell r="LH63">
            <v>5525</v>
          </cell>
          <cell r="LI63" t="str">
            <v>319 S MAIN ST</v>
          </cell>
          <cell r="LJ63" t="str">
            <v>ROXBORO</v>
          </cell>
          <cell r="LK63">
            <v>27573</v>
          </cell>
          <cell r="LL63">
            <v>5525</v>
          </cell>
          <cell r="LM63" t="str">
            <v>PERSON</v>
          </cell>
          <cell r="LN63">
            <v>3365977881</v>
          </cell>
          <cell r="LO63">
            <v>3365975081</v>
          </cell>
          <cell r="LP63">
            <v>12700</v>
          </cell>
          <cell r="LQ63">
            <v>7</v>
          </cell>
          <cell r="LS63">
            <v>3020</v>
          </cell>
          <cell r="LT63">
            <v>52</v>
          </cell>
          <cell r="LW63">
            <v>1</v>
          </cell>
          <cell r="LX63" t="str">
            <v>C-PERSON-P</v>
          </cell>
          <cell r="LY63">
            <v>0</v>
          </cell>
          <cell r="LZ63" t="str">
            <v>CE</v>
          </cell>
          <cell r="MA63">
            <v>929.4</v>
          </cell>
          <cell r="MB63">
            <v>380.44</v>
          </cell>
        </row>
        <row r="64">
          <cell r="A64" t="str">
            <v>NC0014</v>
          </cell>
          <cell r="B64">
            <v>0</v>
          </cell>
          <cell r="C64">
            <v>1375</v>
          </cell>
          <cell r="D64">
            <v>2017</v>
          </cell>
          <cell r="E64">
            <v>0</v>
          </cell>
          <cell r="F64" t="str">
            <v>NC0014</v>
          </cell>
          <cell r="G64" t="str">
            <v>R-PETTIGREW</v>
          </cell>
          <cell r="H64" t="str">
            <v>NO</v>
          </cell>
          <cell r="I64" t="str">
            <v>MJ</v>
          </cell>
          <cell r="J64" t="str">
            <v>MA</v>
          </cell>
          <cell r="K64" t="str">
            <v>Y</v>
          </cell>
          <cell r="L64" t="str">
            <v>MC1</v>
          </cell>
          <cell r="M64" t="str">
            <v>N</v>
          </cell>
          <cell r="N64">
            <v>44995</v>
          </cell>
          <cell r="O64" t="str">
            <v>Yes</v>
          </cell>
          <cell r="P64">
            <v>251</v>
          </cell>
          <cell r="Q64">
            <v>47</v>
          </cell>
          <cell r="R64">
            <v>74</v>
          </cell>
          <cell r="S64">
            <v>39</v>
          </cell>
          <cell r="T64">
            <v>1981</v>
          </cell>
          <cell r="U64">
            <v>479</v>
          </cell>
          <cell r="V64">
            <v>6551</v>
          </cell>
          <cell r="W64">
            <v>234</v>
          </cell>
          <cell r="X64">
            <v>2207</v>
          </cell>
          <cell r="Y64">
            <v>12655</v>
          </cell>
          <cell r="Z64" t="str">
            <v>201 E THIRD ST</v>
          </cell>
          <cell r="AA64" t="str">
            <v>PLYMOUTH</v>
          </cell>
          <cell r="AB64">
            <v>27962</v>
          </cell>
          <cell r="AC64">
            <v>906</v>
          </cell>
          <cell r="AD64" t="str">
            <v>201 E THIRD ST</v>
          </cell>
          <cell r="AE64" t="str">
            <v>PLYMOUTH</v>
          </cell>
          <cell r="AF64">
            <v>27962</v>
          </cell>
          <cell r="AG64">
            <v>1</v>
          </cell>
          <cell r="AH64" t="str">
            <v>PETTIGREW REGIONAL LIBRARY</v>
          </cell>
          <cell r="AJ64" t="str">
            <v>Regional</v>
          </cell>
          <cell r="AK64" t="str">
            <v>CHOWAN, PERQUIMANS,</v>
          </cell>
          <cell r="AL64" t="str">
            <v>Judi Bugniazet</v>
          </cell>
          <cell r="AM64" t="str">
            <v>(252) 793-2875</v>
          </cell>
          <cell r="AN64" t="str">
            <v>(252) 793-2818</v>
          </cell>
          <cell r="AO64" t="str">
            <v>jbugniazet@pettigrewlibraries.org</v>
          </cell>
          <cell r="AP64" t="str">
            <v>Judi Bugniazet</v>
          </cell>
          <cell r="AQ64" t="str">
            <v>Director</v>
          </cell>
          <cell r="AR64" t="str">
            <v>(252) 793-2875</v>
          </cell>
          <cell r="AS64" t="str">
            <v>(252) 793-2818</v>
          </cell>
          <cell r="AT64" t="str">
            <v>jbugniazet@pettigrewlibraries.org</v>
          </cell>
          <cell r="AU64" t="str">
            <v>www.pettigrewlibraries.org</v>
          </cell>
          <cell r="BC64">
            <v>0</v>
          </cell>
          <cell r="BD64">
            <v>4</v>
          </cell>
          <cell r="BE64">
            <v>0</v>
          </cell>
          <cell r="BF64">
            <v>1</v>
          </cell>
          <cell r="BG64">
            <v>5</v>
          </cell>
          <cell r="BI64">
            <v>9334</v>
          </cell>
          <cell r="BJ64">
            <v>3.5</v>
          </cell>
          <cell r="BK64">
            <v>0.88</v>
          </cell>
          <cell r="BL64">
            <v>4.38</v>
          </cell>
          <cell r="BM64">
            <v>3.94</v>
          </cell>
          <cell r="BN64">
            <v>8.32</v>
          </cell>
          <cell r="BO64">
            <v>0.42070000000000002</v>
          </cell>
          <cell r="BP64">
            <v>169</v>
          </cell>
          <cell r="BQ64">
            <v>61228</v>
          </cell>
          <cell r="BU64">
            <v>39269</v>
          </cell>
          <cell r="BV64">
            <v>45459</v>
          </cell>
          <cell r="BW64">
            <v>42829</v>
          </cell>
          <cell r="DO64">
            <v>25753</v>
          </cell>
          <cell r="DP64">
            <v>29994</v>
          </cell>
          <cell r="DQ64">
            <v>27494</v>
          </cell>
          <cell r="DV64">
            <v>0</v>
          </cell>
          <cell r="DW64">
            <v>651065</v>
          </cell>
          <cell r="DX64">
            <v>651065</v>
          </cell>
          <cell r="DY64">
            <v>354816</v>
          </cell>
          <cell r="DZ64">
            <v>0</v>
          </cell>
          <cell r="EA64">
            <v>354816</v>
          </cell>
          <cell r="EB64">
            <v>34008</v>
          </cell>
          <cell r="EC64">
            <v>0</v>
          </cell>
          <cell r="ED64">
            <v>34008</v>
          </cell>
          <cell r="EE64">
            <v>95674</v>
          </cell>
          <cell r="EF64">
            <v>1135563</v>
          </cell>
          <cell r="EG64">
            <v>617920</v>
          </cell>
          <cell r="EH64">
            <v>162231</v>
          </cell>
          <cell r="EI64">
            <v>780151</v>
          </cell>
          <cell r="EJ64">
            <v>70223</v>
          </cell>
          <cell r="EK64">
            <v>1156</v>
          </cell>
          <cell r="EL64">
            <v>8701</v>
          </cell>
          <cell r="EM64">
            <v>80080</v>
          </cell>
          <cell r="EN64">
            <v>257445</v>
          </cell>
          <cell r="EO64">
            <v>1117676</v>
          </cell>
          <cell r="EP64">
            <v>17887</v>
          </cell>
          <cell r="EQ64">
            <v>1.5800000000000002E-2</v>
          </cell>
          <cell r="ER64">
            <v>0</v>
          </cell>
          <cell r="ES64">
            <v>0</v>
          </cell>
          <cell r="ET64">
            <v>0</v>
          </cell>
          <cell r="EU64">
            <v>0</v>
          </cell>
          <cell r="EV64">
            <v>0</v>
          </cell>
          <cell r="EW64">
            <v>0</v>
          </cell>
          <cell r="EX64">
            <v>16340</v>
          </cell>
          <cell r="EY64">
            <v>221482</v>
          </cell>
          <cell r="EZ64">
            <v>48606</v>
          </cell>
          <cell r="FA64">
            <v>4155</v>
          </cell>
          <cell r="FB64">
            <v>24740</v>
          </cell>
          <cell r="FC64">
            <v>32231</v>
          </cell>
          <cell r="FD64">
            <v>207</v>
          </cell>
          <cell r="FE64">
            <v>11913</v>
          </cell>
          <cell r="FF64">
            <v>80837</v>
          </cell>
          <cell r="FG64">
            <v>4362</v>
          </cell>
          <cell r="FH64">
            <v>36653</v>
          </cell>
          <cell r="FI64">
            <v>121852</v>
          </cell>
          <cell r="FJ64">
            <v>448</v>
          </cell>
          <cell r="FK64">
            <v>162</v>
          </cell>
          <cell r="FM64">
            <v>121852</v>
          </cell>
          <cell r="FN64">
            <v>6073</v>
          </cell>
          <cell r="FO64">
            <v>5015</v>
          </cell>
          <cell r="FP64">
            <v>1254</v>
          </cell>
          <cell r="FQ64">
            <v>2</v>
          </cell>
          <cell r="FR64">
            <v>88</v>
          </cell>
          <cell r="FS64">
            <v>90</v>
          </cell>
          <cell r="FT64">
            <v>44141</v>
          </cell>
          <cell r="FU64">
            <v>3505</v>
          </cell>
          <cell r="FV64">
            <v>0</v>
          </cell>
          <cell r="FW64">
            <v>0</v>
          </cell>
          <cell r="FX64">
            <v>8544</v>
          </cell>
          <cell r="FY64">
            <v>1573</v>
          </cell>
          <cell r="FZ64">
            <v>322</v>
          </cell>
          <cell r="GA64">
            <v>0</v>
          </cell>
          <cell r="GB64">
            <v>26436</v>
          </cell>
          <cell r="GC64">
            <v>1747</v>
          </cell>
          <cell r="GD64">
            <v>278</v>
          </cell>
          <cell r="GE64">
            <v>42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  <cell r="GN64">
            <v>79121</v>
          </cell>
          <cell r="GO64">
            <v>6825</v>
          </cell>
          <cell r="GP64">
            <v>600</v>
          </cell>
          <cell r="GQ64">
            <v>42</v>
          </cell>
          <cell r="GR64">
            <v>53</v>
          </cell>
          <cell r="GT64">
            <v>38467</v>
          </cell>
          <cell r="GU64">
            <v>3426</v>
          </cell>
          <cell r="GV64">
            <v>30705</v>
          </cell>
          <cell r="GW64">
            <v>8968</v>
          </cell>
          <cell r="GX64">
            <v>55</v>
          </cell>
          <cell r="GY64">
            <v>5489</v>
          </cell>
          <cell r="GZ64">
            <v>47435</v>
          </cell>
          <cell r="HA64">
            <v>3481</v>
          </cell>
          <cell r="HB64">
            <v>36194</v>
          </cell>
          <cell r="HC64">
            <v>87110</v>
          </cell>
          <cell r="HD64">
            <v>1514</v>
          </cell>
          <cell r="HE64">
            <v>89245</v>
          </cell>
          <cell r="HF64">
            <v>7073</v>
          </cell>
          <cell r="HG64">
            <v>25380</v>
          </cell>
          <cell r="HH64">
            <v>621</v>
          </cell>
          <cell r="HI64">
            <v>1328</v>
          </cell>
          <cell r="HJ64">
            <v>33781</v>
          </cell>
          <cell r="HK64">
            <v>123026</v>
          </cell>
          <cell r="HL64">
            <v>28</v>
          </cell>
          <cell r="HM64">
            <v>11498</v>
          </cell>
          <cell r="HN64">
            <v>11526</v>
          </cell>
          <cell r="HO64">
            <v>26</v>
          </cell>
          <cell r="HP64">
            <v>1707</v>
          </cell>
          <cell r="HQ64">
            <v>1733</v>
          </cell>
          <cell r="HR64">
            <v>0</v>
          </cell>
          <cell r="HS64">
            <v>83</v>
          </cell>
          <cell r="HT64">
            <v>83</v>
          </cell>
          <cell r="HU64">
            <v>0</v>
          </cell>
          <cell r="HV64">
            <v>13342</v>
          </cell>
          <cell r="HW64">
            <v>2833</v>
          </cell>
          <cell r="HX64">
            <v>0</v>
          </cell>
          <cell r="HY64">
            <v>2833</v>
          </cell>
          <cell r="HZ64">
            <v>16175</v>
          </cell>
          <cell r="IA64">
            <v>8806</v>
          </cell>
          <cell r="IB64">
            <v>34269</v>
          </cell>
          <cell r="IC64">
            <v>136368</v>
          </cell>
          <cell r="ID64">
            <v>136368</v>
          </cell>
          <cell r="IE64">
            <v>139201</v>
          </cell>
          <cell r="IF64">
            <v>39495</v>
          </cell>
          <cell r="IG64">
            <v>49</v>
          </cell>
          <cell r="IJ64">
            <v>1</v>
          </cell>
          <cell r="IK64">
            <v>2.5399999999999999E-2</v>
          </cell>
          <cell r="IL64">
            <v>6.9999999999999999E-4</v>
          </cell>
          <cell r="IM64">
            <v>0.39090000000000003</v>
          </cell>
          <cell r="IN64">
            <v>0</v>
          </cell>
          <cell r="IO64">
            <v>0.35720000000000002</v>
          </cell>
          <cell r="IP64">
            <v>4.0000000000000002E-4</v>
          </cell>
          <cell r="IQ64">
            <v>0.55020000000000002</v>
          </cell>
          <cell r="IR64">
            <v>5.8200000000000002E-2</v>
          </cell>
          <cell r="IS64">
            <v>0.28960000000000002</v>
          </cell>
          <cell r="IT64">
            <v>17645</v>
          </cell>
          <cell r="IU64">
            <v>5108</v>
          </cell>
          <cell r="IV64">
            <v>22753</v>
          </cell>
          <cell r="IW64">
            <v>0.50570000000000004</v>
          </cell>
          <cell r="IX64">
            <v>244464</v>
          </cell>
          <cell r="IZ64">
            <v>213</v>
          </cell>
          <cell r="JA64">
            <v>281</v>
          </cell>
          <cell r="JB64">
            <v>265</v>
          </cell>
          <cell r="JC64">
            <v>69</v>
          </cell>
          <cell r="JD64">
            <v>1</v>
          </cell>
          <cell r="JE64">
            <v>375</v>
          </cell>
          <cell r="JF64">
            <v>282</v>
          </cell>
          <cell r="JG64">
            <v>282</v>
          </cell>
          <cell r="JH64">
            <v>640</v>
          </cell>
          <cell r="JI64">
            <v>1204</v>
          </cell>
          <cell r="JJ64">
            <v>759</v>
          </cell>
          <cell r="JK64">
            <v>445</v>
          </cell>
          <cell r="JL64">
            <v>2167</v>
          </cell>
          <cell r="JM64">
            <v>157</v>
          </cell>
          <cell r="JN64">
            <v>5516</v>
          </cell>
          <cell r="JO64">
            <v>1561</v>
          </cell>
          <cell r="JP64">
            <v>28</v>
          </cell>
          <cell r="JQ64">
            <v>6768</v>
          </cell>
          <cell r="JR64">
            <v>3728</v>
          </cell>
          <cell r="JS64">
            <v>185</v>
          </cell>
          <cell r="JT64">
            <v>12284</v>
          </cell>
          <cell r="JU64">
            <v>16197</v>
          </cell>
          <cell r="JV64">
            <v>7840</v>
          </cell>
          <cell r="JW64">
            <v>8357</v>
          </cell>
          <cell r="JX64">
            <v>13.45</v>
          </cell>
          <cell r="JY64">
            <v>13.22</v>
          </cell>
          <cell r="JZ64">
            <v>19.190000000000001</v>
          </cell>
          <cell r="KA64">
            <v>0.23</v>
          </cell>
          <cell r="KB64">
            <v>0.76</v>
          </cell>
          <cell r="KC64">
            <v>2</v>
          </cell>
          <cell r="KD64">
            <v>55</v>
          </cell>
          <cell r="KE64">
            <v>13</v>
          </cell>
          <cell r="KF64">
            <v>170</v>
          </cell>
          <cell r="KG64">
            <v>22</v>
          </cell>
          <cell r="KH64">
            <v>488</v>
          </cell>
          <cell r="KI64">
            <v>0</v>
          </cell>
          <cell r="KJ64">
            <v>0</v>
          </cell>
          <cell r="KK64">
            <v>0</v>
          </cell>
          <cell r="KL64">
            <v>0</v>
          </cell>
          <cell r="KM64">
            <v>18391</v>
          </cell>
          <cell r="KN64">
            <v>6053</v>
          </cell>
          <cell r="KO64">
            <v>1392</v>
          </cell>
          <cell r="KQ64">
            <v>834</v>
          </cell>
          <cell r="KR64">
            <v>6914</v>
          </cell>
          <cell r="KS64">
            <v>40</v>
          </cell>
          <cell r="KT64">
            <v>124</v>
          </cell>
          <cell r="KU64">
            <v>30</v>
          </cell>
          <cell r="KV64">
            <v>55</v>
          </cell>
          <cell r="KW64">
            <v>41000</v>
          </cell>
          <cell r="KY64">
            <v>20594</v>
          </cell>
          <cell r="KZ64">
            <v>71645</v>
          </cell>
          <cell r="LC64" t="str">
            <v>PERQUIMANS COUNTY LIBRARY</v>
          </cell>
          <cell r="LD64" t="str">
            <v>County Owned</v>
          </cell>
          <cell r="LE64" t="str">
            <v>110 W ACADEMY ST</v>
          </cell>
          <cell r="LF64" t="str">
            <v>HERTFORD</v>
          </cell>
          <cell r="LG64">
            <v>27944</v>
          </cell>
          <cell r="LH64">
            <v>1306</v>
          </cell>
          <cell r="LI64" t="str">
            <v>110 W ACADEMY ST</v>
          </cell>
          <cell r="LJ64" t="str">
            <v>HERTFORD</v>
          </cell>
          <cell r="LK64">
            <v>27944</v>
          </cell>
          <cell r="LL64">
            <v>1306</v>
          </cell>
          <cell r="LM64" t="str">
            <v>PERQUIMANS</v>
          </cell>
          <cell r="LN64">
            <v>2524265319</v>
          </cell>
          <cell r="LO64">
            <v>2524261556</v>
          </cell>
          <cell r="LP64">
            <v>31639</v>
          </cell>
          <cell r="LQ64">
            <v>15.65</v>
          </cell>
          <cell r="LS64">
            <v>9334</v>
          </cell>
          <cell r="LT64">
            <v>208</v>
          </cell>
          <cell r="LW64">
            <v>3</v>
          </cell>
          <cell r="LX64" t="str">
            <v>R-PETTIGREW-P</v>
          </cell>
          <cell r="LY64">
            <v>0</v>
          </cell>
          <cell r="LZ64" t="str">
            <v>BR</v>
          </cell>
          <cell r="MA64">
            <v>13.8</v>
          </cell>
          <cell r="MB64">
            <v>21.32</v>
          </cell>
        </row>
        <row r="65">
          <cell r="A65" t="str">
            <v>NC0051</v>
          </cell>
          <cell r="B65">
            <v>0</v>
          </cell>
          <cell r="C65">
            <v>1375</v>
          </cell>
          <cell r="D65">
            <v>2017</v>
          </cell>
          <cell r="E65">
            <v>0</v>
          </cell>
          <cell r="F65" t="str">
            <v>NC0051</v>
          </cell>
          <cell r="G65" t="str">
            <v>C-POLK</v>
          </cell>
          <cell r="H65" t="str">
            <v>NO</v>
          </cell>
          <cell r="I65" t="str">
            <v>CO</v>
          </cell>
          <cell r="J65" t="str">
            <v>MO</v>
          </cell>
          <cell r="K65" t="str">
            <v>Y</v>
          </cell>
          <cell r="L65" t="str">
            <v>CO1</v>
          </cell>
          <cell r="M65" t="str">
            <v>N</v>
          </cell>
          <cell r="N65">
            <v>20828</v>
          </cell>
          <cell r="O65" t="str">
            <v>Yes</v>
          </cell>
          <cell r="P65">
            <v>231</v>
          </cell>
          <cell r="Q65">
            <v>53</v>
          </cell>
          <cell r="R65">
            <v>30</v>
          </cell>
          <cell r="S65">
            <v>10</v>
          </cell>
          <cell r="T65">
            <v>1549</v>
          </cell>
          <cell r="U65">
            <v>54</v>
          </cell>
          <cell r="V65">
            <v>8637</v>
          </cell>
          <cell r="W65">
            <v>1186</v>
          </cell>
          <cell r="Z65" t="str">
            <v>1289 W MILLS ST</v>
          </cell>
          <cell r="AA65" t="str">
            <v>COLUMBUS</v>
          </cell>
          <cell r="AB65">
            <v>28722</v>
          </cell>
          <cell r="AC65">
            <v>8643</v>
          </cell>
          <cell r="AD65" t="str">
            <v>1289 W MILLS ST</v>
          </cell>
          <cell r="AE65" t="str">
            <v>COLUMBUS</v>
          </cell>
          <cell r="AF65">
            <v>28722</v>
          </cell>
          <cell r="AG65">
            <v>2</v>
          </cell>
          <cell r="AH65" t="str">
            <v>POLK COUNTY PUBLIC LIBRARY</v>
          </cell>
          <cell r="AJ65" t="str">
            <v>County</v>
          </cell>
          <cell r="AK65" t="str">
            <v>POLK</v>
          </cell>
          <cell r="AL65" t="str">
            <v>Rishara Finsel</v>
          </cell>
          <cell r="AM65" t="str">
            <v>(828) 894-8721</v>
          </cell>
          <cell r="AN65" t="str">
            <v>(828) 894-2761</v>
          </cell>
          <cell r="AO65" t="str">
            <v>rfinsel@polklibrary.org</v>
          </cell>
          <cell r="AP65" t="str">
            <v>Rishara Finsel</v>
          </cell>
          <cell r="AQ65" t="str">
            <v>Director</v>
          </cell>
          <cell r="AR65" t="str">
            <v>(828) 859-8721</v>
          </cell>
          <cell r="AT65" t="str">
            <v>rfinsel@polklibrary.org</v>
          </cell>
          <cell r="AU65" t="str">
            <v>www.polklibrary.org</v>
          </cell>
          <cell r="BC65">
            <v>1</v>
          </cell>
          <cell r="BD65">
            <v>1</v>
          </cell>
          <cell r="BE65">
            <v>0</v>
          </cell>
          <cell r="BF65">
            <v>1</v>
          </cell>
          <cell r="BG65">
            <v>3</v>
          </cell>
          <cell r="BI65">
            <v>5350</v>
          </cell>
          <cell r="BJ65">
            <v>2.81</v>
          </cell>
          <cell r="BK65">
            <v>0</v>
          </cell>
          <cell r="BL65">
            <v>2.81</v>
          </cell>
          <cell r="BM65">
            <v>7.95</v>
          </cell>
          <cell r="BN65">
            <v>10.76</v>
          </cell>
          <cell r="BO65">
            <v>0.26119999999999999</v>
          </cell>
          <cell r="BP65">
            <v>1684</v>
          </cell>
          <cell r="BQ65">
            <v>56292</v>
          </cell>
          <cell r="BU65">
            <v>29091</v>
          </cell>
          <cell r="BV65">
            <v>29091</v>
          </cell>
          <cell r="BW65">
            <v>29091</v>
          </cell>
          <cell r="BY65">
            <v>29058</v>
          </cell>
          <cell r="BZ65">
            <v>29058</v>
          </cell>
          <cell r="CA65">
            <v>29058</v>
          </cell>
          <cell r="CG65">
            <v>29058</v>
          </cell>
          <cell r="CH65">
            <v>29058</v>
          </cell>
          <cell r="CI65">
            <v>29058</v>
          </cell>
          <cell r="CK65">
            <v>27014</v>
          </cell>
          <cell r="CL65">
            <v>27014</v>
          </cell>
          <cell r="CM65">
            <v>27014</v>
          </cell>
          <cell r="DO65">
            <v>21158</v>
          </cell>
          <cell r="DP65">
            <v>33758</v>
          </cell>
          <cell r="DQ65">
            <v>23595</v>
          </cell>
          <cell r="DV65">
            <v>0</v>
          </cell>
          <cell r="DW65">
            <v>474797</v>
          </cell>
          <cell r="DX65">
            <v>474797</v>
          </cell>
          <cell r="DY65">
            <v>76970</v>
          </cell>
          <cell r="DZ65">
            <v>0</v>
          </cell>
          <cell r="EA65">
            <v>76970</v>
          </cell>
          <cell r="EB65">
            <v>16717</v>
          </cell>
          <cell r="EC65">
            <v>0</v>
          </cell>
          <cell r="ED65">
            <v>16717</v>
          </cell>
          <cell r="EE65">
            <v>19022</v>
          </cell>
          <cell r="EF65">
            <v>587506</v>
          </cell>
          <cell r="EG65">
            <v>317543</v>
          </cell>
          <cell r="EH65">
            <v>84851</v>
          </cell>
          <cell r="EI65">
            <v>402394</v>
          </cell>
          <cell r="EJ65">
            <v>44745</v>
          </cell>
          <cell r="EK65">
            <v>6202</v>
          </cell>
          <cell r="EL65">
            <v>15605</v>
          </cell>
          <cell r="EM65">
            <v>66552</v>
          </cell>
          <cell r="EN65">
            <v>89742</v>
          </cell>
          <cell r="EO65">
            <v>558688</v>
          </cell>
          <cell r="EP65">
            <v>28818</v>
          </cell>
          <cell r="EQ65">
            <v>4.9099999999999998E-2</v>
          </cell>
          <cell r="ER65">
            <v>47964</v>
          </cell>
          <cell r="ES65">
            <v>0</v>
          </cell>
          <cell r="ET65">
            <v>0</v>
          </cell>
          <cell r="EU65">
            <v>0</v>
          </cell>
          <cell r="EV65">
            <v>47964</v>
          </cell>
          <cell r="EW65">
            <v>47730</v>
          </cell>
          <cell r="EX65">
            <v>27159</v>
          </cell>
          <cell r="EY65">
            <v>160485</v>
          </cell>
          <cell r="EZ65">
            <v>14320</v>
          </cell>
          <cell r="FA65">
            <v>2150</v>
          </cell>
          <cell r="FB65">
            <v>8253</v>
          </cell>
          <cell r="FC65">
            <v>13447</v>
          </cell>
          <cell r="FD65">
            <v>544</v>
          </cell>
          <cell r="FE65">
            <v>3093</v>
          </cell>
          <cell r="FF65">
            <v>27767</v>
          </cell>
          <cell r="FG65">
            <v>2694</v>
          </cell>
          <cell r="FH65">
            <v>11346</v>
          </cell>
          <cell r="FI65">
            <v>41807</v>
          </cell>
          <cell r="FJ65">
            <v>0</v>
          </cell>
          <cell r="FK65">
            <v>144</v>
          </cell>
          <cell r="FM65">
            <v>41807</v>
          </cell>
          <cell r="FN65">
            <v>3013</v>
          </cell>
          <cell r="FO65">
            <v>7184</v>
          </cell>
          <cell r="FP65">
            <v>101</v>
          </cell>
          <cell r="FQ65">
            <v>1</v>
          </cell>
          <cell r="FR65">
            <v>88</v>
          </cell>
          <cell r="FS65">
            <v>89</v>
          </cell>
          <cell r="FT65">
            <v>44141</v>
          </cell>
          <cell r="FU65">
            <v>3505</v>
          </cell>
          <cell r="FV65">
            <v>0</v>
          </cell>
          <cell r="FW65">
            <v>0</v>
          </cell>
          <cell r="FX65">
            <v>8544</v>
          </cell>
          <cell r="FY65">
            <v>1573</v>
          </cell>
          <cell r="FZ65">
            <v>322</v>
          </cell>
          <cell r="GA65">
            <v>0</v>
          </cell>
          <cell r="GE65">
            <v>0</v>
          </cell>
          <cell r="GF65">
            <v>36593</v>
          </cell>
          <cell r="GG65">
            <v>13194</v>
          </cell>
          <cell r="GH65">
            <v>263</v>
          </cell>
          <cell r="GI65">
            <v>12</v>
          </cell>
          <cell r="GJ65">
            <v>0</v>
          </cell>
          <cell r="GK65">
            <v>0</v>
          </cell>
          <cell r="GL65">
            <v>0</v>
          </cell>
          <cell r="GM65">
            <v>0</v>
          </cell>
          <cell r="GN65">
            <v>89278</v>
          </cell>
          <cell r="GO65">
            <v>18272</v>
          </cell>
          <cell r="GP65">
            <v>585</v>
          </cell>
          <cell r="GQ65">
            <v>12</v>
          </cell>
          <cell r="GR65">
            <v>45</v>
          </cell>
          <cell r="GT65">
            <v>36351</v>
          </cell>
          <cell r="GU65">
            <v>3692</v>
          </cell>
          <cell r="GV65">
            <v>21457</v>
          </cell>
          <cell r="GW65">
            <v>19079</v>
          </cell>
          <cell r="GX65">
            <v>380</v>
          </cell>
          <cell r="GY65">
            <v>4273</v>
          </cell>
          <cell r="GZ65">
            <v>55430</v>
          </cell>
          <cell r="HA65">
            <v>4072</v>
          </cell>
          <cell r="HB65">
            <v>25730</v>
          </cell>
          <cell r="HC65">
            <v>85232</v>
          </cell>
          <cell r="HD65">
            <v>922</v>
          </cell>
          <cell r="HE65">
            <v>86154</v>
          </cell>
          <cell r="HF65">
            <v>6483</v>
          </cell>
          <cell r="HG65">
            <v>55726</v>
          </cell>
          <cell r="HH65">
            <v>0</v>
          </cell>
          <cell r="HI65">
            <v>0</v>
          </cell>
          <cell r="HJ65">
            <v>62209</v>
          </cell>
          <cell r="HK65">
            <v>148363</v>
          </cell>
          <cell r="HL65">
            <v>62</v>
          </cell>
          <cell r="HM65">
            <v>5858</v>
          </cell>
          <cell r="HN65">
            <v>5920</v>
          </cell>
          <cell r="HO65">
            <v>1</v>
          </cell>
          <cell r="HP65">
            <v>4495</v>
          </cell>
          <cell r="HQ65">
            <v>4496</v>
          </cell>
          <cell r="HR65">
            <v>0</v>
          </cell>
          <cell r="HS65">
            <v>3</v>
          </cell>
          <cell r="HT65">
            <v>3</v>
          </cell>
          <cell r="HU65">
            <v>186</v>
          </cell>
          <cell r="HV65">
            <v>10605</v>
          </cell>
          <cell r="HW65">
            <v>495</v>
          </cell>
          <cell r="HX65">
            <v>0</v>
          </cell>
          <cell r="HY65">
            <v>495</v>
          </cell>
          <cell r="HZ65">
            <v>11100</v>
          </cell>
          <cell r="IA65">
            <v>10979</v>
          </cell>
          <cell r="IB65">
            <v>66708</v>
          </cell>
          <cell r="IC65">
            <v>158968</v>
          </cell>
          <cell r="ID65">
            <v>158968</v>
          </cell>
          <cell r="IE65">
            <v>159463</v>
          </cell>
          <cell r="IF65">
            <v>45284</v>
          </cell>
          <cell r="IG65">
            <v>74</v>
          </cell>
          <cell r="IJ65">
            <v>1</v>
          </cell>
          <cell r="IK65">
            <v>4.8399999999999999E-2</v>
          </cell>
          <cell r="IL65">
            <v>8.9999999999999998E-4</v>
          </cell>
          <cell r="IM65">
            <v>0.67390000000000005</v>
          </cell>
          <cell r="IN65">
            <v>0</v>
          </cell>
          <cell r="IO65">
            <v>0.55630000000000002</v>
          </cell>
          <cell r="IP65">
            <v>5.9999999999999995E-4</v>
          </cell>
          <cell r="IQ65">
            <v>0.26050000000000001</v>
          </cell>
          <cell r="IR65">
            <v>0.1326</v>
          </cell>
          <cell r="IS65">
            <v>0.28489999999999999</v>
          </cell>
          <cell r="IT65">
            <v>6161</v>
          </cell>
          <cell r="IU65">
            <v>773</v>
          </cell>
          <cell r="IV65">
            <v>6934</v>
          </cell>
          <cell r="IW65">
            <v>0.33289999999999997</v>
          </cell>
          <cell r="IX65">
            <v>106128</v>
          </cell>
          <cell r="IZ65">
            <v>163</v>
          </cell>
          <cell r="JA65">
            <v>92</v>
          </cell>
          <cell r="JB65">
            <v>149</v>
          </cell>
          <cell r="JC65">
            <v>40</v>
          </cell>
          <cell r="JD65">
            <v>7</v>
          </cell>
          <cell r="JE65">
            <v>73</v>
          </cell>
          <cell r="JF65">
            <v>203</v>
          </cell>
          <cell r="JG65">
            <v>99</v>
          </cell>
          <cell r="JH65">
            <v>222</v>
          </cell>
          <cell r="JI65">
            <v>524</v>
          </cell>
          <cell r="JJ65">
            <v>404</v>
          </cell>
          <cell r="JK65">
            <v>120</v>
          </cell>
          <cell r="JL65">
            <v>1539</v>
          </cell>
          <cell r="JM65">
            <v>668</v>
          </cell>
          <cell r="JN65">
            <v>2569</v>
          </cell>
          <cell r="JO65">
            <v>565</v>
          </cell>
          <cell r="JP65">
            <v>184</v>
          </cell>
          <cell r="JQ65">
            <v>1739</v>
          </cell>
          <cell r="JR65">
            <v>2104</v>
          </cell>
          <cell r="JS65">
            <v>852</v>
          </cell>
          <cell r="JT65">
            <v>4308</v>
          </cell>
          <cell r="JU65">
            <v>7264</v>
          </cell>
          <cell r="JV65">
            <v>4776</v>
          </cell>
          <cell r="JW65">
            <v>2488</v>
          </cell>
          <cell r="JX65">
            <v>13.86</v>
          </cell>
          <cell r="JY65">
            <v>10.36</v>
          </cell>
          <cell r="JZ65">
            <v>19.41</v>
          </cell>
          <cell r="KA65">
            <v>0.28999999999999998</v>
          </cell>
          <cell r="KB65">
            <v>0.59</v>
          </cell>
          <cell r="KC65">
            <v>2</v>
          </cell>
          <cell r="KD65">
            <v>13</v>
          </cell>
          <cell r="KE65">
            <v>16</v>
          </cell>
          <cell r="KF65">
            <v>82</v>
          </cell>
          <cell r="KG65">
            <v>93</v>
          </cell>
          <cell r="KH65">
            <v>1299</v>
          </cell>
          <cell r="KI65">
            <v>0</v>
          </cell>
          <cell r="KJ65">
            <v>0</v>
          </cell>
          <cell r="KK65">
            <v>211</v>
          </cell>
          <cell r="KL65">
            <v>3273</v>
          </cell>
          <cell r="KM65">
            <v>11600</v>
          </cell>
          <cell r="KN65">
            <v>7500</v>
          </cell>
          <cell r="KO65">
            <v>825</v>
          </cell>
          <cell r="KQ65">
            <v>266</v>
          </cell>
          <cell r="KR65">
            <v>4197</v>
          </cell>
          <cell r="KS65">
            <v>3120</v>
          </cell>
          <cell r="KT65">
            <v>4804</v>
          </cell>
          <cell r="KU65">
            <v>18</v>
          </cell>
          <cell r="KV65">
            <v>45</v>
          </cell>
          <cell r="KW65">
            <v>22496</v>
          </cell>
          <cell r="KY65">
            <v>78575</v>
          </cell>
          <cell r="LC65" t="str">
            <v>POLK COUNTY PUBLIC LIBRARY</v>
          </cell>
          <cell r="LD65" t="str">
            <v>County Owned</v>
          </cell>
          <cell r="LE65" t="str">
            <v>1289 W MILLS ST</v>
          </cell>
          <cell r="LF65" t="str">
            <v>COLUMBUS</v>
          </cell>
          <cell r="LG65">
            <v>28722</v>
          </cell>
          <cell r="LH65">
            <v>8643</v>
          </cell>
          <cell r="LI65" t="str">
            <v>1289 W MILLS ST</v>
          </cell>
          <cell r="LJ65" t="str">
            <v>COLUMBUS</v>
          </cell>
          <cell r="LK65">
            <v>28722</v>
          </cell>
          <cell r="LL65">
            <v>8643</v>
          </cell>
          <cell r="LM65" t="str">
            <v>POLK</v>
          </cell>
          <cell r="LN65">
            <v>8288948721</v>
          </cell>
          <cell r="LP65">
            <v>24370</v>
          </cell>
          <cell r="LQ65">
            <v>10.75</v>
          </cell>
          <cell r="LS65">
            <v>5350</v>
          </cell>
          <cell r="LT65">
            <v>104</v>
          </cell>
          <cell r="LW65">
            <v>2</v>
          </cell>
          <cell r="LX65" t="str">
            <v>C-POLK-P</v>
          </cell>
          <cell r="LY65">
            <v>0</v>
          </cell>
          <cell r="LZ65" t="str">
            <v>CE</v>
          </cell>
          <cell r="MA65">
            <v>44.7</v>
          </cell>
          <cell r="MB65">
            <v>8.91</v>
          </cell>
        </row>
        <row r="66">
          <cell r="A66" t="str">
            <v>NC0041</v>
          </cell>
          <cell r="B66">
            <v>0</v>
          </cell>
          <cell r="C66">
            <v>1375</v>
          </cell>
          <cell r="D66">
            <v>2017</v>
          </cell>
          <cell r="E66">
            <v>0</v>
          </cell>
          <cell r="F66" t="str">
            <v>NC0041</v>
          </cell>
          <cell r="G66" t="str">
            <v>C-JOHNSTON</v>
          </cell>
          <cell r="H66" t="str">
            <v>NO</v>
          </cell>
          <cell r="I66" t="str">
            <v>NP</v>
          </cell>
          <cell r="J66" t="str">
            <v>MO</v>
          </cell>
          <cell r="K66" t="str">
            <v>Y</v>
          </cell>
          <cell r="L66" t="str">
            <v>CO1</v>
          </cell>
          <cell r="M66" t="str">
            <v>N</v>
          </cell>
          <cell r="N66">
            <v>165785</v>
          </cell>
          <cell r="O66" t="str">
            <v>Yes</v>
          </cell>
          <cell r="P66">
            <v>522</v>
          </cell>
          <cell r="Q66">
            <v>124</v>
          </cell>
          <cell r="R66">
            <v>101</v>
          </cell>
          <cell r="S66">
            <v>45</v>
          </cell>
          <cell r="T66">
            <v>4393</v>
          </cell>
          <cell r="U66">
            <v>1330</v>
          </cell>
          <cell r="V66">
            <v>31982</v>
          </cell>
          <cell r="W66">
            <v>5165</v>
          </cell>
          <cell r="Z66" t="str">
            <v>305 MARKET ST</v>
          </cell>
          <cell r="AA66" t="str">
            <v>SMITHFIELD</v>
          </cell>
          <cell r="AB66">
            <v>27577</v>
          </cell>
          <cell r="AC66">
            <v>3919</v>
          </cell>
          <cell r="AD66" t="str">
            <v>305 MARKET ST</v>
          </cell>
          <cell r="AE66" t="str">
            <v>SMITHFIELD</v>
          </cell>
          <cell r="AF66">
            <v>27577</v>
          </cell>
          <cell r="AG66">
            <v>3</v>
          </cell>
          <cell r="AH66" t="str">
            <v>PUBLIC LIBRARY OF JOHNSTON COUNTY &amp; SMITHFIELD</v>
          </cell>
          <cell r="AJ66" t="str">
            <v>County</v>
          </cell>
          <cell r="AK66" t="str">
            <v>JOHNSTON</v>
          </cell>
          <cell r="AL66" t="str">
            <v>Margaret Marshall</v>
          </cell>
          <cell r="AM66" t="str">
            <v>(919) 934-8146</v>
          </cell>
          <cell r="AN66" t="str">
            <v>(919) 934-8084</v>
          </cell>
          <cell r="AO66" t="str">
            <v>mmarshall@pljcs.org</v>
          </cell>
          <cell r="AP66" t="str">
            <v>Margaret Marshall</v>
          </cell>
          <cell r="AQ66" t="str">
            <v>Library Director</v>
          </cell>
          <cell r="AR66" t="str">
            <v>(919) 934-8146</v>
          </cell>
          <cell r="AS66" t="str">
            <v>(919) 934-8084</v>
          </cell>
          <cell r="AT66" t="str">
            <v>mmarshall@pljcs.org</v>
          </cell>
          <cell r="AU66" t="str">
            <v>www.pljcs.org</v>
          </cell>
          <cell r="BC66">
            <v>1</v>
          </cell>
          <cell r="BD66">
            <v>5</v>
          </cell>
          <cell r="BE66">
            <v>0</v>
          </cell>
          <cell r="BF66">
            <v>1</v>
          </cell>
          <cell r="BG66">
            <v>7</v>
          </cell>
          <cell r="BI66">
            <v>12298</v>
          </cell>
          <cell r="BJ66">
            <v>5</v>
          </cell>
          <cell r="BK66">
            <v>1</v>
          </cell>
          <cell r="BL66">
            <v>6</v>
          </cell>
          <cell r="BM66">
            <v>20</v>
          </cell>
          <cell r="BN66">
            <v>26</v>
          </cell>
          <cell r="BO66">
            <v>0.1923</v>
          </cell>
          <cell r="BP66">
            <v>1869</v>
          </cell>
          <cell r="BQ66">
            <v>64297</v>
          </cell>
          <cell r="BU66">
            <v>42411</v>
          </cell>
          <cell r="BV66">
            <v>46570</v>
          </cell>
          <cell r="BY66">
            <v>39372</v>
          </cell>
          <cell r="BZ66">
            <v>39756</v>
          </cell>
          <cell r="CA66">
            <v>39564</v>
          </cell>
          <cell r="CC66">
            <v>42840</v>
          </cell>
          <cell r="CD66">
            <v>43268</v>
          </cell>
          <cell r="CE66">
            <v>43054</v>
          </cell>
          <cell r="CR66">
            <v>39372</v>
          </cell>
          <cell r="CS66">
            <v>39756</v>
          </cell>
          <cell r="CT66">
            <v>39564</v>
          </cell>
          <cell r="CV66">
            <v>42840</v>
          </cell>
          <cell r="CW66">
            <v>43268</v>
          </cell>
          <cell r="CX66">
            <v>43054</v>
          </cell>
          <cell r="DK66">
            <v>10000</v>
          </cell>
          <cell r="DL66">
            <v>35628</v>
          </cell>
          <cell r="DM66">
            <v>26763</v>
          </cell>
          <cell r="DO66">
            <v>15080</v>
          </cell>
          <cell r="DP66">
            <v>25188</v>
          </cell>
          <cell r="DQ66">
            <v>24252</v>
          </cell>
          <cell r="DS66">
            <v>52085</v>
          </cell>
          <cell r="DT66">
            <v>52085</v>
          </cell>
          <cell r="DU66">
            <v>52085</v>
          </cell>
          <cell r="DV66">
            <v>690866</v>
          </cell>
          <cell r="DW66">
            <v>451000</v>
          </cell>
          <cell r="DX66">
            <v>1141866</v>
          </cell>
          <cell r="DY66">
            <v>191073</v>
          </cell>
          <cell r="DZ66">
            <v>0</v>
          </cell>
          <cell r="EA66">
            <v>191073</v>
          </cell>
          <cell r="EB66">
            <v>0</v>
          </cell>
          <cell r="EC66">
            <v>0</v>
          </cell>
          <cell r="ED66">
            <v>0</v>
          </cell>
          <cell r="EE66">
            <v>128735</v>
          </cell>
          <cell r="EF66">
            <v>1461674</v>
          </cell>
          <cell r="EG66">
            <v>749824</v>
          </cell>
          <cell r="EH66">
            <v>301330</v>
          </cell>
          <cell r="EI66">
            <v>1051154</v>
          </cell>
          <cell r="EJ66">
            <v>75241</v>
          </cell>
          <cell r="EK66">
            <v>3633</v>
          </cell>
          <cell r="EL66">
            <v>15000</v>
          </cell>
          <cell r="EM66">
            <v>93874</v>
          </cell>
          <cell r="EN66">
            <v>316646</v>
          </cell>
          <cell r="EO66">
            <v>1461674</v>
          </cell>
          <cell r="EP66">
            <v>0</v>
          </cell>
          <cell r="EQ66">
            <v>0</v>
          </cell>
          <cell r="ER66">
            <v>77272</v>
          </cell>
          <cell r="ES66">
            <v>0</v>
          </cell>
          <cell r="ET66">
            <v>0</v>
          </cell>
          <cell r="EU66">
            <v>0</v>
          </cell>
          <cell r="EV66">
            <v>77272</v>
          </cell>
          <cell r="EW66">
            <v>77272</v>
          </cell>
          <cell r="EX66">
            <v>17156</v>
          </cell>
          <cell r="EY66">
            <v>311470</v>
          </cell>
          <cell r="EZ66">
            <v>77296</v>
          </cell>
          <cell r="FA66">
            <v>8285</v>
          </cell>
          <cell r="FB66">
            <v>51746</v>
          </cell>
          <cell r="FC66">
            <v>68533</v>
          </cell>
          <cell r="FD66">
            <v>3120</v>
          </cell>
          <cell r="FE66">
            <v>28566</v>
          </cell>
          <cell r="FF66">
            <v>145829</v>
          </cell>
          <cell r="FG66">
            <v>11405</v>
          </cell>
          <cell r="FH66">
            <v>80312</v>
          </cell>
          <cell r="FI66">
            <v>237546</v>
          </cell>
          <cell r="FJ66">
            <v>1423</v>
          </cell>
          <cell r="FK66">
            <v>50</v>
          </cell>
          <cell r="FM66">
            <v>237546</v>
          </cell>
          <cell r="FN66">
            <v>7370</v>
          </cell>
          <cell r="FO66">
            <v>6169</v>
          </cell>
          <cell r="FP66">
            <v>30</v>
          </cell>
          <cell r="FQ66">
            <v>0</v>
          </cell>
          <cell r="FR66">
            <v>88</v>
          </cell>
          <cell r="FS66">
            <v>88</v>
          </cell>
          <cell r="FT66">
            <v>44141</v>
          </cell>
          <cell r="FU66">
            <v>3505</v>
          </cell>
          <cell r="FV66">
            <v>0</v>
          </cell>
          <cell r="FW66">
            <v>0</v>
          </cell>
          <cell r="FX66">
            <v>8544</v>
          </cell>
          <cell r="FY66">
            <v>1573</v>
          </cell>
          <cell r="FZ66">
            <v>322</v>
          </cell>
          <cell r="GA66">
            <v>0</v>
          </cell>
          <cell r="GE66">
            <v>0</v>
          </cell>
          <cell r="GJ66">
            <v>597</v>
          </cell>
          <cell r="GK66">
            <v>112</v>
          </cell>
          <cell r="GL66">
            <v>0</v>
          </cell>
          <cell r="GM66">
            <v>0</v>
          </cell>
          <cell r="GN66">
            <v>53282</v>
          </cell>
          <cell r="GO66">
            <v>5190</v>
          </cell>
          <cell r="GP66">
            <v>322</v>
          </cell>
          <cell r="GQ66">
            <v>0</v>
          </cell>
          <cell r="GR66">
            <v>16</v>
          </cell>
          <cell r="GT66">
            <v>82142</v>
          </cell>
          <cell r="GU66">
            <v>13525</v>
          </cell>
          <cell r="GV66">
            <v>75739</v>
          </cell>
          <cell r="GW66">
            <v>20358</v>
          </cell>
          <cell r="GX66">
            <v>1701</v>
          </cell>
          <cell r="GY66">
            <v>22149</v>
          </cell>
          <cell r="GZ66">
            <v>102500</v>
          </cell>
          <cell r="HA66">
            <v>15226</v>
          </cell>
          <cell r="HB66">
            <v>97888</v>
          </cell>
          <cell r="HC66">
            <v>215614</v>
          </cell>
          <cell r="HD66">
            <v>18</v>
          </cell>
          <cell r="HE66">
            <v>230028</v>
          </cell>
          <cell r="HF66">
            <v>11769</v>
          </cell>
          <cell r="HG66">
            <v>12982</v>
          </cell>
          <cell r="HH66">
            <v>14396</v>
          </cell>
          <cell r="HI66">
            <v>7</v>
          </cell>
          <cell r="HJ66">
            <v>24758</v>
          </cell>
          <cell r="HK66">
            <v>254786</v>
          </cell>
          <cell r="HL66">
            <v>71</v>
          </cell>
          <cell r="HM66">
            <v>3546</v>
          </cell>
          <cell r="HN66">
            <v>3617</v>
          </cell>
          <cell r="HO66">
            <v>146</v>
          </cell>
          <cell r="HP66">
            <v>758</v>
          </cell>
          <cell r="HQ66">
            <v>904</v>
          </cell>
          <cell r="HR66">
            <v>0</v>
          </cell>
          <cell r="HS66">
            <v>0</v>
          </cell>
          <cell r="HT66">
            <v>0</v>
          </cell>
          <cell r="HU66">
            <v>0</v>
          </cell>
          <cell r="HV66">
            <v>4521</v>
          </cell>
          <cell r="HW66">
            <v>56072</v>
          </cell>
          <cell r="HX66">
            <v>0</v>
          </cell>
          <cell r="HY66">
            <v>56072</v>
          </cell>
          <cell r="HZ66">
            <v>60593</v>
          </cell>
          <cell r="IA66">
            <v>12673</v>
          </cell>
          <cell r="IB66">
            <v>25655</v>
          </cell>
          <cell r="IC66">
            <v>259307</v>
          </cell>
          <cell r="ID66">
            <v>259307</v>
          </cell>
          <cell r="IE66">
            <v>315379</v>
          </cell>
          <cell r="IF66">
            <v>113114</v>
          </cell>
          <cell r="IG66">
            <v>0</v>
          </cell>
          <cell r="IK66">
            <v>2.0799999999999999E-2</v>
          </cell>
          <cell r="IL66">
            <v>2.0000000000000001E-4</v>
          </cell>
          <cell r="IM66">
            <v>0.1888</v>
          </cell>
          <cell r="IN66">
            <v>0</v>
          </cell>
          <cell r="IO66">
            <v>0.1711</v>
          </cell>
          <cell r="IP66">
            <v>2.9999999999999997E-4</v>
          </cell>
          <cell r="IQ66">
            <v>0.76270000000000004</v>
          </cell>
          <cell r="IR66">
            <v>4.0300000000000002E-2</v>
          </cell>
          <cell r="IS66">
            <v>0.43619999999999998</v>
          </cell>
          <cell r="IT66">
            <v>39606</v>
          </cell>
          <cell r="IU66">
            <v>11453</v>
          </cell>
          <cell r="IV66">
            <v>51059</v>
          </cell>
          <cell r="IW66">
            <v>0.308</v>
          </cell>
          <cell r="IX66">
            <v>211900</v>
          </cell>
          <cell r="IZ66">
            <v>95</v>
          </cell>
          <cell r="JA66">
            <v>32</v>
          </cell>
          <cell r="JB66">
            <v>399</v>
          </cell>
          <cell r="JC66">
            <v>21</v>
          </cell>
          <cell r="JD66">
            <v>0</v>
          </cell>
          <cell r="JE66">
            <v>129</v>
          </cell>
          <cell r="JF66">
            <v>116</v>
          </cell>
          <cell r="JG66">
            <v>32</v>
          </cell>
          <cell r="JH66">
            <v>528</v>
          </cell>
          <cell r="JI66">
            <v>676</v>
          </cell>
          <cell r="JJ66">
            <v>526</v>
          </cell>
          <cell r="JK66">
            <v>150</v>
          </cell>
          <cell r="JL66">
            <v>958</v>
          </cell>
          <cell r="JM66">
            <v>199</v>
          </cell>
          <cell r="JN66">
            <v>12001</v>
          </cell>
          <cell r="JO66">
            <v>473</v>
          </cell>
          <cell r="JP66">
            <v>0</v>
          </cell>
          <cell r="JQ66">
            <v>2172</v>
          </cell>
          <cell r="JR66">
            <v>1431</v>
          </cell>
          <cell r="JS66">
            <v>199</v>
          </cell>
          <cell r="JT66">
            <v>14173</v>
          </cell>
          <cell r="JU66">
            <v>15803</v>
          </cell>
          <cell r="JV66">
            <v>13158</v>
          </cell>
          <cell r="JW66">
            <v>2645</v>
          </cell>
          <cell r="JX66">
            <v>23.38</v>
          </cell>
          <cell r="JY66">
            <v>12.34</v>
          </cell>
          <cell r="JZ66">
            <v>26.84</v>
          </cell>
          <cell r="KA66">
            <v>0.09</v>
          </cell>
          <cell r="KB66">
            <v>0.9</v>
          </cell>
          <cell r="KC66">
            <v>0</v>
          </cell>
          <cell r="KD66">
            <v>0</v>
          </cell>
          <cell r="KE66">
            <v>0</v>
          </cell>
          <cell r="KF66">
            <v>0</v>
          </cell>
          <cell r="KG66">
            <v>0</v>
          </cell>
          <cell r="KH66">
            <v>0</v>
          </cell>
          <cell r="KI66">
            <v>0</v>
          </cell>
          <cell r="KJ66">
            <v>0</v>
          </cell>
          <cell r="KK66">
            <v>0</v>
          </cell>
          <cell r="KL66">
            <v>0</v>
          </cell>
          <cell r="KM66">
            <v>110162</v>
          </cell>
          <cell r="KN66">
            <v>19114</v>
          </cell>
          <cell r="KO66">
            <v>9650</v>
          </cell>
          <cell r="KQ66">
            <v>448</v>
          </cell>
          <cell r="KR66">
            <v>4307</v>
          </cell>
          <cell r="KS66">
            <v>13613</v>
          </cell>
          <cell r="KT66">
            <v>7671</v>
          </cell>
          <cell r="KU66">
            <v>25</v>
          </cell>
          <cell r="KV66">
            <v>48</v>
          </cell>
          <cell r="KW66">
            <v>45180</v>
          </cell>
          <cell r="KY66">
            <v>39428</v>
          </cell>
          <cell r="KZ66">
            <v>25552</v>
          </cell>
          <cell r="LC66" t="str">
            <v>PUBLIC LIBRARY OF JOHNSTON CNTY &amp; SMITHFIELD</v>
          </cell>
          <cell r="LD66" t="str">
            <v>County Owned</v>
          </cell>
          <cell r="LE66" t="str">
            <v>305 MARKET ST</v>
          </cell>
          <cell r="LF66" t="str">
            <v>SMITHFIELD</v>
          </cell>
          <cell r="LG66">
            <v>27577</v>
          </cell>
          <cell r="LH66">
            <v>3919</v>
          </cell>
          <cell r="LI66" t="str">
            <v>305 MARKET ST</v>
          </cell>
          <cell r="LJ66" t="str">
            <v>SMITHFIELD</v>
          </cell>
          <cell r="LK66">
            <v>27577</v>
          </cell>
          <cell r="LL66">
            <v>3919</v>
          </cell>
          <cell r="LM66" t="str">
            <v>JOHNSTON</v>
          </cell>
          <cell r="LN66">
            <v>9199348146</v>
          </cell>
          <cell r="LO66">
            <v>9199348084</v>
          </cell>
          <cell r="LP66">
            <v>53627</v>
          </cell>
          <cell r="LQ66">
            <v>22.9</v>
          </cell>
          <cell r="LS66">
            <v>12298</v>
          </cell>
          <cell r="LT66">
            <v>312</v>
          </cell>
          <cell r="LW66">
            <v>2</v>
          </cell>
          <cell r="LX66" t="str">
            <v>C-JOHNSTON-J</v>
          </cell>
          <cell r="LY66">
            <v>0</v>
          </cell>
          <cell r="LZ66" t="str">
            <v>CE</v>
          </cell>
          <cell r="MA66">
            <v>22.51</v>
          </cell>
        </row>
        <row r="67">
          <cell r="A67" t="str">
            <v>NC0052</v>
          </cell>
          <cell r="B67">
            <v>0</v>
          </cell>
          <cell r="C67">
            <v>1375</v>
          </cell>
          <cell r="D67">
            <v>2017</v>
          </cell>
          <cell r="E67">
            <v>0</v>
          </cell>
          <cell r="F67" t="str">
            <v>NC0052</v>
          </cell>
          <cell r="G67" t="str">
            <v>C-RANDOLPH</v>
          </cell>
          <cell r="H67" t="str">
            <v>NO</v>
          </cell>
          <cell r="I67" t="str">
            <v>CO</v>
          </cell>
          <cell r="J67" t="str">
            <v>MO</v>
          </cell>
          <cell r="K67" t="str">
            <v>Y</v>
          </cell>
          <cell r="L67" t="str">
            <v>CO2</v>
          </cell>
          <cell r="M67" t="str">
            <v>N</v>
          </cell>
          <cell r="N67">
            <v>142933</v>
          </cell>
          <cell r="O67" t="str">
            <v>Yes</v>
          </cell>
          <cell r="P67">
            <v>2019</v>
          </cell>
          <cell r="Q67">
            <v>185</v>
          </cell>
          <cell r="R67">
            <v>203</v>
          </cell>
          <cell r="S67">
            <v>30</v>
          </cell>
          <cell r="T67">
            <v>7572</v>
          </cell>
          <cell r="U67">
            <v>265</v>
          </cell>
          <cell r="V67">
            <v>54167</v>
          </cell>
          <cell r="W67">
            <v>6544</v>
          </cell>
          <cell r="X67">
            <v>963417</v>
          </cell>
          <cell r="Y67">
            <v>36346</v>
          </cell>
          <cell r="Z67" t="str">
            <v>201 WORTH ST</v>
          </cell>
          <cell r="AA67" t="str">
            <v>ASHEBORO</v>
          </cell>
          <cell r="AB67">
            <v>27203</v>
          </cell>
          <cell r="AC67">
            <v>5557</v>
          </cell>
          <cell r="AD67" t="str">
            <v>201 WORTH ST</v>
          </cell>
          <cell r="AE67" t="str">
            <v>ASHEBORO</v>
          </cell>
          <cell r="AF67">
            <v>27203</v>
          </cell>
          <cell r="AG67">
            <v>2</v>
          </cell>
          <cell r="AH67" t="str">
            <v>RANDOLPH PUBLIC LIBRARY</v>
          </cell>
          <cell r="AJ67" t="str">
            <v>County</v>
          </cell>
          <cell r="AK67" t="str">
            <v>RANDOLPH</v>
          </cell>
          <cell r="AL67" t="str">
            <v>ROSS HOLT</v>
          </cell>
          <cell r="AM67" t="str">
            <v>(336) 318-6806</v>
          </cell>
          <cell r="AN67" t="str">
            <v>(336) 318-6823</v>
          </cell>
          <cell r="AO67" t="str">
            <v>rholt@randolphlibrary.org</v>
          </cell>
          <cell r="AP67" t="str">
            <v>Linda S. Shirley</v>
          </cell>
          <cell r="AQ67" t="str">
            <v>Business Manager</v>
          </cell>
          <cell r="AR67" t="str">
            <v>(336) 318-6812</v>
          </cell>
          <cell r="AS67" t="str">
            <v>(336) 318-6823</v>
          </cell>
          <cell r="AT67" t="str">
            <v>lsshirley@randolphlibrary.org</v>
          </cell>
          <cell r="AU67" t="str">
            <v>www.randolphlibrary.org</v>
          </cell>
          <cell r="BC67">
            <v>1</v>
          </cell>
          <cell r="BD67">
            <v>6</v>
          </cell>
          <cell r="BE67">
            <v>0</v>
          </cell>
          <cell r="BF67">
            <v>3</v>
          </cell>
          <cell r="BG67">
            <v>10</v>
          </cell>
          <cell r="BI67">
            <v>16406</v>
          </cell>
          <cell r="BJ67">
            <v>14</v>
          </cell>
          <cell r="BK67">
            <v>0</v>
          </cell>
          <cell r="BL67">
            <v>14</v>
          </cell>
          <cell r="BM67">
            <v>29.95</v>
          </cell>
          <cell r="BN67">
            <v>43.95</v>
          </cell>
          <cell r="BO67">
            <v>0.31850000000000001</v>
          </cell>
          <cell r="BP67">
            <v>995</v>
          </cell>
          <cell r="BQ67">
            <v>73011</v>
          </cell>
          <cell r="BT67">
            <v>61259</v>
          </cell>
          <cell r="BU67">
            <v>44805</v>
          </cell>
          <cell r="BV67">
            <v>49901</v>
          </cell>
          <cell r="BW67">
            <v>47353</v>
          </cell>
          <cell r="BY67">
            <v>42205</v>
          </cell>
          <cell r="BZ67">
            <v>42205</v>
          </cell>
          <cell r="CA67">
            <v>42205</v>
          </cell>
          <cell r="CC67">
            <v>43494</v>
          </cell>
          <cell r="CD67">
            <v>43494</v>
          </cell>
          <cell r="CE67">
            <v>43494</v>
          </cell>
          <cell r="CG67">
            <v>44805</v>
          </cell>
          <cell r="CH67">
            <v>44805</v>
          </cell>
          <cell r="CI67">
            <v>44805</v>
          </cell>
          <cell r="CK67">
            <v>0</v>
          </cell>
          <cell r="CL67">
            <v>0</v>
          </cell>
          <cell r="CM67">
            <v>0</v>
          </cell>
          <cell r="CO67">
            <v>44805</v>
          </cell>
          <cell r="CP67">
            <v>45699</v>
          </cell>
          <cell r="CQ67">
            <v>45252</v>
          </cell>
          <cell r="CR67">
            <v>40166</v>
          </cell>
          <cell r="CS67">
            <v>40166</v>
          </cell>
          <cell r="CT67">
            <v>40166</v>
          </cell>
          <cell r="CV67">
            <v>42205</v>
          </cell>
          <cell r="CW67">
            <v>44805</v>
          </cell>
          <cell r="CX67">
            <v>43505</v>
          </cell>
          <cell r="CZ67">
            <v>0</v>
          </cell>
          <cell r="DA67">
            <v>0</v>
          </cell>
          <cell r="DB67">
            <v>0</v>
          </cell>
          <cell r="DD67">
            <v>0</v>
          </cell>
          <cell r="DE67">
            <v>0</v>
          </cell>
          <cell r="DF67">
            <v>0</v>
          </cell>
          <cell r="DH67">
            <v>0</v>
          </cell>
          <cell r="DI67">
            <v>0</v>
          </cell>
          <cell r="DJ67">
            <v>0</v>
          </cell>
          <cell r="DK67">
            <v>43536</v>
          </cell>
          <cell r="DL67">
            <v>43536</v>
          </cell>
          <cell r="DM67">
            <v>43536</v>
          </cell>
          <cell r="DO67">
            <v>21092</v>
          </cell>
          <cell r="DP67">
            <v>38690</v>
          </cell>
          <cell r="DQ67">
            <v>28304</v>
          </cell>
          <cell r="DS67">
            <v>41747</v>
          </cell>
          <cell r="DT67">
            <v>41747</v>
          </cell>
          <cell r="DU67">
            <v>41747</v>
          </cell>
          <cell r="DV67">
            <v>717553</v>
          </cell>
          <cell r="DW67">
            <v>1941178</v>
          </cell>
          <cell r="DX67">
            <v>2658731</v>
          </cell>
          <cell r="DY67">
            <v>182414</v>
          </cell>
          <cell r="DZ67">
            <v>0</v>
          </cell>
          <cell r="EA67">
            <v>182414</v>
          </cell>
          <cell r="EB67">
            <v>0</v>
          </cell>
          <cell r="EC67">
            <v>0</v>
          </cell>
          <cell r="ED67">
            <v>0</v>
          </cell>
          <cell r="EE67">
            <v>142765</v>
          </cell>
          <cell r="EF67">
            <v>2983910</v>
          </cell>
          <cell r="EG67">
            <v>1648190</v>
          </cell>
          <cell r="EH67">
            <v>517123</v>
          </cell>
          <cell r="EI67">
            <v>2165313</v>
          </cell>
          <cell r="EJ67">
            <v>177390</v>
          </cell>
          <cell r="EK67">
            <v>48194</v>
          </cell>
          <cell r="EL67">
            <v>27500</v>
          </cell>
          <cell r="EM67">
            <v>253084</v>
          </cell>
          <cell r="EN67">
            <v>532902</v>
          </cell>
          <cell r="EO67">
            <v>2951299</v>
          </cell>
          <cell r="EP67">
            <v>32611</v>
          </cell>
          <cell r="EQ67">
            <v>1.09E-2</v>
          </cell>
          <cell r="ER67">
            <v>0</v>
          </cell>
          <cell r="ES67">
            <v>0</v>
          </cell>
          <cell r="ET67">
            <v>0</v>
          </cell>
          <cell r="EU67">
            <v>0</v>
          </cell>
          <cell r="EV67">
            <v>0</v>
          </cell>
          <cell r="EW67">
            <v>0</v>
          </cell>
          <cell r="EX67">
            <v>44674</v>
          </cell>
          <cell r="EY67">
            <v>385370</v>
          </cell>
          <cell r="EZ67">
            <v>75981</v>
          </cell>
          <cell r="FA67">
            <v>11828</v>
          </cell>
          <cell r="FB67">
            <v>64257</v>
          </cell>
          <cell r="FC67">
            <v>78720</v>
          </cell>
          <cell r="FD67">
            <v>3371</v>
          </cell>
          <cell r="FE67">
            <v>21309</v>
          </cell>
          <cell r="FF67">
            <v>154701</v>
          </cell>
          <cell r="FG67">
            <v>15199</v>
          </cell>
          <cell r="FH67">
            <v>85566</v>
          </cell>
          <cell r="FI67">
            <v>255466</v>
          </cell>
          <cell r="FJ67">
            <v>0</v>
          </cell>
          <cell r="FK67">
            <v>280</v>
          </cell>
          <cell r="FM67">
            <v>255466</v>
          </cell>
          <cell r="FN67">
            <v>8640</v>
          </cell>
          <cell r="FO67">
            <v>23535</v>
          </cell>
          <cell r="FP67">
            <v>1467</v>
          </cell>
          <cell r="FQ67">
            <v>8</v>
          </cell>
          <cell r="FR67">
            <v>88</v>
          </cell>
          <cell r="FS67">
            <v>96</v>
          </cell>
          <cell r="FT67">
            <v>44141</v>
          </cell>
          <cell r="FU67">
            <v>3505</v>
          </cell>
          <cell r="FV67">
            <v>0</v>
          </cell>
          <cell r="FW67">
            <v>0</v>
          </cell>
          <cell r="FX67">
            <v>8544</v>
          </cell>
          <cell r="FY67">
            <v>1573</v>
          </cell>
          <cell r="FZ67">
            <v>322</v>
          </cell>
          <cell r="GA67">
            <v>0</v>
          </cell>
          <cell r="GE67">
            <v>0</v>
          </cell>
          <cell r="GJ67">
            <v>28747</v>
          </cell>
          <cell r="GK67">
            <v>8994</v>
          </cell>
          <cell r="GL67">
            <v>0</v>
          </cell>
          <cell r="GM67">
            <v>60</v>
          </cell>
          <cell r="GN67">
            <v>81432</v>
          </cell>
          <cell r="GO67">
            <v>14072</v>
          </cell>
          <cell r="GP67">
            <v>322</v>
          </cell>
          <cell r="GQ67">
            <v>60</v>
          </cell>
          <cell r="GR67">
            <v>101</v>
          </cell>
          <cell r="GT67">
            <v>135848</v>
          </cell>
          <cell r="GU67">
            <v>19673</v>
          </cell>
          <cell r="GV67">
            <v>123454</v>
          </cell>
          <cell r="GW67">
            <v>46258</v>
          </cell>
          <cell r="GX67">
            <v>1881</v>
          </cell>
          <cell r="GY67">
            <v>24064</v>
          </cell>
          <cell r="GZ67">
            <v>182106</v>
          </cell>
          <cell r="HA67">
            <v>21554</v>
          </cell>
          <cell r="HB67">
            <v>147518</v>
          </cell>
          <cell r="HC67">
            <v>351178</v>
          </cell>
          <cell r="HD67">
            <v>1377</v>
          </cell>
          <cell r="HE67">
            <v>352555</v>
          </cell>
          <cell r="HF67">
            <v>12250</v>
          </cell>
          <cell r="HG67">
            <v>130124</v>
          </cell>
          <cell r="HH67">
            <v>0</v>
          </cell>
          <cell r="HI67">
            <v>0</v>
          </cell>
          <cell r="HJ67">
            <v>142374</v>
          </cell>
          <cell r="HK67">
            <v>494929</v>
          </cell>
          <cell r="HL67">
            <v>222</v>
          </cell>
          <cell r="HM67">
            <v>24143</v>
          </cell>
          <cell r="HN67">
            <v>24365</v>
          </cell>
          <cell r="HO67">
            <v>1246</v>
          </cell>
          <cell r="HP67">
            <v>5994</v>
          </cell>
          <cell r="HQ67">
            <v>7240</v>
          </cell>
          <cell r="HR67">
            <v>0</v>
          </cell>
          <cell r="HS67">
            <v>0</v>
          </cell>
          <cell r="HT67">
            <v>0</v>
          </cell>
          <cell r="HU67">
            <v>2270</v>
          </cell>
          <cell r="HV67">
            <v>33875</v>
          </cell>
          <cell r="HW67">
            <v>19870</v>
          </cell>
          <cell r="HX67">
            <v>51908</v>
          </cell>
          <cell r="HY67">
            <v>71778</v>
          </cell>
          <cell r="HZ67">
            <v>105653</v>
          </cell>
          <cell r="IA67">
            <v>19490</v>
          </cell>
          <cell r="IB67">
            <v>149614</v>
          </cell>
          <cell r="IC67">
            <v>528804</v>
          </cell>
          <cell r="ID67">
            <v>528804</v>
          </cell>
          <cell r="IE67">
            <v>600582</v>
          </cell>
          <cell r="IF67">
            <v>190569</v>
          </cell>
          <cell r="IG67">
            <v>25</v>
          </cell>
          <cell r="IJ67">
            <v>1</v>
          </cell>
          <cell r="IK67">
            <v>6.1899999999999997E-2</v>
          </cell>
          <cell r="IL67">
            <v>6.9999999999999999E-4</v>
          </cell>
          <cell r="IM67">
            <v>0.24879999999999999</v>
          </cell>
          <cell r="IN67">
            <v>0</v>
          </cell>
          <cell r="IO67">
            <v>0.21129999999999999</v>
          </cell>
          <cell r="IP67">
            <v>2.0000000000000001E-4</v>
          </cell>
          <cell r="IQ67">
            <v>0.66290000000000004</v>
          </cell>
          <cell r="IR67">
            <v>5.8900000000000001E-2</v>
          </cell>
          <cell r="IS67">
            <v>0.3604</v>
          </cell>
          <cell r="IT67">
            <v>92255</v>
          </cell>
          <cell r="IU67">
            <v>50804</v>
          </cell>
          <cell r="IV67">
            <v>143059</v>
          </cell>
          <cell r="IW67">
            <v>1.0008999999999999</v>
          </cell>
          <cell r="IX67">
            <v>512094</v>
          </cell>
          <cell r="IZ67">
            <v>169</v>
          </cell>
          <cell r="JA67">
            <v>93</v>
          </cell>
          <cell r="JB67">
            <v>1058</v>
          </cell>
          <cell r="JC67">
            <v>39</v>
          </cell>
          <cell r="JD67">
            <v>2</v>
          </cell>
          <cell r="JE67">
            <v>535</v>
          </cell>
          <cell r="JF67">
            <v>208</v>
          </cell>
          <cell r="JG67">
            <v>95</v>
          </cell>
          <cell r="JH67">
            <v>1593</v>
          </cell>
          <cell r="JI67">
            <v>1896</v>
          </cell>
          <cell r="JJ67">
            <v>1320</v>
          </cell>
          <cell r="JK67">
            <v>576</v>
          </cell>
          <cell r="JL67">
            <v>2976</v>
          </cell>
          <cell r="JM67">
            <v>638</v>
          </cell>
          <cell r="JN67">
            <v>24336</v>
          </cell>
          <cell r="JO67">
            <v>1393</v>
          </cell>
          <cell r="JP67">
            <v>115</v>
          </cell>
          <cell r="JQ67">
            <v>17859</v>
          </cell>
          <cell r="JR67">
            <v>4369</v>
          </cell>
          <cell r="JS67">
            <v>753</v>
          </cell>
          <cell r="JT67">
            <v>42195</v>
          </cell>
          <cell r="JU67">
            <v>47317</v>
          </cell>
          <cell r="JV67">
            <v>27950</v>
          </cell>
          <cell r="JW67">
            <v>19367</v>
          </cell>
          <cell r="JX67">
            <v>24.96</v>
          </cell>
          <cell r="JY67">
            <v>21</v>
          </cell>
          <cell r="JZ67">
            <v>26.49</v>
          </cell>
          <cell r="KA67">
            <v>0.09</v>
          </cell>
          <cell r="KB67">
            <v>0.89</v>
          </cell>
          <cell r="KC67">
            <v>1</v>
          </cell>
          <cell r="KD67">
            <v>10</v>
          </cell>
          <cell r="KE67">
            <v>22</v>
          </cell>
          <cell r="KF67">
            <v>194</v>
          </cell>
          <cell r="KG67">
            <v>662</v>
          </cell>
          <cell r="KH67">
            <v>17300</v>
          </cell>
          <cell r="KI67">
            <v>0</v>
          </cell>
          <cell r="KJ67">
            <v>0</v>
          </cell>
          <cell r="KK67">
            <v>126</v>
          </cell>
          <cell r="KL67">
            <v>3748</v>
          </cell>
          <cell r="KM67">
            <v>99735</v>
          </cell>
          <cell r="KN67">
            <v>36112</v>
          </cell>
          <cell r="KO67">
            <v>6567</v>
          </cell>
          <cell r="KQ67">
            <v>1646</v>
          </cell>
          <cell r="KR67">
            <v>7010</v>
          </cell>
          <cell r="KS67">
            <v>290</v>
          </cell>
          <cell r="KT67">
            <v>133</v>
          </cell>
          <cell r="KU67">
            <v>81</v>
          </cell>
          <cell r="KV67">
            <v>156</v>
          </cell>
          <cell r="KW67">
            <v>92961</v>
          </cell>
          <cell r="KY67">
            <v>194813</v>
          </cell>
          <cell r="KZ67">
            <v>33130</v>
          </cell>
          <cell r="LC67" t="str">
            <v>RANDOLPH PUBLIC LIBRARY</v>
          </cell>
          <cell r="LD67" t="str">
            <v>County Owned</v>
          </cell>
          <cell r="LE67" t="str">
            <v>201 WORTH ST</v>
          </cell>
          <cell r="LF67" t="str">
            <v>ASHEBORO</v>
          </cell>
          <cell r="LG67">
            <v>27203</v>
          </cell>
          <cell r="LH67">
            <v>5557</v>
          </cell>
          <cell r="LI67" t="str">
            <v>201 WORTH ST</v>
          </cell>
          <cell r="LJ67" t="str">
            <v>ASHEBORO</v>
          </cell>
          <cell r="LK67">
            <v>27203</v>
          </cell>
          <cell r="LL67">
            <v>5557</v>
          </cell>
          <cell r="LM67" t="str">
            <v>RANDOLPH</v>
          </cell>
          <cell r="LN67">
            <v>3363186800</v>
          </cell>
          <cell r="LO67">
            <v>3363186823</v>
          </cell>
          <cell r="LP67">
            <v>66712</v>
          </cell>
          <cell r="LQ67">
            <v>43.95</v>
          </cell>
          <cell r="LS67">
            <v>16406</v>
          </cell>
          <cell r="LT67">
            <v>364</v>
          </cell>
          <cell r="LW67">
            <v>2</v>
          </cell>
          <cell r="LX67" t="str">
            <v>C-RANDOLPH-R</v>
          </cell>
          <cell r="LY67">
            <v>0</v>
          </cell>
          <cell r="LZ67" t="str">
            <v>CE</v>
          </cell>
          <cell r="MA67">
            <v>50</v>
          </cell>
          <cell r="MB67">
            <v>5</v>
          </cell>
        </row>
        <row r="68">
          <cell r="A68" t="str">
            <v>NC0088</v>
          </cell>
          <cell r="B68">
            <v>0</v>
          </cell>
          <cell r="C68">
            <v>1375</v>
          </cell>
          <cell r="D68">
            <v>2017</v>
          </cell>
          <cell r="E68">
            <v>0</v>
          </cell>
          <cell r="F68" t="str">
            <v>NC0088</v>
          </cell>
          <cell r="G68" t="str">
            <v>M-ROANOKE RAPIDS</v>
          </cell>
          <cell r="H68" t="str">
            <v>HQ</v>
          </cell>
          <cell r="I68" t="str">
            <v>CI</v>
          </cell>
          <cell r="J68" t="str">
            <v>SO</v>
          </cell>
          <cell r="K68" t="str">
            <v>Y</v>
          </cell>
          <cell r="L68" t="str">
            <v>CI1</v>
          </cell>
          <cell r="M68" t="str">
            <v>N</v>
          </cell>
          <cell r="N68">
            <v>15186</v>
          </cell>
          <cell r="O68" t="str">
            <v>No</v>
          </cell>
          <cell r="P68">
            <v>38</v>
          </cell>
          <cell r="Q68">
            <v>5</v>
          </cell>
          <cell r="R68">
            <v>24</v>
          </cell>
          <cell r="S68">
            <v>5</v>
          </cell>
          <cell r="T68">
            <v>504</v>
          </cell>
          <cell r="U68">
            <v>6</v>
          </cell>
          <cell r="V68">
            <v>1900</v>
          </cell>
          <cell r="W68">
            <v>254</v>
          </cell>
          <cell r="X68">
            <v>9390</v>
          </cell>
          <cell r="Y68">
            <v>780</v>
          </cell>
          <cell r="Z68" t="str">
            <v>319 ROANOKE AVE</v>
          </cell>
          <cell r="AA68" t="str">
            <v>ROANOKE RAPIDS</v>
          </cell>
          <cell r="AB68">
            <v>27870</v>
          </cell>
          <cell r="AC68">
            <v>1917</v>
          </cell>
          <cell r="AD68" t="str">
            <v>319 ROANOKE AVE</v>
          </cell>
          <cell r="AE68" t="str">
            <v>ROANOKE RAPIDS</v>
          </cell>
          <cell r="AF68">
            <v>27870</v>
          </cell>
          <cell r="AG68">
            <v>1</v>
          </cell>
          <cell r="AH68" t="str">
            <v>ROANOKE RAPIDS PUBLIC LIBRARY</v>
          </cell>
          <cell r="AJ68" t="str">
            <v>Municipal</v>
          </cell>
          <cell r="AK68" t="str">
            <v>HALIFAX</v>
          </cell>
          <cell r="AL68" t="str">
            <v>Jeffrey C. Watson</v>
          </cell>
          <cell r="AM68" t="str">
            <v>(252) 533-2890</v>
          </cell>
          <cell r="AO68" t="str">
            <v>jwatson@roanokerapidsnc.com</v>
          </cell>
          <cell r="AP68" t="str">
            <v>Jeffrey C. Watson</v>
          </cell>
          <cell r="AQ68" t="str">
            <v>Head Librarian</v>
          </cell>
          <cell r="AR68" t="str">
            <v>(252) 533-2890</v>
          </cell>
          <cell r="AT68" t="str">
            <v>jwatson@roanokerapidsnc.com</v>
          </cell>
          <cell r="AU68" t="str">
            <v>www.youseemore.com/RoanokeRapids/</v>
          </cell>
          <cell r="BC68">
            <v>1</v>
          </cell>
          <cell r="BD68">
            <v>0</v>
          </cell>
          <cell r="BE68">
            <v>0</v>
          </cell>
          <cell r="BF68">
            <v>0</v>
          </cell>
          <cell r="BG68">
            <v>1</v>
          </cell>
          <cell r="BI68">
            <v>2346</v>
          </cell>
          <cell r="BJ68">
            <v>1</v>
          </cell>
          <cell r="BK68">
            <v>0</v>
          </cell>
          <cell r="BL68">
            <v>1</v>
          </cell>
          <cell r="BM68">
            <v>4.05</v>
          </cell>
          <cell r="BN68">
            <v>5.05</v>
          </cell>
          <cell r="BO68">
            <v>0.19800000000000001</v>
          </cell>
          <cell r="BP68">
            <v>818</v>
          </cell>
          <cell r="BQ68">
            <v>47943</v>
          </cell>
          <cell r="CZ68">
            <v>35260</v>
          </cell>
          <cell r="DA68">
            <v>52366</v>
          </cell>
          <cell r="DB68">
            <v>39683</v>
          </cell>
          <cell r="DK68">
            <v>27283</v>
          </cell>
          <cell r="DL68">
            <v>40473</v>
          </cell>
          <cell r="DM68">
            <v>27283</v>
          </cell>
          <cell r="DO68">
            <v>22383</v>
          </cell>
          <cell r="DP68">
            <v>33240</v>
          </cell>
          <cell r="DQ68">
            <v>22383</v>
          </cell>
          <cell r="DV68">
            <v>273795</v>
          </cell>
          <cell r="DW68">
            <v>0</v>
          </cell>
          <cell r="DX68">
            <v>273795</v>
          </cell>
          <cell r="DY68">
            <v>13182</v>
          </cell>
          <cell r="DZ68">
            <v>0</v>
          </cell>
          <cell r="EA68">
            <v>13182</v>
          </cell>
          <cell r="EB68">
            <v>0</v>
          </cell>
          <cell r="EC68">
            <v>0</v>
          </cell>
          <cell r="ED68">
            <v>0</v>
          </cell>
          <cell r="EE68">
            <v>7022</v>
          </cell>
          <cell r="EF68">
            <v>293999</v>
          </cell>
          <cell r="EG68">
            <v>158916</v>
          </cell>
          <cell r="EH68">
            <v>48170</v>
          </cell>
          <cell r="EI68">
            <v>207086</v>
          </cell>
          <cell r="EJ68">
            <v>19678</v>
          </cell>
          <cell r="EK68">
            <v>1650</v>
          </cell>
          <cell r="EL68">
            <v>8964</v>
          </cell>
          <cell r="EM68">
            <v>30292</v>
          </cell>
          <cell r="EN68">
            <v>56621</v>
          </cell>
          <cell r="EO68">
            <v>293999</v>
          </cell>
          <cell r="EP68">
            <v>0</v>
          </cell>
          <cell r="EQ68">
            <v>0</v>
          </cell>
          <cell r="ER68">
            <v>19345</v>
          </cell>
          <cell r="ES68">
            <v>0</v>
          </cell>
          <cell r="ET68">
            <v>0</v>
          </cell>
          <cell r="EU68">
            <v>0</v>
          </cell>
          <cell r="EV68">
            <v>19345</v>
          </cell>
          <cell r="EW68">
            <v>19345</v>
          </cell>
          <cell r="EX68">
            <v>8743</v>
          </cell>
          <cell r="EY68">
            <v>126573</v>
          </cell>
          <cell r="EZ68">
            <v>11291</v>
          </cell>
          <cell r="FA68">
            <v>2655</v>
          </cell>
          <cell r="FB68">
            <v>9146</v>
          </cell>
          <cell r="FC68">
            <v>7663</v>
          </cell>
          <cell r="FD68">
            <v>684</v>
          </cell>
          <cell r="FE68">
            <v>4365</v>
          </cell>
          <cell r="FF68">
            <v>18954</v>
          </cell>
          <cell r="FG68">
            <v>3339</v>
          </cell>
          <cell r="FH68">
            <v>13511</v>
          </cell>
          <cell r="FI68">
            <v>35804</v>
          </cell>
          <cell r="FJ68">
            <v>176</v>
          </cell>
          <cell r="FK68">
            <v>47</v>
          </cell>
          <cell r="FM68">
            <v>35804</v>
          </cell>
          <cell r="FN68">
            <v>900</v>
          </cell>
          <cell r="FO68">
            <v>2591</v>
          </cell>
          <cell r="FP68">
            <v>-1</v>
          </cell>
          <cell r="FQ68">
            <v>0</v>
          </cell>
          <cell r="FR68">
            <v>88</v>
          </cell>
          <cell r="FS68">
            <v>88</v>
          </cell>
          <cell r="FT68">
            <v>44141</v>
          </cell>
          <cell r="FU68">
            <v>3505</v>
          </cell>
          <cell r="FV68">
            <v>0</v>
          </cell>
          <cell r="FW68">
            <v>0</v>
          </cell>
          <cell r="FX68">
            <v>8544</v>
          </cell>
          <cell r="FY68">
            <v>1573</v>
          </cell>
          <cell r="FZ68">
            <v>322</v>
          </cell>
          <cell r="GA68">
            <v>0</v>
          </cell>
          <cell r="GB68">
            <v>26436</v>
          </cell>
          <cell r="GC68">
            <v>1747</v>
          </cell>
          <cell r="GD68">
            <v>278</v>
          </cell>
          <cell r="GE68">
            <v>42</v>
          </cell>
          <cell r="GJ68">
            <v>380</v>
          </cell>
          <cell r="GK68">
            <v>0</v>
          </cell>
          <cell r="GL68">
            <v>0</v>
          </cell>
          <cell r="GM68">
            <v>0</v>
          </cell>
          <cell r="GN68">
            <v>79501</v>
          </cell>
          <cell r="GO68">
            <v>6825</v>
          </cell>
          <cell r="GP68">
            <v>600</v>
          </cell>
          <cell r="GQ68">
            <v>42</v>
          </cell>
          <cell r="GR68">
            <v>11</v>
          </cell>
          <cell r="GT68">
            <v>12836</v>
          </cell>
          <cell r="GU68">
            <v>818</v>
          </cell>
          <cell r="GV68">
            <v>7415</v>
          </cell>
          <cell r="GW68">
            <v>1839</v>
          </cell>
          <cell r="GX68">
            <v>169</v>
          </cell>
          <cell r="GY68">
            <v>835</v>
          </cell>
          <cell r="GZ68">
            <v>14675</v>
          </cell>
          <cell r="HA68">
            <v>987</v>
          </cell>
          <cell r="HB68">
            <v>8250</v>
          </cell>
          <cell r="HC68">
            <v>23912</v>
          </cell>
          <cell r="HD68">
            <v>242</v>
          </cell>
          <cell r="HE68">
            <v>24237</v>
          </cell>
          <cell r="HF68">
            <v>1065</v>
          </cell>
          <cell r="HG68">
            <v>2793</v>
          </cell>
          <cell r="HH68">
            <v>83</v>
          </cell>
          <cell r="HI68">
            <v>35</v>
          </cell>
          <cell r="HJ68">
            <v>3893</v>
          </cell>
          <cell r="HK68">
            <v>28130</v>
          </cell>
          <cell r="HL68">
            <v>11</v>
          </cell>
          <cell r="HM68">
            <v>240</v>
          </cell>
          <cell r="HN68">
            <v>251</v>
          </cell>
          <cell r="HO68">
            <v>30</v>
          </cell>
          <cell r="HP68">
            <v>16</v>
          </cell>
          <cell r="HQ68">
            <v>46</v>
          </cell>
          <cell r="HR68">
            <v>0</v>
          </cell>
          <cell r="HS68">
            <v>2</v>
          </cell>
          <cell r="HT68">
            <v>2</v>
          </cell>
          <cell r="HU68">
            <v>0</v>
          </cell>
          <cell r="HV68">
            <v>299</v>
          </cell>
          <cell r="HW68">
            <v>112</v>
          </cell>
          <cell r="HX68">
            <v>0</v>
          </cell>
          <cell r="HY68">
            <v>112</v>
          </cell>
          <cell r="HZ68">
            <v>411</v>
          </cell>
          <cell r="IA68">
            <v>1111</v>
          </cell>
          <cell r="IB68">
            <v>3906</v>
          </cell>
          <cell r="IC68">
            <v>28429</v>
          </cell>
          <cell r="ID68">
            <v>28429</v>
          </cell>
          <cell r="IE68">
            <v>28541</v>
          </cell>
          <cell r="IF68">
            <v>9343</v>
          </cell>
          <cell r="IG68">
            <v>20</v>
          </cell>
          <cell r="IJ68">
            <v>1</v>
          </cell>
          <cell r="IK68">
            <v>2.52E-2</v>
          </cell>
          <cell r="IL68">
            <v>4.0000000000000002E-4</v>
          </cell>
          <cell r="IM68">
            <v>0.68710000000000004</v>
          </cell>
          <cell r="IN68">
            <v>0</v>
          </cell>
          <cell r="IO68">
            <v>0.62809999999999999</v>
          </cell>
          <cell r="IP68">
            <v>6.9999999999999999E-4</v>
          </cell>
          <cell r="IQ68">
            <v>0.28289999999999998</v>
          </cell>
          <cell r="IR68">
            <v>6.0999999999999999E-2</v>
          </cell>
          <cell r="IS68">
            <v>0.3286</v>
          </cell>
          <cell r="IT68">
            <v>7448</v>
          </cell>
          <cell r="IU68">
            <v>914</v>
          </cell>
          <cell r="IV68">
            <v>8362</v>
          </cell>
          <cell r="IW68">
            <v>0.55059999999999998</v>
          </cell>
          <cell r="IX68">
            <v>25450</v>
          </cell>
          <cell r="IZ68">
            <v>58</v>
          </cell>
          <cell r="JA68">
            <v>28</v>
          </cell>
          <cell r="JB68">
            <v>64</v>
          </cell>
          <cell r="JC68">
            <v>6</v>
          </cell>
          <cell r="JD68">
            <v>1</v>
          </cell>
          <cell r="JE68">
            <v>2</v>
          </cell>
          <cell r="JF68">
            <v>64</v>
          </cell>
          <cell r="JG68">
            <v>29</v>
          </cell>
          <cell r="JH68">
            <v>66</v>
          </cell>
          <cell r="JI68">
            <v>159</v>
          </cell>
          <cell r="JJ68">
            <v>150</v>
          </cell>
          <cell r="JK68">
            <v>9</v>
          </cell>
          <cell r="JL68">
            <v>702</v>
          </cell>
          <cell r="JM68">
            <v>265</v>
          </cell>
          <cell r="JN68">
            <v>1697</v>
          </cell>
          <cell r="JO68">
            <v>140</v>
          </cell>
          <cell r="JP68">
            <v>5</v>
          </cell>
          <cell r="JQ68">
            <v>338</v>
          </cell>
          <cell r="JR68">
            <v>842</v>
          </cell>
          <cell r="JS68">
            <v>270</v>
          </cell>
          <cell r="JT68">
            <v>2035</v>
          </cell>
          <cell r="JU68">
            <v>3147</v>
          </cell>
          <cell r="JV68">
            <v>2664</v>
          </cell>
          <cell r="JW68">
            <v>483</v>
          </cell>
          <cell r="JX68">
            <v>19.79</v>
          </cell>
          <cell r="JY68">
            <v>13.16</v>
          </cell>
          <cell r="JZ68">
            <v>30.83</v>
          </cell>
          <cell r="KA68">
            <v>0.27</v>
          </cell>
          <cell r="KB68">
            <v>0.65</v>
          </cell>
          <cell r="KC68">
            <v>0</v>
          </cell>
          <cell r="KD68">
            <v>0</v>
          </cell>
          <cell r="KE68">
            <v>0</v>
          </cell>
          <cell r="KF68">
            <v>0</v>
          </cell>
          <cell r="KG68">
            <v>50</v>
          </cell>
          <cell r="KH68">
            <v>768</v>
          </cell>
          <cell r="KI68">
            <v>20</v>
          </cell>
          <cell r="KJ68">
            <v>93</v>
          </cell>
          <cell r="KK68">
            <v>5</v>
          </cell>
          <cell r="KL68">
            <v>165</v>
          </cell>
          <cell r="KM68">
            <v>18778</v>
          </cell>
          <cell r="KN68">
            <v>4173</v>
          </cell>
          <cell r="KO68">
            <v>602</v>
          </cell>
          <cell r="KQ68">
            <v>9</v>
          </cell>
          <cell r="KR68">
            <v>61</v>
          </cell>
          <cell r="KS68">
            <v>27</v>
          </cell>
          <cell r="KT68">
            <v>18</v>
          </cell>
          <cell r="KU68">
            <v>8</v>
          </cell>
          <cell r="KV68">
            <v>13</v>
          </cell>
          <cell r="KW68">
            <v>5384</v>
          </cell>
          <cell r="KY68">
            <v>35000</v>
          </cell>
          <cell r="LC68" t="str">
            <v>ROANOKE RAPIDS PUBLIC LIBRARY</v>
          </cell>
          <cell r="LD68" t="str">
            <v>City Owned</v>
          </cell>
          <cell r="LE68" t="str">
            <v>319 ROANOKE AVE</v>
          </cell>
          <cell r="LF68" t="str">
            <v>ROANOKE RAPIDS</v>
          </cell>
          <cell r="LG68">
            <v>27870</v>
          </cell>
          <cell r="LH68">
            <v>1917</v>
          </cell>
          <cell r="LI68" t="str">
            <v>319 ROANOKE AVE</v>
          </cell>
          <cell r="LJ68" t="str">
            <v>ROANOKE RAPIDS</v>
          </cell>
          <cell r="LK68">
            <v>27870</v>
          </cell>
          <cell r="LL68">
            <v>1917</v>
          </cell>
          <cell r="LM68" t="str">
            <v>HALIFAX</v>
          </cell>
          <cell r="LN68">
            <v>2525332890</v>
          </cell>
          <cell r="LP68">
            <v>7550</v>
          </cell>
          <cell r="LQ68">
            <v>5.05</v>
          </cell>
          <cell r="LS68">
            <v>2346</v>
          </cell>
          <cell r="LT68">
            <v>50</v>
          </cell>
          <cell r="LW68">
            <v>2</v>
          </cell>
          <cell r="LX68" t="str">
            <v>M-ROANOKERAPIDS-R</v>
          </cell>
          <cell r="LY68">
            <v>0</v>
          </cell>
          <cell r="LZ68" t="str">
            <v>CE</v>
          </cell>
          <cell r="MA68">
            <v>64.39</v>
          </cell>
          <cell r="MB68">
            <v>4.3600000000000003</v>
          </cell>
        </row>
        <row r="69">
          <cell r="A69" t="str">
            <v>NC0053</v>
          </cell>
          <cell r="B69">
            <v>0</v>
          </cell>
          <cell r="C69">
            <v>1375</v>
          </cell>
          <cell r="D69">
            <v>2017</v>
          </cell>
          <cell r="E69">
            <v>0</v>
          </cell>
          <cell r="F69" t="str">
            <v>NC0053</v>
          </cell>
          <cell r="G69" t="str">
            <v>C-ROBESON</v>
          </cell>
          <cell r="H69" t="str">
            <v>NO</v>
          </cell>
          <cell r="I69" t="str">
            <v>CC</v>
          </cell>
          <cell r="J69" t="str">
            <v>MO</v>
          </cell>
          <cell r="K69" t="str">
            <v>Y</v>
          </cell>
          <cell r="L69" t="str">
            <v>CO1</v>
          </cell>
          <cell r="M69" t="str">
            <v>N</v>
          </cell>
          <cell r="N69">
            <v>133375</v>
          </cell>
          <cell r="O69" t="str">
            <v>Yes</v>
          </cell>
          <cell r="P69">
            <v>246</v>
          </cell>
          <cell r="Q69">
            <v>89</v>
          </cell>
          <cell r="R69">
            <v>75</v>
          </cell>
          <cell r="S69">
            <v>0</v>
          </cell>
          <cell r="T69">
            <v>1049</v>
          </cell>
          <cell r="U69">
            <v>0</v>
          </cell>
          <cell r="V69">
            <v>15319</v>
          </cell>
          <cell r="W69">
            <v>1546</v>
          </cell>
          <cell r="X69">
            <v>58000</v>
          </cell>
          <cell r="Y69">
            <v>8000</v>
          </cell>
          <cell r="Z69" t="str">
            <v>PO BOX 988</v>
          </cell>
          <cell r="AA69" t="str">
            <v>LUMBERTON</v>
          </cell>
          <cell r="AB69">
            <v>28359</v>
          </cell>
          <cell r="AC69">
            <v>988</v>
          </cell>
          <cell r="AD69" t="str">
            <v>101 N CHESTNUT ST</v>
          </cell>
          <cell r="AE69" t="str">
            <v>LUMBERTON</v>
          </cell>
          <cell r="AF69">
            <v>28358</v>
          </cell>
          <cell r="AG69">
            <v>1</v>
          </cell>
          <cell r="AH69" t="str">
            <v>ROBESON COUNTY PUBLIC LIBRARY</v>
          </cell>
          <cell r="AJ69" t="str">
            <v>County</v>
          </cell>
          <cell r="AK69" t="str">
            <v>ROBESON</v>
          </cell>
          <cell r="AL69" t="str">
            <v>Katie Fountain</v>
          </cell>
          <cell r="AM69" t="str">
            <v>(910) 738-4859</v>
          </cell>
          <cell r="AN69" t="str">
            <v>(910) 739-8321</v>
          </cell>
          <cell r="AO69" t="str">
            <v>kfountain@robesoncountylibrary.org</v>
          </cell>
          <cell r="AP69" t="str">
            <v>Katie Fountain</v>
          </cell>
          <cell r="AQ69" t="str">
            <v>Director</v>
          </cell>
          <cell r="AR69" t="str">
            <v>(910) 738-4859</v>
          </cell>
          <cell r="AS69" t="str">
            <v>(910) 739-8321</v>
          </cell>
          <cell r="AT69" t="str">
            <v>kfountain@robesoncountylibrary.org</v>
          </cell>
          <cell r="AU69" t="str">
            <v>www.robesoncountylibrary.org</v>
          </cell>
          <cell r="BC69">
            <v>1</v>
          </cell>
          <cell r="BD69">
            <v>6</v>
          </cell>
          <cell r="BE69">
            <v>0</v>
          </cell>
          <cell r="BF69">
            <v>2</v>
          </cell>
          <cell r="BG69">
            <v>9</v>
          </cell>
          <cell r="BI69">
            <v>12314</v>
          </cell>
          <cell r="BJ69">
            <v>5</v>
          </cell>
          <cell r="BK69">
            <v>0</v>
          </cell>
          <cell r="BL69">
            <v>5</v>
          </cell>
          <cell r="BM69">
            <v>14.85</v>
          </cell>
          <cell r="BN69">
            <v>19.850000000000001</v>
          </cell>
          <cell r="BO69">
            <v>0.25190000000000001</v>
          </cell>
          <cell r="BP69">
            <v>0</v>
          </cell>
          <cell r="BQ69">
            <v>65213</v>
          </cell>
          <cell r="BT69">
            <v>0</v>
          </cell>
          <cell r="BU69">
            <v>24960</v>
          </cell>
          <cell r="BV69">
            <v>36192</v>
          </cell>
          <cell r="BW69">
            <v>25651</v>
          </cell>
          <cell r="BY69">
            <v>37500</v>
          </cell>
          <cell r="BZ69">
            <v>58125</v>
          </cell>
          <cell r="CA69">
            <v>39207</v>
          </cell>
          <cell r="CC69">
            <v>37500</v>
          </cell>
          <cell r="CD69">
            <v>58125</v>
          </cell>
          <cell r="CE69">
            <v>41000</v>
          </cell>
          <cell r="CG69">
            <v>37500</v>
          </cell>
          <cell r="CH69">
            <v>58125</v>
          </cell>
          <cell r="CI69">
            <v>46980</v>
          </cell>
          <cell r="CO69">
            <v>37500</v>
          </cell>
          <cell r="CP69">
            <v>58125</v>
          </cell>
          <cell r="CQ69">
            <v>38500</v>
          </cell>
          <cell r="DK69">
            <v>24960</v>
          </cell>
          <cell r="DL69">
            <v>36192</v>
          </cell>
          <cell r="DM69">
            <v>28642</v>
          </cell>
          <cell r="DO69">
            <v>19760</v>
          </cell>
          <cell r="DP69">
            <v>27664</v>
          </cell>
          <cell r="DQ69">
            <v>21078</v>
          </cell>
          <cell r="DV69">
            <v>333930</v>
          </cell>
          <cell r="DW69">
            <v>560000</v>
          </cell>
          <cell r="DX69">
            <v>893930</v>
          </cell>
          <cell r="DY69">
            <v>213479</v>
          </cell>
          <cell r="DZ69">
            <v>0</v>
          </cell>
          <cell r="EA69">
            <v>213479</v>
          </cell>
          <cell r="EB69">
            <v>14236</v>
          </cell>
          <cell r="EC69">
            <v>0</v>
          </cell>
          <cell r="ED69">
            <v>14236</v>
          </cell>
          <cell r="EE69">
            <v>137560</v>
          </cell>
          <cell r="EF69">
            <v>1259205</v>
          </cell>
          <cell r="EG69">
            <v>593744</v>
          </cell>
          <cell r="EH69">
            <v>200926</v>
          </cell>
          <cell r="EI69">
            <v>794670</v>
          </cell>
          <cell r="EJ69">
            <v>87058</v>
          </cell>
          <cell r="EK69">
            <v>5219</v>
          </cell>
          <cell r="EL69">
            <v>11164</v>
          </cell>
          <cell r="EM69">
            <v>103441</v>
          </cell>
          <cell r="EN69">
            <v>280050</v>
          </cell>
          <cell r="EO69">
            <v>1178161</v>
          </cell>
          <cell r="EP69">
            <v>81044</v>
          </cell>
          <cell r="EQ69">
            <v>6.4399999999999999E-2</v>
          </cell>
          <cell r="ER69">
            <v>20000</v>
          </cell>
          <cell r="ES69">
            <v>0</v>
          </cell>
          <cell r="ET69">
            <v>0</v>
          </cell>
          <cell r="EU69">
            <v>0</v>
          </cell>
          <cell r="EV69">
            <v>20000</v>
          </cell>
          <cell r="EW69">
            <v>20000</v>
          </cell>
          <cell r="EX69">
            <v>9057</v>
          </cell>
          <cell r="EY69">
            <v>186345</v>
          </cell>
          <cell r="EZ69">
            <v>45744</v>
          </cell>
          <cell r="FA69">
            <v>4731</v>
          </cell>
          <cell r="FB69">
            <v>21207</v>
          </cell>
          <cell r="FC69">
            <v>39260</v>
          </cell>
          <cell r="FD69">
            <v>306</v>
          </cell>
          <cell r="FE69">
            <v>10632</v>
          </cell>
          <cell r="FF69">
            <v>85004</v>
          </cell>
          <cell r="FG69">
            <v>5037</v>
          </cell>
          <cell r="FH69">
            <v>31839</v>
          </cell>
          <cell r="FI69">
            <v>121880</v>
          </cell>
          <cell r="FJ69">
            <v>626</v>
          </cell>
          <cell r="FK69">
            <v>114</v>
          </cell>
          <cell r="FM69">
            <v>121880</v>
          </cell>
          <cell r="FN69">
            <v>760</v>
          </cell>
          <cell r="FO69">
            <v>4791</v>
          </cell>
          <cell r="FP69">
            <v>0</v>
          </cell>
          <cell r="FQ69">
            <v>1</v>
          </cell>
          <cell r="FR69">
            <v>88</v>
          </cell>
          <cell r="FS69">
            <v>89</v>
          </cell>
          <cell r="FT69">
            <v>44141</v>
          </cell>
          <cell r="FU69">
            <v>3505</v>
          </cell>
          <cell r="FV69">
            <v>0</v>
          </cell>
          <cell r="FW69">
            <v>0</v>
          </cell>
          <cell r="FX69">
            <v>8544</v>
          </cell>
          <cell r="FY69">
            <v>1573</v>
          </cell>
          <cell r="FZ69">
            <v>322</v>
          </cell>
          <cell r="GA69">
            <v>0</v>
          </cell>
          <cell r="GE69">
            <v>-1</v>
          </cell>
          <cell r="GJ69">
            <v>0</v>
          </cell>
          <cell r="GK69">
            <v>0</v>
          </cell>
          <cell r="GL69">
            <v>1</v>
          </cell>
          <cell r="GM69">
            <v>0</v>
          </cell>
          <cell r="GN69">
            <v>52685</v>
          </cell>
          <cell r="GO69">
            <v>5078</v>
          </cell>
          <cell r="GP69">
            <v>323</v>
          </cell>
          <cell r="GQ69">
            <v>-1</v>
          </cell>
          <cell r="GR69">
            <v>9</v>
          </cell>
          <cell r="GT69">
            <v>33693</v>
          </cell>
          <cell r="GU69">
            <v>5942</v>
          </cell>
          <cell r="GV69">
            <v>37561</v>
          </cell>
          <cell r="GW69">
            <v>9187</v>
          </cell>
          <cell r="GX69">
            <v>119</v>
          </cell>
          <cell r="GY69">
            <v>4977</v>
          </cell>
          <cell r="GZ69">
            <v>42880</v>
          </cell>
          <cell r="HA69">
            <v>6061</v>
          </cell>
          <cell r="HB69">
            <v>42538</v>
          </cell>
          <cell r="HC69">
            <v>91479</v>
          </cell>
          <cell r="HD69">
            <v>0</v>
          </cell>
          <cell r="HE69">
            <v>91479</v>
          </cell>
          <cell r="HF69">
            <v>1095</v>
          </cell>
          <cell r="HG69">
            <v>19174</v>
          </cell>
          <cell r="HH69">
            <v>0</v>
          </cell>
          <cell r="HI69">
            <v>0</v>
          </cell>
          <cell r="HJ69">
            <v>20269</v>
          </cell>
          <cell r="HK69">
            <v>111748</v>
          </cell>
          <cell r="HL69">
            <v>11</v>
          </cell>
          <cell r="HM69">
            <v>853</v>
          </cell>
          <cell r="HN69">
            <v>864</v>
          </cell>
          <cell r="HO69">
            <v>132</v>
          </cell>
          <cell r="HP69">
            <v>0</v>
          </cell>
          <cell r="HQ69">
            <v>132</v>
          </cell>
          <cell r="HR69">
            <v>0</v>
          </cell>
          <cell r="HS69">
            <v>0</v>
          </cell>
          <cell r="HT69">
            <v>0</v>
          </cell>
          <cell r="HU69">
            <v>0</v>
          </cell>
          <cell r="HV69">
            <v>996</v>
          </cell>
          <cell r="HW69">
            <v>2173</v>
          </cell>
          <cell r="HX69">
            <v>0</v>
          </cell>
          <cell r="HY69">
            <v>2173</v>
          </cell>
          <cell r="HZ69">
            <v>3169</v>
          </cell>
          <cell r="IA69">
            <v>1227</v>
          </cell>
          <cell r="IB69">
            <v>20401</v>
          </cell>
          <cell r="IC69">
            <v>112744</v>
          </cell>
          <cell r="ID69">
            <v>112744</v>
          </cell>
          <cell r="IE69">
            <v>114917</v>
          </cell>
          <cell r="IF69">
            <v>53315</v>
          </cell>
          <cell r="IG69">
            <v>105</v>
          </cell>
          <cell r="IJ69">
            <v>1</v>
          </cell>
          <cell r="IK69">
            <v>2.7400000000000001E-2</v>
          </cell>
          <cell r="IL69">
            <v>5.9999999999999995E-4</v>
          </cell>
          <cell r="IM69">
            <v>0.31169999999999998</v>
          </cell>
          <cell r="IN69">
            <v>0</v>
          </cell>
          <cell r="IO69">
            <v>0.28270000000000001</v>
          </cell>
          <cell r="IP69">
            <v>5.0000000000000001E-4</v>
          </cell>
          <cell r="IQ69">
            <v>0.65410000000000001</v>
          </cell>
          <cell r="IR69">
            <v>3.1300000000000001E-2</v>
          </cell>
          <cell r="IS69">
            <v>0.47289999999999999</v>
          </cell>
          <cell r="IT69">
            <v>18547</v>
          </cell>
          <cell r="IU69">
            <v>5776</v>
          </cell>
          <cell r="IV69">
            <v>24323</v>
          </cell>
          <cell r="IW69">
            <v>0.18240000000000001</v>
          </cell>
          <cell r="IX69">
            <v>127102</v>
          </cell>
          <cell r="IZ69">
            <v>128</v>
          </cell>
          <cell r="JA69">
            <v>5</v>
          </cell>
          <cell r="JB69">
            <v>206</v>
          </cell>
          <cell r="JC69">
            <v>2</v>
          </cell>
          <cell r="JD69">
            <v>11</v>
          </cell>
          <cell r="JE69">
            <v>48</v>
          </cell>
          <cell r="JF69">
            <v>130</v>
          </cell>
          <cell r="JG69">
            <v>16</v>
          </cell>
          <cell r="JH69">
            <v>254</v>
          </cell>
          <cell r="JI69">
            <v>400</v>
          </cell>
          <cell r="JJ69">
            <v>339</v>
          </cell>
          <cell r="JK69">
            <v>61</v>
          </cell>
          <cell r="JL69">
            <v>862</v>
          </cell>
          <cell r="JM69">
            <v>14</v>
          </cell>
          <cell r="JN69">
            <v>2850</v>
          </cell>
          <cell r="JO69">
            <v>200</v>
          </cell>
          <cell r="JP69">
            <v>755</v>
          </cell>
          <cell r="JQ69">
            <v>2876</v>
          </cell>
          <cell r="JR69">
            <v>1062</v>
          </cell>
          <cell r="JS69">
            <v>769</v>
          </cell>
          <cell r="JT69">
            <v>5726</v>
          </cell>
          <cell r="JU69">
            <v>7557</v>
          </cell>
          <cell r="JV69">
            <v>3726</v>
          </cell>
          <cell r="JW69">
            <v>3831</v>
          </cell>
          <cell r="JX69">
            <v>18.89</v>
          </cell>
          <cell r="JY69">
            <v>8.17</v>
          </cell>
          <cell r="JZ69">
            <v>22.54</v>
          </cell>
          <cell r="KA69">
            <v>0.14000000000000001</v>
          </cell>
          <cell r="KB69">
            <v>0.76</v>
          </cell>
          <cell r="KC69">
            <v>47</v>
          </cell>
          <cell r="KD69">
            <v>880</v>
          </cell>
          <cell r="KE69">
            <v>59</v>
          </cell>
          <cell r="KF69">
            <v>182</v>
          </cell>
          <cell r="KG69">
            <v>242</v>
          </cell>
          <cell r="KH69">
            <v>16675</v>
          </cell>
          <cell r="KI69">
            <v>23</v>
          </cell>
          <cell r="KJ69">
            <v>359</v>
          </cell>
          <cell r="KK69">
            <v>4</v>
          </cell>
          <cell r="KL69">
            <v>25</v>
          </cell>
          <cell r="KM69">
            <v>35426</v>
          </cell>
          <cell r="KN69">
            <v>15123</v>
          </cell>
          <cell r="KO69">
            <v>6278</v>
          </cell>
          <cell r="KQ69">
            <v>140</v>
          </cell>
          <cell r="KR69">
            <v>3826</v>
          </cell>
          <cell r="KS69">
            <v>19</v>
          </cell>
          <cell r="KT69">
            <v>254</v>
          </cell>
          <cell r="KU69">
            <v>22</v>
          </cell>
          <cell r="KV69">
            <v>64</v>
          </cell>
          <cell r="KW69">
            <v>40662</v>
          </cell>
          <cell r="KY69">
            <v>32727</v>
          </cell>
          <cell r="LC69" t="str">
            <v>ROBESON COUNTY PUBLIC LIBRARY</v>
          </cell>
          <cell r="LD69" t="str">
            <v>Other</v>
          </cell>
          <cell r="LE69" t="str">
            <v>PO BOX 988</v>
          </cell>
          <cell r="LF69" t="str">
            <v>LUMBERTON</v>
          </cell>
          <cell r="LG69">
            <v>28359</v>
          </cell>
          <cell r="LH69">
            <v>988</v>
          </cell>
          <cell r="LI69" t="str">
            <v>101 N CHESTNUT ST</v>
          </cell>
          <cell r="LJ69" t="str">
            <v>LUMBERTON</v>
          </cell>
          <cell r="LK69">
            <v>28358</v>
          </cell>
          <cell r="LL69">
            <v>1111</v>
          </cell>
          <cell r="LM69" t="str">
            <v>ROBESON</v>
          </cell>
          <cell r="LN69">
            <v>9107384859</v>
          </cell>
          <cell r="LO69">
            <v>9107398321</v>
          </cell>
          <cell r="LP69">
            <v>38136</v>
          </cell>
          <cell r="LQ69">
            <v>20.48</v>
          </cell>
          <cell r="LS69">
            <v>12314</v>
          </cell>
          <cell r="LT69">
            <v>373</v>
          </cell>
          <cell r="LW69">
            <v>2</v>
          </cell>
          <cell r="LX69" t="str">
            <v>C-ROBESON-L</v>
          </cell>
          <cell r="LY69">
            <v>0</v>
          </cell>
          <cell r="LZ69" t="str">
            <v>CE</v>
          </cell>
          <cell r="MA69">
            <v>100</v>
          </cell>
          <cell r="MB69">
            <v>10</v>
          </cell>
        </row>
        <row r="70">
          <cell r="A70" t="str">
            <v>NC0054</v>
          </cell>
          <cell r="B70">
            <v>0</v>
          </cell>
          <cell r="C70">
            <v>1375</v>
          </cell>
          <cell r="D70">
            <v>2017</v>
          </cell>
          <cell r="E70">
            <v>0</v>
          </cell>
          <cell r="F70" t="str">
            <v>NC0054</v>
          </cell>
          <cell r="G70" t="str">
            <v>C-ROCKINGHAM</v>
          </cell>
          <cell r="H70" t="str">
            <v>NO</v>
          </cell>
          <cell r="I70" t="str">
            <v>CO</v>
          </cell>
          <cell r="J70" t="str">
            <v>MA</v>
          </cell>
          <cell r="K70" t="str">
            <v>Y</v>
          </cell>
          <cell r="L70" t="str">
            <v>CO1</v>
          </cell>
          <cell r="M70" t="str">
            <v>N</v>
          </cell>
          <cell r="N70">
            <v>92084</v>
          </cell>
          <cell r="O70" t="str">
            <v>No</v>
          </cell>
          <cell r="P70">
            <v>768</v>
          </cell>
          <cell r="R70">
            <v>106</v>
          </cell>
          <cell r="S70">
            <v>18</v>
          </cell>
          <cell r="T70">
            <v>2706</v>
          </cell>
          <cell r="U70">
            <v>106</v>
          </cell>
          <cell r="V70">
            <v>22126</v>
          </cell>
          <cell r="W70">
            <v>3849</v>
          </cell>
          <cell r="X70">
            <v>76196</v>
          </cell>
          <cell r="Y70">
            <v>13186</v>
          </cell>
          <cell r="Z70" t="str">
            <v>527 BOONE RD</v>
          </cell>
          <cell r="AA70" t="str">
            <v>EDEN</v>
          </cell>
          <cell r="AB70">
            <v>27288</v>
          </cell>
          <cell r="AC70">
            <v>4997</v>
          </cell>
          <cell r="AD70" t="str">
            <v>527 BOONE RD</v>
          </cell>
          <cell r="AE70" t="str">
            <v>EDEN</v>
          </cell>
          <cell r="AF70">
            <v>27288</v>
          </cell>
          <cell r="AG70">
            <v>2</v>
          </cell>
          <cell r="AH70" t="str">
            <v>ROCKINGHAM COUNTY PUBLIC LIBRARY</v>
          </cell>
          <cell r="AJ70" t="str">
            <v>County</v>
          </cell>
          <cell r="AK70" t="str">
            <v>ROCKINGHAM</v>
          </cell>
          <cell r="AL70" t="str">
            <v>Michael P. Roche</v>
          </cell>
          <cell r="AM70" t="str">
            <v>(336) 627-1106</v>
          </cell>
          <cell r="AN70" t="str">
            <v>(336) 623-1258</v>
          </cell>
          <cell r="AO70" t="str">
            <v>mroche@co.rockingham.nc.us</v>
          </cell>
          <cell r="AP70" t="str">
            <v>Cathy B. Lemons</v>
          </cell>
          <cell r="AQ70" t="str">
            <v>Administrative Assistant II</v>
          </cell>
          <cell r="AR70" t="str">
            <v>(336) 627-1106</v>
          </cell>
          <cell r="AS70" t="str">
            <v>(336) 623-1258</v>
          </cell>
          <cell r="AT70" t="str">
            <v>clemons@co.rockingham.nc.us</v>
          </cell>
          <cell r="AU70" t="str">
            <v>www.rcpl.org</v>
          </cell>
          <cell r="BC70">
            <v>0</v>
          </cell>
          <cell r="BD70">
            <v>4</v>
          </cell>
          <cell r="BE70">
            <v>1</v>
          </cell>
          <cell r="BF70">
            <v>1</v>
          </cell>
          <cell r="BG70">
            <v>6</v>
          </cell>
          <cell r="BI70">
            <v>12324</v>
          </cell>
          <cell r="BJ70">
            <v>8</v>
          </cell>
          <cell r="BK70">
            <v>0</v>
          </cell>
          <cell r="BL70">
            <v>8</v>
          </cell>
          <cell r="BM70">
            <v>28.3</v>
          </cell>
          <cell r="BN70">
            <v>36.299999999999997</v>
          </cell>
          <cell r="BO70">
            <v>0.22040000000000001</v>
          </cell>
          <cell r="BP70">
            <v>0</v>
          </cell>
          <cell r="BQ70">
            <v>72209</v>
          </cell>
          <cell r="BT70">
            <v>0</v>
          </cell>
          <cell r="BU70">
            <v>44708</v>
          </cell>
          <cell r="BV70">
            <v>71532</v>
          </cell>
          <cell r="BW70">
            <v>58120</v>
          </cell>
          <cell r="BY70">
            <v>40551</v>
          </cell>
          <cell r="BZ70">
            <v>64882</v>
          </cell>
          <cell r="CA70">
            <v>52716</v>
          </cell>
          <cell r="CC70">
            <v>40551</v>
          </cell>
          <cell r="CD70">
            <v>64882</v>
          </cell>
          <cell r="CE70">
            <v>52716</v>
          </cell>
          <cell r="CG70">
            <v>0</v>
          </cell>
          <cell r="CH70">
            <v>0</v>
          </cell>
          <cell r="CI70">
            <v>0</v>
          </cell>
          <cell r="CK70">
            <v>0</v>
          </cell>
          <cell r="CL70">
            <v>0</v>
          </cell>
          <cell r="CM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V70">
            <v>0</v>
          </cell>
          <cell r="CW70">
            <v>0</v>
          </cell>
          <cell r="CX70">
            <v>0</v>
          </cell>
          <cell r="CZ70">
            <v>0</v>
          </cell>
          <cell r="DA70">
            <v>0</v>
          </cell>
          <cell r="DB70">
            <v>0</v>
          </cell>
          <cell r="DD70">
            <v>0</v>
          </cell>
          <cell r="DE70">
            <v>0</v>
          </cell>
          <cell r="DF70">
            <v>0</v>
          </cell>
          <cell r="DH70">
            <v>0</v>
          </cell>
          <cell r="DI70">
            <v>0</v>
          </cell>
          <cell r="DJ70">
            <v>0</v>
          </cell>
          <cell r="DK70">
            <v>0</v>
          </cell>
          <cell r="DL70">
            <v>0</v>
          </cell>
          <cell r="DM70">
            <v>0</v>
          </cell>
          <cell r="DO70">
            <v>0</v>
          </cell>
          <cell r="DP70">
            <v>0</v>
          </cell>
          <cell r="DQ70">
            <v>0</v>
          </cell>
          <cell r="DS70">
            <v>0</v>
          </cell>
          <cell r="DT70">
            <v>0</v>
          </cell>
          <cell r="DU70">
            <v>0</v>
          </cell>
          <cell r="DV70">
            <v>2600</v>
          </cell>
          <cell r="DW70">
            <v>1611509</v>
          </cell>
          <cell r="DX70">
            <v>1614109</v>
          </cell>
          <cell r="DY70">
            <v>139180</v>
          </cell>
          <cell r="DZ70">
            <v>0</v>
          </cell>
          <cell r="EA70">
            <v>139180</v>
          </cell>
          <cell r="EB70">
            <v>1400</v>
          </cell>
          <cell r="EC70">
            <v>0</v>
          </cell>
          <cell r="ED70">
            <v>1400</v>
          </cell>
          <cell r="EE70">
            <v>140806</v>
          </cell>
          <cell r="EF70">
            <v>1895495</v>
          </cell>
          <cell r="EG70">
            <v>1053924</v>
          </cell>
          <cell r="EH70">
            <v>351334</v>
          </cell>
          <cell r="EI70">
            <v>1405258</v>
          </cell>
          <cell r="EJ70">
            <v>175804</v>
          </cell>
          <cell r="EK70">
            <v>28101</v>
          </cell>
          <cell r="EL70">
            <v>10003</v>
          </cell>
          <cell r="EM70">
            <v>213908</v>
          </cell>
          <cell r="EN70">
            <v>276330</v>
          </cell>
          <cell r="EO70">
            <v>1895496</v>
          </cell>
          <cell r="EP70">
            <v>-1</v>
          </cell>
          <cell r="EQ70">
            <v>0</v>
          </cell>
          <cell r="ER70">
            <v>40918</v>
          </cell>
          <cell r="ES70">
            <v>0</v>
          </cell>
          <cell r="ET70">
            <v>0</v>
          </cell>
          <cell r="EU70">
            <v>0</v>
          </cell>
          <cell r="EV70">
            <v>40918</v>
          </cell>
          <cell r="EW70">
            <v>40918</v>
          </cell>
          <cell r="EX70">
            <v>23847</v>
          </cell>
          <cell r="EY70">
            <v>334880</v>
          </cell>
          <cell r="EZ70">
            <v>94681</v>
          </cell>
          <cell r="FA70">
            <v>8887</v>
          </cell>
          <cell r="FB70">
            <v>41548</v>
          </cell>
          <cell r="FC70">
            <v>77738</v>
          </cell>
          <cell r="FD70">
            <v>2358</v>
          </cell>
          <cell r="FE70">
            <v>25141</v>
          </cell>
          <cell r="FF70">
            <v>172419</v>
          </cell>
          <cell r="FG70">
            <v>11245</v>
          </cell>
          <cell r="FH70">
            <v>66689</v>
          </cell>
          <cell r="FI70">
            <v>250353</v>
          </cell>
          <cell r="FJ70">
            <v>5165</v>
          </cell>
          <cell r="FK70">
            <v>199</v>
          </cell>
          <cell r="FM70">
            <v>250353</v>
          </cell>
          <cell r="FN70">
            <v>7842</v>
          </cell>
          <cell r="FO70">
            <v>12434</v>
          </cell>
          <cell r="FP70">
            <v>603</v>
          </cell>
          <cell r="FQ70">
            <v>3</v>
          </cell>
          <cell r="FR70">
            <v>88</v>
          </cell>
          <cell r="FS70">
            <v>91</v>
          </cell>
          <cell r="FT70">
            <v>44141</v>
          </cell>
          <cell r="FU70">
            <v>3505</v>
          </cell>
          <cell r="FV70">
            <v>0</v>
          </cell>
          <cell r="FW70">
            <v>0</v>
          </cell>
          <cell r="FX70">
            <v>8544</v>
          </cell>
          <cell r="FY70">
            <v>1573</v>
          </cell>
          <cell r="FZ70">
            <v>322</v>
          </cell>
          <cell r="GA70">
            <v>0</v>
          </cell>
          <cell r="GE70">
            <v>-1</v>
          </cell>
          <cell r="GJ70">
            <v>-1</v>
          </cell>
          <cell r="GK70">
            <v>66</v>
          </cell>
          <cell r="GL70">
            <v>0</v>
          </cell>
          <cell r="GM70">
            <v>44</v>
          </cell>
          <cell r="GN70">
            <v>52684</v>
          </cell>
          <cell r="GO70">
            <v>5144</v>
          </cell>
          <cell r="GP70">
            <v>322</v>
          </cell>
          <cell r="GQ70">
            <v>43</v>
          </cell>
          <cell r="GR70">
            <v>46</v>
          </cell>
          <cell r="GT70">
            <v>120035</v>
          </cell>
          <cell r="GU70">
            <v>12493</v>
          </cell>
          <cell r="GV70">
            <v>59800</v>
          </cell>
          <cell r="GW70">
            <v>28356</v>
          </cell>
          <cell r="GX70">
            <v>988</v>
          </cell>
          <cell r="GY70">
            <v>13091</v>
          </cell>
          <cell r="GZ70">
            <v>148391</v>
          </cell>
          <cell r="HA70">
            <v>13481</v>
          </cell>
          <cell r="HB70">
            <v>72891</v>
          </cell>
          <cell r="HC70">
            <v>234763</v>
          </cell>
          <cell r="HD70">
            <v>4242</v>
          </cell>
          <cell r="HE70">
            <v>240906</v>
          </cell>
          <cell r="HF70">
            <v>10803</v>
          </cell>
          <cell r="HG70">
            <v>72955</v>
          </cell>
          <cell r="HH70">
            <v>1901</v>
          </cell>
          <cell r="HI70">
            <v>195</v>
          </cell>
          <cell r="HJ70">
            <v>83953</v>
          </cell>
          <cell r="HK70">
            <v>324859</v>
          </cell>
          <cell r="HL70">
            <v>78</v>
          </cell>
          <cell r="HM70">
            <v>3183</v>
          </cell>
          <cell r="HN70">
            <v>3261</v>
          </cell>
          <cell r="HO70">
            <v>131</v>
          </cell>
          <cell r="HP70">
            <v>0</v>
          </cell>
          <cell r="HQ70">
            <v>131</v>
          </cell>
          <cell r="HR70">
            <v>0</v>
          </cell>
          <cell r="HS70">
            <v>0</v>
          </cell>
          <cell r="HT70">
            <v>0</v>
          </cell>
          <cell r="HU70">
            <v>3183</v>
          </cell>
          <cell r="HV70">
            <v>6575</v>
          </cell>
          <cell r="HW70">
            <v>2026</v>
          </cell>
          <cell r="HX70">
            <v>48723</v>
          </cell>
          <cell r="HY70">
            <v>50749</v>
          </cell>
          <cell r="HZ70">
            <v>57324</v>
          </cell>
          <cell r="IA70">
            <v>10934</v>
          </cell>
          <cell r="IB70">
            <v>83889</v>
          </cell>
          <cell r="IC70">
            <v>331434</v>
          </cell>
          <cell r="ID70">
            <v>331434</v>
          </cell>
          <cell r="IE70">
            <v>382183</v>
          </cell>
          <cell r="IF70">
            <v>86372</v>
          </cell>
          <cell r="IG70">
            <v>1366</v>
          </cell>
          <cell r="IJ70">
            <v>1</v>
          </cell>
          <cell r="IK70">
            <v>3.8100000000000002E-2</v>
          </cell>
          <cell r="IL70">
            <v>5.9999999999999995E-4</v>
          </cell>
          <cell r="IM70">
            <v>0.17380000000000001</v>
          </cell>
          <cell r="IN70">
            <v>0</v>
          </cell>
          <cell r="IO70">
            <v>0.1573</v>
          </cell>
          <cell r="IP70">
            <v>2.9999999999999997E-4</v>
          </cell>
          <cell r="IQ70">
            <v>0.74760000000000004</v>
          </cell>
          <cell r="IR70">
            <v>3.8800000000000001E-2</v>
          </cell>
          <cell r="IS70">
            <v>0.2606</v>
          </cell>
          <cell r="IT70">
            <v>33188</v>
          </cell>
          <cell r="IU70">
            <v>8667</v>
          </cell>
          <cell r="IV70">
            <v>41855</v>
          </cell>
          <cell r="IW70">
            <v>0.45450000000000002</v>
          </cell>
          <cell r="IX70">
            <v>433513</v>
          </cell>
          <cell r="IZ70">
            <v>305</v>
          </cell>
          <cell r="JA70">
            <v>66</v>
          </cell>
          <cell r="JB70">
            <v>403</v>
          </cell>
          <cell r="JC70">
            <v>128</v>
          </cell>
          <cell r="JD70">
            <v>0</v>
          </cell>
          <cell r="JE70">
            <v>58</v>
          </cell>
          <cell r="JF70">
            <v>433</v>
          </cell>
          <cell r="JG70">
            <v>66</v>
          </cell>
          <cell r="JH70">
            <v>461</v>
          </cell>
          <cell r="JI70">
            <v>960</v>
          </cell>
          <cell r="JJ70">
            <v>774</v>
          </cell>
          <cell r="JK70">
            <v>186</v>
          </cell>
          <cell r="JL70">
            <v>8239</v>
          </cell>
          <cell r="JM70">
            <v>548</v>
          </cell>
          <cell r="JN70">
            <v>8868</v>
          </cell>
          <cell r="JO70">
            <v>823</v>
          </cell>
          <cell r="JP70">
            <v>0</v>
          </cell>
          <cell r="JQ70">
            <v>2396</v>
          </cell>
          <cell r="JR70">
            <v>9062</v>
          </cell>
          <cell r="JS70">
            <v>548</v>
          </cell>
          <cell r="JT70">
            <v>11264</v>
          </cell>
          <cell r="JU70">
            <v>20874</v>
          </cell>
          <cell r="JV70">
            <v>17655</v>
          </cell>
          <cell r="JW70">
            <v>3219</v>
          </cell>
          <cell r="JX70">
            <v>21.74</v>
          </cell>
          <cell r="JY70">
            <v>20.93</v>
          </cell>
          <cell r="JZ70">
            <v>24.43</v>
          </cell>
          <cell r="KA70">
            <v>0.43</v>
          </cell>
          <cell r="KB70">
            <v>0.54</v>
          </cell>
          <cell r="KC70">
            <v>134</v>
          </cell>
          <cell r="KD70">
            <v>390</v>
          </cell>
          <cell r="KE70">
            <v>120</v>
          </cell>
          <cell r="KF70">
            <v>356</v>
          </cell>
          <cell r="KG70">
            <v>314</v>
          </cell>
          <cell r="KH70">
            <v>7226</v>
          </cell>
          <cell r="KI70">
            <v>105</v>
          </cell>
          <cell r="KJ70">
            <v>318</v>
          </cell>
          <cell r="KK70">
            <v>220</v>
          </cell>
          <cell r="KL70">
            <v>1974</v>
          </cell>
          <cell r="KM70">
            <v>134017</v>
          </cell>
          <cell r="KN70">
            <v>85527</v>
          </cell>
          <cell r="KO70">
            <v>56576</v>
          </cell>
          <cell r="KQ70">
            <v>1455</v>
          </cell>
          <cell r="KR70">
            <v>13425</v>
          </cell>
          <cell r="KS70">
            <v>18768</v>
          </cell>
          <cell r="KT70">
            <v>13169</v>
          </cell>
          <cell r="KU70">
            <v>33</v>
          </cell>
          <cell r="KV70">
            <v>93</v>
          </cell>
          <cell r="KW70">
            <v>141881</v>
          </cell>
          <cell r="KY70">
            <v>0</v>
          </cell>
          <cell r="KZ70">
            <v>0</v>
          </cell>
          <cell r="LC70" t="str">
            <v>EDEN BRANCH LIBRARY</v>
          </cell>
          <cell r="LD70" t="str">
            <v>County Owned</v>
          </cell>
          <cell r="LE70" t="str">
            <v>598 S PIERCE ST</v>
          </cell>
          <cell r="LF70" t="str">
            <v>EDEN</v>
          </cell>
          <cell r="LG70">
            <v>27288</v>
          </cell>
          <cell r="LH70">
            <v>5298</v>
          </cell>
          <cell r="LI70" t="str">
            <v>598 S PIERCE ST</v>
          </cell>
          <cell r="LJ70" t="str">
            <v>EDEN</v>
          </cell>
          <cell r="LK70">
            <v>27288</v>
          </cell>
          <cell r="LL70">
            <v>5298</v>
          </cell>
          <cell r="LM70" t="str">
            <v>ROCKINGHAM</v>
          </cell>
          <cell r="LN70">
            <v>3366233168</v>
          </cell>
          <cell r="LO70">
            <v>3366231171</v>
          </cell>
          <cell r="LP70">
            <v>49690</v>
          </cell>
          <cell r="LQ70">
            <v>28.3</v>
          </cell>
          <cell r="LS70">
            <v>12324</v>
          </cell>
          <cell r="LT70">
            <v>260</v>
          </cell>
          <cell r="LW70">
            <v>3</v>
          </cell>
          <cell r="LX70" t="str">
            <v>C-ROCKINGHAM-E</v>
          </cell>
          <cell r="LY70">
            <v>0</v>
          </cell>
          <cell r="LZ70" t="str">
            <v>BR</v>
          </cell>
          <cell r="MA70">
            <v>44.3</v>
          </cell>
          <cell r="MB70">
            <v>12.6</v>
          </cell>
        </row>
        <row r="71">
          <cell r="A71" t="str">
            <v>NC0055</v>
          </cell>
          <cell r="B71">
            <v>0</v>
          </cell>
          <cell r="C71">
            <v>1375</v>
          </cell>
          <cell r="D71">
            <v>2017</v>
          </cell>
          <cell r="E71">
            <v>0</v>
          </cell>
          <cell r="F71" t="str">
            <v>NC0055</v>
          </cell>
          <cell r="G71" t="str">
            <v>C-ROWAN</v>
          </cell>
          <cell r="H71" t="str">
            <v>NO</v>
          </cell>
          <cell r="I71" t="str">
            <v>CO</v>
          </cell>
          <cell r="J71" t="str">
            <v>MO</v>
          </cell>
          <cell r="K71" t="str">
            <v>Y</v>
          </cell>
          <cell r="L71" t="str">
            <v>CO1</v>
          </cell>
          <cell r="M71" t="str">
            <v>N</v>
          </cell>
          <cell r="N71">
            <v>140122</v>
          </cell>
          <cell r="O71" t="str">
            <v>Yes</v>
          </cell>
          <cell r="P71">
            <v>2313</v>
          </cell>
          <cell r="Q71">
            <v>329</v>
          </cell>
          <cell r="R71">
            <v>110</v>
          </cell>
          <cell r="S71">
            <v>22</v>
          </cell>
          <cell r="T71">
            <v>8265</v>
          </cell>
          <cell r="U71">
            <v>489</v>
          </cell>
          <cell r="V71">
            <v>50207</v>
          </cell>
          <cell r="W71">
            <v>7415</v>
          </cell>
          <cell r="X71">
            <v>803640</v>
          </cell>
          <cell r="Y71">
            <v>590160</v>
          </cell>
          <cell r="Z71" t="str">
            <v>201 W FISHER ST</v>
          </cell>
          <cell r="AA71" t="str">
            <v>SALISBURY</v>
          </cell>
          <cell r="AB71">
            <v>28144</v>
          </cell>
          <cell r="AC71">
            <v>4935</v>
          </cell>
          <cell r="AD71" t="str">
            <v>201 W FISHER ST</v>
          </cell>
          <cell r="AE71" t="str">
            <v>SALISBURY</v>
          </cell>
          <cell r="AF71">
            <v>28144</v>
          </cell>
          <cell r="AG71">
            <v>2</v>
          </cell>
          <cell r="AH71" t="str">
            <v>ROWAN PUBLIC LIBRARY</v>
          </cell>
          <cell r="AJ71" t="str">
            <v>County</v>
          </cell>
          <cell r="AK71" t="str">
            <v>ROWAN</v>
          </cell>
          <cell r="AL71" t="str">
            <v>Jeff Hall</v>
          </cell>
          <cell r="AM71" t="str">
            <v>(704) 216-8233</v>
          </cell>
          <cell r="AN71" t="str">
            <v>(704) 216-8237</v>
          </cell>
          <cell r="AO71" t="str">
            <v>jeff.hall@rowancountync.gov</v>
          </cell>
          <cell r="AP71" t="str">
            <v>Edward Hirst</v>
          </cell>
          <cell r="AQ71" t="str">
            <v>Technical Services Supervisor</v>
          </cell>
          <cell r="AR71" t="str">
            <v>(704) 216-8259</v>
          </cell>
          <cell r="AS71" t="str">
            <v>(704) 216-8262</v>
          </cell>
          <cell r="AT71" t="str">
            <v>edward.hirst@rowancountync.gov</v>
          </cell>
          <cell r="AU71" t="str">
            <v>www.rowanpubliclibrary.org</v>
          </cell>
          <cell r="BC71">
            <v>1</v>
          </cell>
          <cell r="BD71">
            <v>2</v>
          </cell>
          <cell r="BE71">
            <v>1</v>
          </cell>
          <cell r="BF71">
            <v>1</v>
          </cell>
          <cell r="BG71">
            <v>5</v>
          </cell>
          <cell r="BI71">
            <v>9564</v>
          </cell>
          <cell r="BJ71">
            <v>10</v>
          </cell>
          <cell r="BK71">
            <v>1</v>
          </cell>
          <cell r="BL71">
            <v>11</v>
          </cell>
          <cell r="BM71">
            <v>35.799999999999997</v>
          </cell>
          <cell r="BN71">
            <v>46.8</v>
          </cell>
          <cell r="BO71">
            <v>0.2137</v>
          </cell>
          <cell r="BP71">
            <v>207</v>
          </cell>
          <cell r="BQ71">
            <v>85739</v>
          </cell>
          <cell r="BT71">
            <v>61246</v>
          </cell>
          <cell r="BU71">
            <v>40000</v>
          </cell>
          <cell r="BV71">
            <v>40000</v>
          </cell>
          <cell r="BW71">
            <v>40000</v>
          </cell>
          <cell r="BY71">
            <v>42251</v>
          </cell>
          <cell r="BZ71">
            <v>42251</v>
          </cell>
          <cell r="CA71">
            <v>42251</v>
          </cell>
          <cell r="CC71">
            <v>48552</v>
          </cell>
          <cell r="CD71">
            <v>48552</v>
          </cell>
          <cell r="CE71">
            <v>48552</v>
          </cell>
          <cell r="CG71">
            <v>44140</v>
          </cell>
          <cell r="CH71">
            <v>44140</v>
          </cell>
          <cell r="CI71">
            <v>44140</v>
          </cell>
          <cell r="CO71">
            <v>43027</v>
          </cell>
          <cell r="CP71">
            <v>43027</v>
          </cell>
          <cell r="CQ71">
            <v>43027</v>
          </cell>
          <cell r="CR71">
            <v>32897</v>
          </cell>
          <cell r="CS71">
            <v>38540</v>
          </cell>
          <cell r="CT71">
            <v>35764</v>
          </cell>
          <cell r="CV71">
            <v>38075</v>
          </cell>
          <cell r="CW71">
            <v>42165</v>
          </cell>
          <cell r="CX71">
            <v>40890</v>
          </cell>
          <cell r="DK71">
            <v>31999</v>
          </cell>
          <cell r="DL71">
            <v>39435</v>
          </cell>
          <cell r="DM71">
            <v>36145</v>
          </cell>
          <cell r="DO71">
            <v>6398</v>
          </cell>
          <cell r="DP71">
            <v>39128</v>
          </cell>
          <cell r="DQ71">
            <v>25118</v>
          </cell>
          <cell r="DV71">
            <v>0</v>
          </cell>
          <cell r="DW71">
            <v>3447651</v>
          </cell>
          <cell r="DX71">
            <v>3447651</v>
          </cell>
          <cell r="DY71">
            <v>178656</v>
          </cell>
          <cell r="DZ71">
            <v>36106</v>
          </cell>
          <cell r="EA71">
            <v>214762</v>
          </cell>
          <cell r="EB71">
            <v>0</v>
          </cell>
          <cell r="EC71">
            <v>0</v>
          </cell>
          <cell r="ED71">
            <v>0</v>
          </cell>
          <cell r="EE71">
            <v>147007</v>
          </cell>
          <cell r="EF71">
            <v>3809420</v>
          </cell>
          <cell r="EG71">
            <v>1503325</v>
          </cell>
          <cell r="EH71">
            <v>624909</v>
          </cell>
          <cell r="EI71">
            <v>2128234</v>
          </cell>
          <cell r="EJ71">
            <v>209483</v>
          </cell>
          <cell r="EK71">
            <v>47176</v>
          </cell>
          <cell r="EL71">
            <v>34297</v>
          </cell>
          <cell r="EM71">
            <v>290956</v>
          </cell>
          <cell r="EN71">
            <v>789540</v>
          </cell>
          <cell r="EO71">
            <v>3208730</v>
          </cell>
          <cell r="EP71">
            <v>600690</v>
          </cell>
          <cell r="EQ71">
            <v>0.15770000000000001</v>
          </cell>
          <cell r="ER71">
            <v>10545</v>
          </cell>
          <cell r="ES71">
            <v>0</v>
          </cell>
          <cell r="ET71">
            <v>0</v>
          </cell>
          <cell r="EU71">
            <v>0</v>
          </cell>
          <cell r="EV71">
            <v>10545</v>
          </cell>
          <cell r="EW71">
            <v>10545</v>
          </cell>
          <cell r="EX71">
            <v>42320</v>
          </cell>
          <cell r="EY71">
            <v>367483</v>
          </cell>
          <cell r="EZ71">
            <v>53773</v>
          </cell>
          <cell r="FA71">
            <v>10936</v>
          </cell>
          <cell r="FB71">
            <v>54869</v>
          </cell>
          <cell r="FC71">
            <v>80149</v>
          </cell>
          <cell r="FD71">
            <v>3369</v>
          </cell>
          <cell r="FE71">
            <v>25170</v>
          </cell>
          <cell r="FF71">
            <v>133922</v>
          </cell>
          <cell r="FG71">
            <v>14305</v>
          </cell>
          <cell r="FH71">
            <v>80039</v>
          </cell>
          <cell r="FI71">
            <v>228266</v>
          </cell>
          <cell r="FJ71">
            <v>0</v>
          </cell>
          <cell r="FK71">
            <v>193</v>
          </cell>
          <cell r="FM71">
            <v>228266</v>
          </cell>
          <cell r="FN71">
            <v>5833</v>
          </cell>
          <cell r="FO71">
            <v>19500</v>
          </cell>
          <cell r="FP71">
            <v>5163</v>
          </cell>
          <cell r="FQ71">
            <v>7</v>
          </cell>
          <cell r="FR71">
            <v>88</v>
          </cell>
          <cell r="FS71">
            <v>95</v>
          </cell>
          <cell r="FT71">
            <v>44141</v>
          </cell>
          <cell r="FU71">
            <v>3505</v>
          </cell>
          <cell r="FV71">
            <v>0</v>
          </cell>
          <cell r="FW71">
            <v>0</v>
          </cell>
          <cell r="FX71">
            <v>8544</v>
          </cell>
          <cell r="FY71">
            <v>1573</v>
          </cell>
          <cell r="FZ71">
            <v>322</v>
          </cell>
          <cell r="GA71">
            <v>0</v>
          </cell>
          <cell r="GE71">
            <v>0</v>
          </cell>
          <cell r="GF71">
            <v>36593</v>
          </cell>
          <cell r="GG71">
            <v>13194</v>
          </cell>
          <cell r="GH71">
            <v>264</v>
          </cell>
          <cell r="GI71">
            <v>12</v>
          </cell>
          <cell r="GJ71">
            <v>261</v>
          </cell>
          <cell r="GK71">
            <v>24</v>
          </cell>
          <cell r="GL71">
            <v>0</v>
          </cell>
          <cell r="GM71">
            <v>0</v>
          </cell>
          <cell r="GN71">
            <v>89539</v>
          </cell>
          <cell r="GO71">
            <v>18296</v>
          </cell>
          <cell r="GP71">
            <v>586</v>
          </cell>
          <cell r="GQ71">
            <v>12</v>
          </cell>
          <cell r="GR71">
            <v>73</v>
          </cell>
          <cell r="GT71">
            <v>148323</v>
          </cell>
          <cell r="GU71">
            <v>20330</v>
          </cell>
          <cell r="GV71">
            <v>140838</v>
          </cell>
          <cell r="GW71">
            <v>58825</v>
          </cell>
          <cell r="GX71">
            <v>2227</v>
          </cell>
          <cell r="GY71">
            <v>34099</v>
          </cell>
          <cell r="GZ71">
            <v>207148</v>
          </cell>
          <cell r="HA71">
            <v>22557</v>
          </cell>
          <cell r="HB71">
            <v>174937</v>
          </cell>
          <cell r="HC71">
            <v>404642</v>
          </cell>
          <cell r="HD71">
            <v>0</v>
          </cell>
          <cell r="HE71">
            <v>404642</v>
          </cell>
          <cell r="HF71">
            <v>16756</v>
          </cell>
          <cell r="HG71">
            <v>88300</v>
          </cell>
          <cell r="HH71">
            <v>0</v>
          </cell>
          <cell r="HI71">
            <v>100</v>
          </cell>
          <cell r="HJ71">
            <v>105156</v>
          </cell>
          <cell r="HK71">
            <v>509798</v>
          </cell>
          <cell r="HL71">
            <v>151</v>
          </cell>
          <cell r="HM71">
            <v>26185</v>
          </cell>
          <cell r="HN71">
            <v>26336</v>
          </cell>
          <cell r="HO71">
            <v>112</v>
          </cell>
          <cell r="HP71">
            <v>11661</v>
          </cell>
          <cell r="HQ71">
            <v>11773</v>
          </cell>
          <cell r="HR71">
            <v>0</v>
          </cell>
          <cell r="HS71">
            <v>132</v>
          </cell>
          <cell r="HT71">
            <v>132</v>
          </cell>
          <cell r="HU71">
            <v>1373</v>
          </cell>
          <cell r="HV71">
            <v>39614</v>
          </cell>
          <cell r="HW71">
            <v>26153</v>
          </cell>
          <cell r="HX71">
            <v>143951</v>
          </cell>
          <cell r="HY71">
            <v>170104</v>
          </cell>
          <cell r="HZ71">
            <v>209718</v>
          </cell>
          <cell r="IA71">
            <v>28529</v>
          </cell>
          <cell r="IB71">
            <v>116961</v>
          </cell>
          <cell r="IC71">
            <v>549412</v>
          </cell>
          <cell r="ID71">
            <v>549412</v>
          </cell>
          <cell r="IE71">
            <v>719516</v>
          </cell>
          <cell r="IF71">
            <v>221289</v>
          </cell>
          <cell r="IG71">
            <v>86</v>
          </cell>
          <cell r="IJ71">
            <v>1</v>
          </cell>
          <cell r="IK71">
            <v>5.4699999999999999E-2</v>
          </cell>
          <cell r="IL71">
            <v>5.0000000000000001E-4</v>
          </cell>
          <cell r="IM71">
            <v>0.29509999999999997</v>
          </cell>
          <cell r="IN71">
            <v>0</v>
          </cell>
          <cell r="IO71">
            <v>0.2437</v>
          </cell>
          <cell r="IP71">
            <v>2.9999999999999997E-4</v>
          </cell>
          <cell r="IQ71">
            <v>0.62119999999999997</v>
          </cell>
          <cell r="IR71">
            <v>6.5699999999999995E-2</v>
          </cell>
          <cell r="IS71">
            <v>0.40279999999999999</v>
          </cell>
          <cell r="IT71">
            <v>65035</v>
          </cell>
          <cell r="IU71">
            <v>35556</v>
          </cell>
          <cell r="IV71">
            <v>100591</v>
          </cell>
          <cell r="IW71">
            <v>0.71789999999999998</v>
          </cell>
          <cell r="IX71">
            <v>393489</v>
          </cell>
          <cell r="IZ71">
            <v>108</v>
          </cell>
          <cell r="JA71">
            <v>100</v>
          </cell>
          <cell r="JB71">
            <v>686</v>
          </cell>
          <cell r="JC71">
            <v>43</v>
          </cell>
          <cell r="JD71">
            <v>3</v>
          </cell>
          <cell r="JE71">
            <v>398</v>
          </cell>
          <cell r="JF71">
            <v>151</v>
          </cell>
          <cell r="JG71">
            <v>103</v>
          </cell>
          <cell r="JH71">
            <v>1084</v>
          </cell>
          <cell r="JI71">
            <v>1338</v>
          </cell>
          <cell r="JJ71">
            <v>894</v>
          </cell>
          <cell r="JK71">
            <v>444</v>
          </cell>
          <cell r="JL71">
            <v>2746</v>
          </cell>
          <cell r="JM71">
            <v>1073</v>
          </cell>
          <cell r="JN71">
            <v>20180</v>
          </cell>
          <cell r="JO71">
            <v>1073</v>
          </cell>
          <cell r="JP71">
            <v>89</v>
          </cell>
          <cell r="JQ71">
            <v>12442</v>
          </cell>
          <cell r="JR71">
            <v>3819</v>
          </cell>
          <cell r="JS71">
            <v>1162</v>
          </cell>
          <cell r="JT71">
            <v>32622</v>
          </cell>
          <cell r="JU71">
            <v>37603</v>
          </cell>
          <cell r="JV71">
            <v>23999</v>
          </cell>
          <cell r="JW71">
            <v>13604</v>
          </cell>
          <cell r="JX71">
            <v>28.1</v>
          </cell>
          <cell r="JY71">
            <v>25.29</v>
          </cell>
          <cell r="JZ71">
            <v>30.09</v>
          </cell>
          <cell r="KA71">
            <v>0.1</v>
          </cell>
          <cell r="KB71">
            <v>0.87</v>
          </cell>
          <cell r="KC71">
            <v>5</v>
          </cell>
          <cell r="KD71">
            <v>15</v>
          </cell>
          <cell r="KE71">
            <v>8</v>
          </cell>
          <cell r="KF71">
            <v>42</v>
          </cell>
          <cell r="KG71">
            <v>835</v>
          </cell>
          <cell r="KH71">
            <v>25128</v>
          </cell>
          <cell r="KI71">
            <v>1</v>
          </cell>
          <cell r="KJ71">
            <v>12</v>
          </cell>
          <cell r="KK71">
            <v>72</v>
          </cell>
          <cell r="KL71">
            <v>2167</v>
          </cell>
          <cell r="KM71">
            <v>59642</v>
          </cell>
          <cell r="KN71">
            <v>29406</v>
          </cell>
          <cell r="KO71">
            <v>693</v>
          </cell>
          <cell r="KQ71">
            <v>661</v>
          </cell>
          <cell r="KR71">
            <v>25580</v>
          </cell>
          <cell r="KS71">
            <v>668</v>
          </cell>
          <cell r="KT71">
            <v>16</v>
          </cell>
          <cell r="KU71">
            <v>50</v>
          </cell>
          <cell r="KV71">
            <v>97</v>
          </cell>
          <cell r="KW71">
            <v>82663</v>
          </cell>
          <cell r="KY71">
            <v>262184</v>
          </cell>
          <cell r="KZ71">
            <v>47393</v>
          </cell>
          <cell r="LC71" t="str">
            <v>ROWAN PUBLIC LIBRARY</v>
          </cell>
          <cell r="LD71" t="str">
            <v>County Owned</v>
          </cell>
          <cell r="LE71" t="str">
            <v>201 W FISHER ST</v>
          </cell>
          <cell r="LF71" t="str">
            <v>SALISBURY</v>
          </cell>
          <cell r="LG71">
            <v>28144</v>
          </cell>
          <cell r="LH71">
            <v>4935</v>
          </cell>
          <cell r="LI71" t="str">
            <v>201 W FISHER ST</v>
          </cell>
          <cell r="LJ71" t="str">
            <v>SALISBURY</v>
          </cell>
          <cell r="LK71">
            <v>28144</v>
          </cell>
          <cell r="LL71">
            <v>4935</v>
          </cell>
          <cell r="LM71" t="str">
            <v>ROWAN</v>
          </cell>
          <cell r="LN71">
            <v>7042168228</v>
          </cell>
          <cell r="LO71">
            <v>7042168237</v>
          </cell>
          <cell r="LP71">
            <v>71800</v>
          </cell>
          <cell r="LQ71">
            <v>45.98</v>
          </cell>
          <cell r="LS71">
            <v>9564</v>
          </cell>
          <cell r="LT71">
            <v>202</v>
          </cell>
          <cell r="LW71">
            <v>1</v>
          </cell>
          <cell r="LX71" t="str">
            <v>C-ROWAN</v>
          </cell>
          <cell r="LY71">
            <v>0</v>
          </cell>
          <cell r="LZ71" t="str">
            <v>CE</v>
          </cell>
          <cell r="MA71">
            <v>119.62</v>
          </cell>
          <cell r="MB71">
            <v>223</v>
          </cell>
        </row>
        <row r="72">
          <cell r="A72" t="str">
            <v>NC0056</v>
          </cell>
          <cell r="B72">
            <v>0</v>
          </cell>
          <cell r="C72">
            <v>1375</v>
          </cell>
          <cell r="D72">
            <v>2017</v>
          </cell>
          <cell r="E72">
            <v>0</v>
          </cell>
          <cell r="F72" t="str">
            <v>NC0056</v>
          </cell>
          <cell r="G72" t="str">
            <v>C-RUTHERFORD</v>
          </cell>
          <cell r="H72" t="str">
            <v>NO</v>
          </cell>
          <cell r="I72" t="str">
            <v>CO</v>
          </cell>
          <cell r="J72" t="str">
            <v>MO</v>
          </cell>
          <cell r="K72" t="str">
            <v>Y</v>
          </cell>
          <cell r="L72" t="str">
            <v>CO1</v>
          </cell>
          <cell r="M72" t="str">
            <v>N</v>
          </cell>
          <cell r="N72">
            <v>67617</v>
          </cell>
          <cell r="O72" t="str">
            <v>Yes</v>
          </cell>
          <cell r="P72">
            <v>220</v>
          </cell>
          <cell r="Q72">
            <v>30</v>
          </cell>
          <cell r="R72">
            <v>15</v>
          </cell>
          <cell r="S72">
            <v>12</v>
          </cell>
          <cell r="T72">
            <v>587</v>
          </cell>
          <cell r="U72">
            <v>61</v>
          </cell>
          <cell r="V72">
            <v>10482</v>
          </cell>
          <cell r="W72">
            <v>1437</v>
          </cell>
          <cell r="X72">
            <v>95000</v>
          </cell>
          <cell r="Y72">
            <v>30000</v>
          </cell>
          <cell r="Z72" t="str">
            <v>255 CALLAHAN KOON RD</v>
          </cell>
          <cell r="AA72" t="str">
            <v>SPINDALE</v>
          </cell>
          <cell r="AB72">
            <v>28160</v>
          </cell>
          <cell r="AD72" t="str">
            <v>255 CALLAHAN KOON RD</v>
          </cell>
          <cell r="AE72" t="str">
            <v>SPINDALE</v>
          </cell>
          <cell r="AF72">
            <v>28160</v>
          </cell>
          <cell r="AG72">
            <v>2</v>
          </cell>
          <cell r="AH72" t="str">
            <v>RUTHERFORD COUNTY LIBRARY</v>
          </cell>
          <cell r="AJ72" t="str">
            <v>County</v>
          </cell>
          <cell r="AK72" t="str">
            <v>RUTHERFORD</v>
          </cell>
          <cell r="AL72" t="str">
            <v>April Young</v>
          </cell>
          <cell r="AM72" t="str">
            <v>(828) 287-6117</v>
          </cell>
          <cell r="AN72" t="str">
            <v>(828) 287-6119</v>
          </cell>
          <cell r="AO72" t="str">
            <v>april.young@rutherfordcountync.gov</v>
          </cell>
          <cell r="AP72" t="str">
            <v>April Young</v>
          </cell>
          <cell r="AQ72" t="str">
            <v>Director</v>
          </cell>
          <cell r="AR72" t="str">
            <v>(828) 287-6117</v>
          </cell>
          <cell r="AS72" t="str">
            <v>(828) 287-6119</v>
          </cell>
          <cell r="AT72" t="str">
            <v>april.young@rutherfordcountync.gov</v>
          </cell>
          <cell r="AU72" t="str">
            <v>rutherfordcountylibrary.org</v>
          </cell>
          <cell r="BC72">
            <v>1</v>
          </cell>
          <cell r="BD72">
            <v>2</v>
          </cell>
          <cell r="BE72">
            <v>0</v>
          </cell>
          <cell r="BF72">
            <v>1</v>
          </cell>
          <cell r="BG72">
            <v>4</v>
          </cell>
          <cell r="BI72">
            <v>6734</v>
          </cell>
          <cell r="BJ72">
            <v>1</v>
          </cell>
          <cell r="BK72">
            <v>2</v>
          </cell>
          <cell r="BL72">
            <v>3</v>
          </cell>
          <cell r="BM72">
            <v>6.58</v>
          </cell>
          <cell r="BN72">
            <v>9.58</v>
          </cell>
          <cell r="BO72">
            <v>0.10440000000000001</v>
          </cell>
          <cell r="BP72">
            <v>2710</v>
          </cell>
          <cell r="BQ72">
            <v>56871</v>
          </cell>
          <cell r="BU72">
            <v>30941</v>
          </cell>
          <cell r="BV72">
            <v>32500</v>
          </cell>
          <cell r="BW72">
            <v>31720</v>
          </cell>
          <cell r="CR72">
            <v>30941</v>
          </cell>
          <cell r="CS72">
            <v>32500</v>
          </cell>
          <cell r="CT72">
            <v>30941</v>
          </cell>
          <cell r="CV72">
            <v>28366</v>
          </cell>
          <cell r="CW72">
            <v>32500</v>
          </cell>
          <cell r="CX72">
            <v>28366</v>
          </cell>
          <cell r="CZ72">
            <v>30941</v>
          </cell>
          <cell r="DA72">
            <v>35472</v>
          </cell>
          <cell r="DB72">
            <v>35472</v>
          </cell>
          <cell r="DD72">
            <v>28366</v>
          </cell>
          <cell r="DE72">
            <v>32500</v>
          </cell>
          <cell r="DF72">
            <v>30181</v>
          </cell>
          <cell r="DO72">
            <v>24135</v>
          </cell>
          <cell r="DP72">
            <v>25679</v>
          </cell>
          <cell r="DQ72">
            <v>24907</v>
          </cell>
          <cell r="DV72">
            <v>0</v>
          </cell>
          <cell r="DW72">
            <v>462921</v>
          </cell>
          <cell r="DX72">
            <v>462921</v>
          </cell>
          <cell r="DY72">
            <v>123147</v>
          </cell>
          <cell r="DZ72">
            <v>0</v>
          </cell>
          <cell r="EA72">
            <v>123147</v>
          </cell>
          <cell r="EB72">
            <v>1145</v>
          </cell>
          <cell r="EC72">
            <v>0</v>
          </cell>
          <cell r="ED72">
            <v>1145</v>
          </cell>
          <cell r="EE72">
            <v>26698</v>
          </cell>
          <cell r="EF72">
            <v>613911</v>
          </cell>
          <cell r="EG72">
            <v>327351</v>
          </cell>
          <cell r="EH72">
            <v>129569</v>
          </cell>
          <cell r="EI72">
            <v>456920</v>
          </cell>
          <cell r="EJ72">
            <v>51824</v>
          </cell>
          <cell r="EK72">
            <v>16541</v>
          </cell>
          <cell r="EL72">
            <v>9068</v>
          </cell>
          <cell r="EM72">
            <v>77433</v>
          </cell>
          <cell r="EN72">
            <v>67875</v>
          </cell>
          <cell r="EO72">
            <v>602228</v>
          </cell>
          <cell r="EP72">
            <v>11683</v>
          </cell>
          <cell r="EQ72">
            <v>1.9E-2</v>
          </cell>
          <cell r="ER72">
            <v>0</v>
          </cell>
          <cell r="ES72">
            <v>0</v>
          </cell>
          <cell r="ET72">
            <v>0</v>
          </cell>
          <cell r="EU72">
            <v>0</v>
          </cell>
          <cell r="EV72">
            <v>0</v>
          </cell>
          <cell r="EW72">
            <v>0</v>
          </cell>
          <cell r="EX72">
            <v>32488</v>
          </cell>
          <cell r="EY72">
            <v>204114</v>
          </cell>
          <cell r="EZ72">
            <v>30735</v>
          </cell>
          <cell r="FA72">
            <v>2309</v>
          </cell>
          <cell r="FB72">
            <v>17406</v>
          </cell>
          <cell r="FC72">
            <v>22988</v>
          </cell>
          <cell r="FD72">
            <v>171</v>
          </cell>
          <cell r="FE72">
            <v>6578</v>
          </cell>
          <cell r="FF72">
            <v>53723</v>
          </cell>
          <cell r="FG72">
            <v>2480</v>
          </cell>
          <cell r="FH72">
            <v>23984</v>
          </cell>
          <cell r="FI72">
            <v>80187</v>
          </cell>
          <cell r="FJ72">
            <v>0</v>
          </cell>
          <cell r="FK72">
            <v>53</v>
          </cell>
          <cell r="FM72">
            <v>80187</v>
          </cell>
          <cell r="FN72">
            <v>4655</v>
          </cell>
          <cell r="FO72">
            <v>10870</v>
          </cell>
          <cell r="FP72">
            <v>112</v>
          </cell>
          <cell r="FQ72">
            <v>1</v>
          </cell>
          <cell r="FR72">
            <v>88</v>
          </cell>
          <cell r="FS72">
            <v>89</v>
          </cell>
          <cell r="FT72">
            <v>44141</v>
          </cell>
          <cell r="FU72">
            <v>3505</v>
          </cell>
          <cell r="FV72">
            <v>0</v>
          </cell>
          <cell r="FW72">
            <v>0</v>
          </cell>
          <cell r="FX72">
            <v>8544</v>
          </cell>
          <cell r="FY72">
            <v>1573</v>
          </cell>
          <cell r="FZ72">
            <v>322</v>
          </cell>
          <cell r="GA72">
            <v>0</v>
          </cell>
          <cell r="GF72">
            <v>36593</v>
          </cell>
          <cell r="GG72">
            <v>13194</v>
          </cell>
          <cell r="GH72">
            <v>264</v>
          </cell>
          <cell r="GI72">
            <v>12</v>
          </cell>
          <cell r="GJ72">
            <v>0</v>
          </cell>
          <cell r="GK72">
            <v>0</v>
          </cell>
          <cell r="GL72">
            <v>0</v>
          </cell>
          <cell r="GN72">
            <v>89278</v>
          </cell>
          <cell r="GO72">
            <v>18272</v>
          </cell>
          <cell r="GP72">
            <v>586</v>
          </cell>
          <cell r="GQ72">
            <v>12</v>
          </cell>
          <cell r="GR72">
            <v>28</v>
          </cell>
          <cell r="GT72">
            <v>54009</v>
          </cell>
          <cell r="GU72">
            <v>5432</v>
          </cell>
          <cell r="GV72">
            <v>38594</v>
          </cell>
          <cell r="GW72">
            <v>14011</v>
          </cell>
          <cell r="GX72">
            <v>154</v>
          </cell>
          <cell r="GY72">
            <v>6988</v>
          </cell>
          <cell r="GZ72">
            <v>68020</v>
          </cell>
          <cell r="HA72">
            <v>5586</v>
          </cell>
          <cell r="HB72">
            <v>45582</v>
          </cell>
          <cell r="HC72">
            <v>119188</v>
          </cell>
          <cell r="HD72">
            <v>11439</v>
          </cell>
          <cell r="HE72">
            <v>130627</v>
          </cell>
          <cell r="HF72">
            <v>8902</v>
          </cell>
          <cell r="HG72">
            <v>57555</v>
          </cell>
          <cell r="HH72">
            <v>0</v>
          </cell>
          <cell r="HI72">
            <v>0</v>
          </cell>
          <cell r="HJ72">
            <v>66457</v>
          </cell>
          <cell r="HK72">
            <v>197084</v>
          </cell>
          <cell r="HL72">
            <v>81</v>
          </cell>
          <cell r="HM72">
            <v>10249</v>
          </cell>
          <cell r="HN72">
            <v>10330</v>
          </cell>
          <cell r="HO72">
            <v>14</v>
          </cell>
          <cell r="HP72">
            <v>5823</v>
          </cell>
          <cell r="HQ72">
            <v>5837</v>
          </cell>
          <cell r="HR72">
            <v>0</v>
          </cell>
          <cell r="HS72">
            <v>58</v>
          </cell>
          <cell r="HT72">
            <v>58</v>
          </cell>
          <cell r="HU72">
            <v>12</v>
          </cell>
          <cell r="HV72">
            <v>16237</v>
          </cell>
          <cell r="HW72">
            <v>11933</v>
          </cell>
          <cell r="HX72">
            <v>3948</v>
          </cell>
          <cell r="HY72">
            <v>15881</v>
          </cell>
          <cell r="HZ72">
            <v>32118</v>
          </cell>
          <cell r="IA72">
            <v>14739</v>
          </cell>
          <cell r="IB72">
            <v>72352</v>
          </cell>
          <cell r="IC72">
            <v>213321</v>
          </cell>
          <cell r="ID72">
            <v>213321</v>
          </cell>
          <cell r="IE72">
            <v>229202</v>
          </cell>
          <cell r="IF72">
            <v>51168</v>
          </cell>
          <cell r="IG72">
            <v>544</v>
          </cell>
          <cell r="IJ72">
            <v>1</v>
          </cell>
          <cell r="IK72">
            <v>5.6099999999999997E-2</v>
          </cell>
          <cell r="IL72">
            <v>2.9999999999999997E-4</v>
          </cell>
          <cell r="IM72">
            <v>0.52980000000000005</v>
          </cell>
          <cell r="IN72">
            <v>0</v>
          </cell>
          <cell r="IO72">
            <v>0.43740000000000001</v>
          </cell>
          <cell r="IP72">
            <v>4.0000000000000002E-4</v>
          </cell>
          <cell r="IQ72">
            <v>0.39290000000000003</v>
          </cell>
          <cell r="IR72">
            <v>0.1123</v>
          </cell>
          <cell r="IS72">
            <v>0.2399</v>
          </cell>
          <cell r="IT72">
            <v>11876</v>
          </cell>
          <cell r="IU72">
            <v>1789</v>
          </cell>
          <cell r="IV72">
            <v>13665</v>
          </cell>
          <cell r="IW72">
            <v>0.2021</v>
          </cell>
          <cell r="IX72">
            <v>78245</v>
          </cell>
          <cell r="IZ72">
            <v>124</v>
          </cell>
          <cell r="JA72">
            <v>24</v>
          </cell>
          <cell r="JB72">
            <v>164</v>
          </cell>
          <cell r="JC72">
            <v>8</v>
          </cell>
          <cell r="JD72">
            <v>5</v>
          </cell>
          <cell r="JE72">
            <v>8</v>
          </cell>
          <cell r="JF72">
            <v>132</v>
          </cell>
          <cell r="JG72">
            <v>29</v>
          </cell>
          <cell r="JH72">
            <v>172</v>
          </cell>
          <cell r="JI72">
            <v>333</v>
          </cell>
          <cell r="JJ72">
            <v>312</v>
          </cell>
          <cell r="JK72">
            <v>21</v>
          </cell>
          <cell r="JL72">
            <v>1743</v>
          </cell>
          <cell r="JM72">
            <v>295</v>
          </cell>
          <cell r="JN72">
            <v>2859</v>
          </cell>
          <cell r="JO72">
            <v>269</v>
          </cell>
          <cell r="JP72">
            <v>179</v>
          </cell>
          <cell r="JQ72">
            <v>728</v>
          </cell>
          <cell r="JR72">
            <v>2012</v>
          </cell>
          <cell r="JS72">
            <v>474</v>
          </cell>
          <cell r="JT72">
            <v>3587</v>
          </cell>
          <cell r="JU72">
            <v>6073</v>
          </cell>
          <cell r="JV72">
            <v>4897</v>
          </cell>
          <cell r="JW72">
            <v>1176</v>
          </cell>
          <cell r="JX72">
            <v>18.239999999999998</v>
          </cell>
          <cell r="JY72">
            <v>15.24</v>
          </cell>
          <cell r="JZ72">
            <v>20.85</v>
          </cell>
          <cell r="KA72">
            <v>0.33</v>
          </cell>
          <cell r="KB72">
            <v>0.59</v>
          </cell>
          <cell r="KC72">
            <v>9</v>
          </cell>
          <cell r="KD72">
            <v>134</v>
          </cell>
          <cell r="KE72">
            <v>55</v>
          </cell>
          <cell r="KF72">
            <v>686</v>
          </cell>
          <cell r="KG72">
            <v>91</v>
          </cell>
          <cell r="KH72">
            <v>1620</v>
          </cell>
          <cell r="KI72">
            <v>25</v>
          </cell>
          <cell r="KJ72">
            <v>261</v>
          </cell>
          <cell r="KK72">
            <v>65</v>
          </cell>
          <cell r="KL72">
            <v>728</v>
          </cell>
          <cell r="KM72">
            <v>30635</v>
          </cell>
          <cell r="KN72">
            <v>2646</v>
          </cell>
          <cell r="KO72">
            <v>240</v>
          </cell>
          <cell r="KQ72">
            <v>93</v>
          </cell>
          <cell r="KR72">
            <v>3116</v>
          </cell>
          <cell r="KS72">
            <v>7918</v>
          </cell>
          <cell r="KT72">
            <v>5670</v>
          </cell>
          <cell r="KU72">
            <v>17</v>
          </cell>
          <cell r="KV72">
            <v>34</v>
          </cell>
          <cell r="KW72">
            <v>20241</v>
          </cell>
          <cell r="KY72">
            <v>45175</v>
          </cell>
          <cell r="KZ72">
            <v>21540</v>
          </cell>
          <cell r="LC72" t="str">
            <v>RUTHERFORD COUNTY LIBRARY</v>
          </cell>
          <cell r="LD72" t="str">
            <v>County Owned</v>
          </cell>
          <cell r="LE72" t="str">
            <v>255 CALLAHAN KOON RD</v>
          </cell>
          <cell r="LF72" t="str">
            <v>SPINDALE</v>
          </cell>
          <cell r="LG72">
            <v>28160</v>
          </cell>
          <cell r="LI72" t="str">
            <v>255 CALLAHAN KOON RD</v>
          </cell>
          <cell r="LJ72" t="str">
            <v>SPINDALE</v>
          </cell>
          <cell r="LK72">
            <v>28160</v>
          </cell>
          <cell r="LM72" t="str">
            <v>RUTHERFORD</v>
          </cell>
          <cell r="LN72">
            <v>8282876115</v>
          </cell>
          <cell r="LO72">
            <v>8282876119</v>
          </cell>
          <cell r="LP72">
            <v>15281</v>
          </cell>
          <cell r="LQ72">
            <v>9.8800000000000008</v>
          </cell>
          <cell r="LS72">
            <v>6734</v>
          </cell>
          <cell r="LT72">
            <v>156</v>
          </cell>
          <cell r="LW72">
            <v>2</v>
          </cell>
          <cell r="LX72" t="str">
            <v>C-RUTHERFORD-S</v>
          </cell>
          <cell r="LY72">
            <v>0</v>
          </cell>
          <cell r="LZ72" t="str">
            <v>CE</v>
          </cell>
          <cell r="MA72">
            <v>5</v>
          </cell>
          <cell r="MB72">
            <v>20</v>
          </cell>
        </row>
        <row r="73">
          <cell r="A73" t="str">
            <v>NC0057</v>
          </cell>
          <cell r="B73">
            <v>0</v>
          </cell>
          <cell r="C73">
            <v>1375</v>
          </cell>
          <cell r="D73">
            <v>2017</v>
          </cell>
          <cell r="E73">
            <v>0</v>
          </cell>
          <cell r="F73" t="str">
            <v>NC0057</v>
          </cell>
          <cell r="G73" t="str">
            <v>C-SAMPSON</v>
          </cell>
          <cell r="H73" t="str">
            <v>NO</v>
          </cell>
          <cell r="I73" t="str">
            <v>CO</v>
          </cell>
          <cell r="J73" t="str">
            <v>MO</v>
          </cell>
          <cell r="K73" t="str">
            <v>Y</v>
          </cell>
          <cell r="L73" t="str">
            <v>CO1</v>
          </cell>
          <cell r="M73" t="str">
            <v>N</v>
          </cell>
          <cell r="N73">
            <v>63993</v>
          </cell>
          <cell r="O73" t="str">
            <v>No</v>
          </cell>
          <cell r="P73">
            <v>303</v>
          </cell>
          <cell r="Q73">
            <v>0</v>
          </cell>
          <cell r="R73">
            <v>21</v>
          </cell>
          <cell r="S73">
            <v>0</v>
          </cell>
          <cell r="T73">
            <v>657</v>
          </cell>
          <cell r="U73">
            <v>0</v>
          </cell>
          <cell r="V73">
            <v>25033</v>
          </cell>
          <cell r="W73">
            <v>1112</v>
          </cell>
          <cell r="Z73" t="str">
            <v>217 GRAHAM ST</v>
          </cell>
          <cell r="AA73" t="str">
            <v>CLINTON</v>
          </cell>
          <cell r="AB73">
            <v>28328</v>
          </cell>
          <cell r="AC73">
            <v>4111</v>
          </cell>
          <cell r="AD73" t="str">
            <v>217 GRAHAM ST</v>
          </cell>
          <cell r="AE73" t="str">
            <v>CLINTON</v>
          </cell>
          <cell r="AF73">
            <v>28328</v>
          </cell>
          <cell r="AG73">
            <v>2</v>
          </cell>
          <cell r="AH73" t="str">
            <v>SAMPSON-CLINTON PUBLIC LIBRARY</v>
          </cell>
          <cell r="AJ73" t="str">
            <v>County</v>
          </cell>
          <cell r="AK73" t="str">
            <v>SAMPSON</v>
          </cell>
          <cell r="AL73" t="str">
            <v>Heather Bonney</v>
          </cell>
          <cell r="AM73" t="str">
            <v>(910) 592-4153</v>
          </cell>
          <cell r="AN73" t="str">
            <v>(910) 590-3504</v>
          </cell>
          <cell r="AO73" t="str">
            <v>hbonney@sampsonnc.com</v>
          </cell>
          <cell r="AP73" t="str">
            <v>Heather Bonney</v>
          </cell>
          <cell r="AQ73" t="str">
            <v>Library Director</v>
          </cell>
          <cell r="AR73" t="str">
            <v>(910) 592-4153</v>
          </cell>
          <cell r="AS73" t="str">
            <v>(910) 590-3504</v>
          </cell>
          <cell r="AT73" t="str">
            <v>hbonney@sampsonnc.com</v>
          </cell>
          <cell r="AU73" t="str">
            <v>http://www.sampsonnc.com/departments/library_services/</v>
          </cell>
          <cell r="BC73">
            <v>1</v>
          </cell>
          <cell r="BD73">
            <v>3</v>
          </cell>
          <cell r="BE73">
            <v>0</v>
          </cell>
          <cell r="BF73">
            <v>2</v>
          </cell>
          <cell r="BG73">
            <v>6</v>
          </cell>
          <cell r="BI73">
            <v>7644</v>
          </cell>
          <cell r="BJ73">
            <v>1</v>
          </cell>
          <cell r="BK73">
            <v>0</v>
          </cell>
          <cell r="BL73">
            <v>1</v>
          </cell>
          <cell r="BM73">
            <v>12.3</v>
          </cell>
          <cell r="BN73">
            <v>13.3</v>
          </cell>
          <cell r="BO73">
            <v>7.5200000000000003E-2</v>
          </cell>
          <cell r="BP73">
            <v>0</v>
          </cell>
          <cell r="BQ73">
            <v>62964</v>
          </cell>
          <cell r="BU73">
            <v>39649</v>
          </cell>
          <cell r="BV73">
            <v>60877</v>
          </cell>
          <cell r="BW73">
            <v>35748</v>
          </cell>
          <cell r="CR73">
            <v>35709</v>
          </cell>
          <cell r="CS73">
            <v>55349</v>
          </cell>
          <cell r="CT73">
            <v>35268</v>
          </cell>
          <cell r="CV73">
            <v>35709</v>
          </cell>
          <cell r="CW73">
            <v>55349</v>
          </cell>
          <cell r="CX73">
            <v>33264</v>
          </cell>
          <cell r="CZ73">
            <v>30846</v>
          </cell>
          <cell r="DA73">
            <v>47821</v>
          </cell>
          <cell r="DB73">
            <v>31248</v>
          </cell>
          <cell r="DD73">
            <v>23020</v>
          </cell>
          <cell r="DE73">
            <v>35691</v>
          </cell>
          <cell r="DF73">
            <v>22962</v>
          </cell>
          <cell r="DH73">
            <v>30846</v>
          </cell>
          <cell r="DI73">
            <v>47821</v>
          </cell>
          <cell r="DJ73">
            <v>28992</v>
          </cell>
          <cell r="DV73">
            <v>4000</v>
          </cell>
          <cell r="DW73">
            <v>685912</v>
          </cell>
          <cell r="DX73">
            <v>689912</v>
          </cell>
          <cell r="DY73">
            <v>119379</v>
          </cell>
          <cell r="DZ73">
            <v>0</v>
          </cell>
          <cell r="EA73">
            <v>119379</v>
          </cell>
          <cell r="EB73">
            <v>0</v>
          </cell>
          <cell r="EC73">
            <v>0</v>
          </cell>
          <cell r="ED73">
            <v>0</v>
          </cell>
          <cell r="EE73">
            <v>31448</v>
          </cell>
          <cell r="EF73">
            <v>840739</v>
          </cell>
          <cell r="EG73">
            <v>390472</v>
          </cell>
          <cell r="EH73">
            <v>177071</v>
          </cell>
          <cell r="EI73">
            <v>567543</v>
          </cell>
          <cell r="EJ73">
            <v>88652</v>
          </cell>
          <cell r="EK73">
            <v>14914</v>
          </cell>
          <cell r="EL73">
            <v>10160</v>
          </cell>
          <cell r="EM73">
            <v>113726</v>
          </cell>
          <cell r="EN73">
            <v>92129</v>
          </cell>
          <cell r="EO73">
            <v>773398</v>
          </cell>
          <cell r="EP73">
            <v>67341</v>
          </cell>
          <cell r="EQ73">
            <v>8.0100000000000005E-2</v>
          </cell>
          <cell r="ER73">
            <v>0</v>
          </cell>
          <cell r="ES73">
            <v>0</v>
          </cell>
          <cell r="ET73">
            <v>0</v>
          </cell>
          <cell r="EU73">
            <v>0</v>
          </cell>
          <cell r="EV73">
            <v>0</v>
          </cell>
          <cell r="EW73">
            <v>0</v>
          </cell>
          <cell r="EX73">
            <v>10052</v>
          </cell>
          <cell r="EY73">
            <v>171170</v>
          </cell>
          <cell r="EZ73">
            <v>26725</v>
          </cell>
          <cell r="FA73">
            <v>2369</v>
          </cell>
          <cell r="FB73">
            <v>22423</v>
          </cell>
          <cell r="FC73">
            <v>18773</v>
          </cell>
          <cell r="FD73">
            <v>349</v>
          </cell>
          <cell r="FE73">
            <v>8005</v>
          </cell>
          <cell r="FF73">
            <v>45498</v>
          </cell>
          <cell r="FG73">
            <v>2718</v>
          </cell>
          <cell r="FH73">
            <v>30428</v>
          </cell>
          <cell r="FI73">
            <v>78644</v>
          </cell>
          <cell r="FJ73">
            <v>0</v>
          </cell>
          <cell r="FK73">
            <v>106</v>
          </cell>
          <cell r="FM73">
            <v>78644</v>
          </cell>
          <cell r="FN73">
            <v>786</v>
          </cell>
          <cell r="FO73">
            <v>4013</v>
          </cell>
          <cell r="FP73">
            <v>973</v>
          </cell>
          <cell r="FQ73">
            <v>3</v>
          </cell>
          <cell r="FR73">
            <v>88</v>
          </cell>
          <cell r="FS73">
            <v>91</v>
          </cell>
          <cell r="FT73">
            <v>44141</v>
          </cell>
          <cell r="FU73">
            <v>3505</v>
          </cell>
          <cell r="FV73">
            <v>0</v>
          </cell>
          <cell r="FW73">
            <v>0</v>
          </cell>
          <cell r="FX73">
            <v>8544</v>
          </cell>
          <cell r="FY73">
            <v>1573</v>
          </cell>
          <cell r="FZ73">
            <v>322</v>
          </cell>
          <cell r="GA73">
            <v>0</v>
          </cell>
          <cell r="GB73">
            <v>26436</v>
          </cell>
          <cell r="GC73">
            <v>1747</v>
          </cell>
          <cell r="GD73">
            <v>278</v>
          </cell>
          <cell r="GE73">
            <v>0</v>
          </cell>
          <cell r="GJ73">
            <v>10</v>
          </cell>
          <cell r="GK73">
            <v>1</v>
          </cell>
          <cell r="GL73">
            <v>0</v>
          </cell>
          <cell r="GM73">
            <v>0</v>
          </cell>
          <cell r="GN73">
            <v>79131</v>
          </cell>
          <cell r="GO73">
            <v>6826</v>
          </cell>
          <cell r="GP73">
            <v>600</v>
          </cell>
          <cell r="GQ73">
            <v>0</v>
          </cell>
          <cell r="GR73">
            <v>2</v>
          </cell>
          <cell r="GT73">
            <v>45411</v>
          </cell>
          <cell r="GU73">
            <v>3238</v>
          </cell>
          <cell r="GV73">
            <v>54404</v>
          </cell>
          <cell r="GW73">
            <v>15558</v>
          </cell>
          <cell r="GX73">
            <v>162</v>
          </cell>
          <cell r="GY73">
            <v>9271</v>
          </cell>
          <cell r="GZ73">
            <v>60969</v>
          </cell>
          <cell r="HA73">
            <v>3400</v>
          </cell>
          <cell r="HB73">
            <v>63675</v>
          </cell>
          <cell r="HC73">
            <v>128044</v>
          </cell>
          <cell r="HD73">
            <v>4304</v>
          </cell>
          <cell r="HE73">
            <v>138446</v>
          </cell>
          <cell r="HF73">
            <v>1001</v>
          </cell>
          <cell r="HG73">
            <v>20706</v>
          </cell>
          <cell r="HH73">
            <v>6098</v>
          </cell>
          <cell r="HI73">
            <v>1</v>
          </cell>
          <cell r="HJ73">
            <v>21708</v>
          </cell>
          <cell r="HK73">
            <v>160154</v>
          </cell>
          <cell r="HL73">
            <v>14</v>
          </cell>
          <cell r="HM73">
            <v>2232</v>
          </cell>
          <cell r="HN73">
            <v>2246</v>
          </cell>
          <cell r="HO73">
            <v>1</v>
          </cell>
          <cell r="HP73">
            <v>298</v>
          </cell>
          <cell r="HQ73">
            <v>299</v>
          </cell>
          <cell r="HR73">
            <v>0</v>
          </cell>
          <cell r="HS73">
            <v>19</v>
          </cell>
          <cell r="HT73">
            <v>19</v>
          </cell>
          <cell r="HU73">
            <v>18</v>
          </cell>
          <cell r="HV73">
            <v>2582</v>
          </cell>
          <cell r="HW73">
            <v>4345</v>
          </cell>
          <cell r="HX73">
            <v>0</v>
          </cell>
          <cell r="HY73">
            <v>4345</v>
          </cell>
          <cell r="HZ73">
            <v>6927</v>
          </cell>
          <cell r="IA73">
            <v>1300</v>
          </cell>
          <cell r="IB73">
            <v>22025</v>
          </cell>
          <cell r="IC73">
            <v>162736</v>
          </cell>
          <cell r="ID73">
            <v>162736</v>
          </cell>
          <cell r="IE73">
            <v>167081</v>
          </cell>
          <cell r="IF73">
            <v>67078</v>
          </cell>
          <cell r="IG73">
            <v>-1</v>
          </cell>
          <cell r="IK73">
            <v>2.69E-2</v>
          </cell>
          <cell r="IL73">
            <v>5.9999999999999995E-4</v>
          </cell>
          <cell r="IM73">
            <v>0.50570000000000004</v>
          </cell>
          <cell r="IN73">
            <v>0</v>
          </cell>
          <cell r="IO73">
            <v>0.46229999999999999</v>
          </cell>
          <cell r="IP73">
            <v>5.0000000000000001E-4</v>
          </cell>
          <cell r="IQ73">
            <v>0.45939999999999998</v>
          </cell>
          <cell r="IR73">
            <v>4.4499999999999998E-2</v>
          </cell>
          <cell r="IS73">
            <v>0.41220000000000001</v>
          </cell>
          <cell r="IT73">
            <v>7569</v>
          </cell>
          <cell r="IU73">
            <v>1644</v>
          </cell>
          <cell r="IV73">
            <v>9213</v>
          </cell>
          <cell r="IW73">
            <v>0.14399999999999999</v>
          </cell>
          <cell r="IX73">
            <v>91032</v>
          </cell>
          <cell r="IZ73">
            <v>0</v>
          </cell>
          <cell r="JA73">
            <v>0</v>
          </cell>
          <cell r="JB73">
            <v>33</v>
          </cell>
          <cell r="JC73">
            <v>0</v>
          </cell>
          <cell r="JD73">
            <v>0</v>
          </cell>
          <cell r="JE73">
            <v>116</v>
          </cell>
          <cell r="JF73">
            <v>0</v>
          </cell>
          <cell r="JG73">
            <v>0</v>
          </cell>
          <cell r="JH73">
            <v>149</v>
          </cell>
          <cell r="JI73">
            <v>149</v>
          </cell>
          <cell r="JJ73">
            <v>33</v>
          </cell>
          <cell r="JK73">
            <v>116</v>
          </cell>
          <cell r="JL73">
            <v>0</v>
          </cell>
          <cell r="JM73">
            <v>0</v>
          </cell>
          <cell r="JN73">
            <v>964</v>
          </cell>
          <cell r="JO73">
            <v>0</v>
          </cell>
          <cell r="JP73">
            <v>0</v>
          </cell>
          <cell r="JQ73">
            <v>402</v>
          </cell>
          <cell r="JR73">
            <v>0</v>
          </cell>
          <cell r="JS73">
            <v>0</v>
          </cell>
          <cell r="JT73">
            <v>1366</v>
          </cell>
          <cell r="JU73">
            <v>1366</v>
          </cell>
          <cell r="JV73">
            <v>964</v>
          </cell>
          <cell r="JW73">
            <v>402</v>
          </cell>
          <cell r="JX73">
            <v>9.17</v>
          </cell>
          <cell r="JY73">
            <v>0</v>
          </cell>
          <cell r="JZ73">
            <v>9.17</v>
          </cell>
          <cell r="KA73">
            <v>0</v>
          </cell>
          <cell r="KB73">
            <v>1</v>
          </cell>
          <cell r="KC73">
            <v>0</v>
          </cell>
          <cell r="KD73">
            <v>0</v>
          </cell>
          <cell r="KE73">
            <v>0</v>
          </cell>
          <cell r="KF73">
            <v>0</v>
          </cell>
          <cell r="KG73">
            <v>0</v>
          </cell>
          <cell r="KH73">
            <v>0</v>
          </cell>
          <cell r="KI73">
            <v>0</v>
          </cell>
          <cell r="KJ73">
            <v>0</v>
          </cell>
          <cell r="KK73">
            <v>0</v>
          </cell>
          <cell r="KL73">
            <v>0</v>
          </cell>
          <cell r="KM73">
            <v>52000</v>
          </cell>
          <cell r="KN73">
            <v>2600</v>
          </cell>
          <cell r="KO73">
            <v>-1</v>
          </cell>
          <cell r="KS73">
            <v>6</v>
          </cell>
          <cell r="KT73">
            <v>140</v>
          </cell>
          <cell r="KU73">
            <v>16</v>
          </cell>
          <cell r="KV73">
            <v>32</v>
          </cell>
          <cell r="KW73">
            <v>21654</v>
          </cell>
          <cell r="LC73" t="str">
            <v>J.C. HOLLIDAY LIBRARY</v>
          </cell>
          <cell r="LD73" t="str">
            <v>County Owned</v>
          </cell>
          <cell r="LE73" t="str">
            <v>217 GRAHAM ST</v>
          </cell>
          <cell r="LF73" t="str">
            <v>CLINTON</v>
          </cell>
          <cell r="LG73">
            <v>28328</v>
          </cell>
          <cell r="LH73">
            <v>4111</v>
          </cell>
          <cell r="LI73" t="str">
            <v>217 GRAHAM ST</v>
          </cell>
          <cell r="LJ73" t="str">
            <v>CLINTON</v>
          </cell>
          <cell r="LK73">
            <v>28328</v>
          </cell>
          <cell r="LL73">
            <v>4111</v>
          </cell>
          <cell r="LM73" t="str">
            <v>SAMPSON</v>
          </cell>
          <cell r="LN73">
            <v>9105924153</v>
          </cell>
          <cell r="LO73">
            <v>9105903504</v>
          </cell>
          <cell r="LP73">
            <v>16320</v>
          </cell>
          <cell r="LQ73">
            <v>12.12</v>
          </cell>
          <cell r="LS73">
            <v>7644</v>
          </cell>
          <cell r="LT73">
            <v>208</v>
          </cell>
          <cell r="LW73">
            <v>7</v>
          </cell>
          <cell r="LX73" t="str">
            <v>C-SAMPSON-S</v>
          </cell>
          <cell r="LY73">
            <v>0</v>
          </cell>
          <cell r="LZ73" t="str">
            <v>CE</v>
          </cell>
          <cell r="MA73">
            <v>25</v>
          </cell>
          <cell r="MB73">
            <v>25</v>
          </cell>
        </row>
        <row r="74">
          <cell r="A74" t="str">
            <v>NC0015</v>
          </cell>
          <cell r="B74">
            <v>0</v>
          </cell>
          <cell r="C74">
            <v>1375</v>
          </cell>
          <cell r="D74">
            <v>2017</v>
          </cell>
          <cell r="E74">
            <v>0</v>
          </cell>
          <cell r="F74" t="str">
            <v>NC0015</v>
          </cell>
          <cell r="G74" t="str">
            <v>R-SANDHILL</v>
          </cell>
          <cell r="H74" t="str">
            <v>NO</v>
          </cell>
          <cell r="I74" t="str">
            <v>MJ</v>
          </cell>
          <cell r="J74" t="str">
            <v>MA</v>
          </cell>
          <cell r="K74" t="str">
            <v>Y</v>
          </cell>
          <cell r="L74" t="str">
            <v>MC2</v>
          </cell>
          <cell r="M74" t="str">
            <v>N</v>
          </cell>
          <cell r="N74">
            <v>248372</v>
          </cell>
          <cell r="O74" t="str">
            <v>Yes</v>
          </cell>
          <cell r="P74">
            <v>1158</v>
          </cell>
          <cell r="Q74">
            <v>215</v>
          </cell>
          <cell r="R74">
            <v>125</v>
          </cell>
          <cell r="S74">
            <v>26</v>
          </cell>
          <cell r="T74">
            <v>16024</v>
          </cell>
          <cell r="U74">
            <v>301</v>
          </cell>
          <cell r="V74">
            <v>40371</v>
          </cell>
          <cell r="W74">
            <v>5547</v>
          </cell>
          <cell r="X74">
            <v>455667</v>
          </cell>
          <cell r="Y74">
            <v>77984</v>
          </cell>
          <cell r="Z74" t="str">
            <v>412 E FRANKLIN ST</v>
          </cell>
          <cell r="AA74" t="str">
            <v>ROCKINGHAM</v>
          </cell>
          <cell r="AB74">
            <v>28379</v>
          </cell>
          <cell r="AC74">
            <v>3607</v>
          </cell>
          <cell r="AD74" t="str">
            <v>412 E FRANKLIN ST</v>
          </cell>
          <cell r="AE74" t="str">
            <v>ROCKINGHAM</v>
          </cell>
          <cell r="AF74">
            <v>28379</v>
          </cell>
          <cell r="AG74">
            <v>2</v>
          </cell>
          <cell r="AH74" t="str">
            <v>SANDHILL REGIONAL LIBRARY SYSTEM</v>
          </cell>
          <cell r="AJ74" t="str">
            <v>Regional</v>
          </cell>
          <cell r="AK74" t="str">
            <v>RICHMOND</v>
          </cell>
          <cell r="AL74" t="str">
            <v>Jesse Gibson</v>
          </cell>
          <cell r="AM74" t="str">
            <v>(910) 997-3388</v>
          </cell>
          <cell r="AN74" t="str">
            <v>(910) 997-2516</v>
          </cell>
          <cell r="AO74" t="str">
            <v>jesse.gibson@srls.info</v>
          </cell>
          <cell r="AP74" t="str">
            <v>Donna Hudson</v>
          </cell>
          <cell r="AQ74" t="str">
            <v>Finance Officer</v>
          </cell>
          <cell r="AR74" t="str">
            <v>(910) 997-3388</v>
          </cell>
          <cell r="AS74" t="str">
            <v>(910) 997-2516</v>
          </cell>
          <cell r="AT74" t="str">
            <v>donna.hudson@srls.info</v>
          </cell>
          <cell r="AU74" t="str">
            <v>www.srls.info</v>
          </cell>
          <cell r="BC74">
            <v>0</v>
          </cell>
          <cell r="BD74">
            <v>15</v>
          </cell>
          <cell r="BE74">
            <v>2</v>
          </cell>
          <cell r="BF74">
            <v>1</v>
          </cell>
          <cell r="BG74">
            <v>18</v>
          </cell>
          <cell r="BI74">
            <v>27523</v>
          </cell>
          <cell r="BJ74">
            <v>5</v>
          </cell>
          <cell r="BK74">
            <v>1</v>
          </cell>
          <cell r="BL74">
            <v>6</v>
          </cell>
          <cell r="BM74">
            <v>40.03</v>
          </cell>
          <cell r="BN74">
            <v>46.03</v>
          </cell>
          <cell r="BO74">
            <v>0.1086</v>
          </cell>
          <cell r="BP74">
            <v>1866</v>
          </cell>
          <cell r="BQ74">
            <v>61200</v>
          </cell>
          <cell r="BU74">
            <v>39500</v>
          </cell>
          <cell r="BV74">
            <v>42840</v>
          </cell>
          <cell r="BW74">
            <v>42005</v>
          </cell>
          <cell r="CG74">
            <v>50072</v>
          </cell>
          <cell r="CH74">
            <v>50072</v>
          </cell>
          <cell r="CI74">
            <v>50072</v>
          </cell>
          <cell r="DV74">
            <v>162710</v>
          </cell>
          <cell r="DW74">
            <v>1808356</v>
          </cell>
          <cell r="DX74">
            <v>1971066</v>
          </cell>
          <cell r="DY74">
            <v>548476</v>
          </cell>
          <cell r="DZ74">
            <v>20000</v>
          </cell>
          <cell r="EA74">
            <v>568476</v>
          </cell>
          <cell r="EB74">
            <v>31931</v>
          </cell>
          <cell r="EC74">
            <v>122248</v>
          </cell>
          <cell r="ED74">
            <v>154179</v>
          </cell>
          <cell r="EE74">
            <v>142963</v>
          </cell>
          <cell r="EF74">
            <v>2836684</v>
          </cell>
          <cell r="EG74">
            <v>1356726</v>
          </cell>
          <cell r="EH74">
            <v>525514</v>
          </cell>
          <cell r="EI74">
            <v>1882240</v>
          </cell>
          <cell r="EJ74">
            <v>264723</v>
          </cell>
          <cell r="EK74">
            <v>40275</v>
          </cell>
          <cell r="EL74">
            <v>39726</v>
          </cell>
          <cell r="EM74">
            <v>344724</v>
          </cell>
          <cell r="EN74">
            <v>511084</v>
          </cell>
          <cell r="EO74">
            <v>2738048</v>
          </cell>
          <cell r="EP74">
            <v>98636</v>
          </cell>
          <cell r="EQ74">
            <v>3.4799999999999998E-2</v>
          </cell>
          <cell r="ER74">
            <v>0</v>
          </cell>
          <cell r="ES74">
            <v>0</v>
          </cell>
          <cell r="ET74">
            <v>0</v>
          </cell>
          <cell r="EU74">
            <v>0</v>
          </cell>
          <cell r="EV74">
            <v>0</v>
          </cell>
          <cell r="EW74">
            <v>0</v>
          </cell>
          <cell r="EX74">
            <v>27697</v>
          </cell>
          <cell r="EY74">
            <v>406012</v>
          </cell>
          <cell r="EZ74">
            <v>110479</v>
          </cell>
          <cell r="FA74">
            <v>16424</v>
          </cell>
          <cell r="FB74">
            <v>69647</v>
          </cell>
          <cell r="FC74">
            <v>79525</v>
          </cell>
          <cell r="FD74">
            <v>1423</v>
          </cell>
          <cell r="FE74">
            <v>34059</v>
          </cell>
          <cell r="FF74">
            <v>190004</v>
          </cell>
          <cell r="FG74">
            <v>17847</v>
          </cell>
          <cell r="FH74">
            <v>103706</v>
          </cell>
          <cell r="FI74">
            <v>311557</v>
          </cell>
          <cell r="FJ74">
            <v>9120</v>
          </cell>
          <cell r="FK74">
            <v>230</v>
          </cell>
          <cell r="FM74">
            <v>311557</v>
          </cell>
          <cell r="FN74">
            <v>6868</v>
          </cell>
          <cell r="FO74">
            <v>17124</v>
          </cell>
          <cell r="FP74">
            <v>1022</v>
          </cell>
          <cell r="FQ74">
            <v>5</v>
          </cell>
          <cell r="FR74">
            <v>88</v>
          </cell>
          <cell r="FS74">
            <v>93</v>
          </cell>
          <cell r="FT74">
            <v>44141</v>
          </cell>
          <cell r="FU74">
            <v>3505</v>
          </cell>
          <cell r="FV74">
            <v>0</v>
          </cell>
          <cell r="FW74">
            <v>0</v>
          </cell>
          <cell r="FX74">
            <v>8544</v>
          </cell>
          <cell r="FY74">
            <v>1573</v>
          </cell>
          <cell r="FZ74">
            <v>322</v>
          </cell>
          <cell r="GA74">
            <v>0</v>
          </cell>
          <cell r="GJ74">
            <v>1656</v>
          </cell>
          <cell r="GK74">
            <v>200</v>
          </cell>
          <cell r="GL74">
            <v>0</v>
          </cell>
          <cell r="GM74">
            <v>57</v>
          </cell>
          <cell r="GN74">
            <v>54341</v>
          </cell>
          <cell r="GO74">
            <v>5278</v>
          </cell>
          <cell r="GP74">
            <v>322</v>
          </cell>
          <cell r="GQ74">
            <v>57</v>
          </cell>
          <cell r="GR74">
            <v>184</v>
          </cell>
          <cell r="GT74">
            <v>105696</v>
          </cell>
          <cell r="GU74">
            <v>17429</v>
          </cell>
          <cell r="GV74">
            <v>111397</v>
          </cell>
          <cell r="GW74">
            <v>22339</v>
          </cell>
          <cell r="GX74">
            <v>438</v>
          </cell>
          <cell r="GY74">
            <v>19837</v>
          </cell>
          <cell r="GZ74">
            <v>128035</v>
          </cell>
          <cell r="HA74">
            <v>17867</v>
          </cell>
          <cell r="HB74">
            <v>131234</v>
          </cell>
          <cell r="HC74">
            <v>277136</v>
          </cell>
          <cell r="HD74">
            <v>1676</v>
          </cell>
          <cell r="HE74">
            <v>293015</v>
          </cell>
          <cell r="HF74">
            <v>10110</v>
          </cell>
          <cell r="HG74">
            <v>34429</v>
          </cell>
          <cell r="HH74">
            <v>14203</v>
          </cell>
          <cell r="HI74">
            <v>1391</v>
          </cell>
          <cell r="HJ74">
            <v>45930</v>
          </cell>
          <cell r="HK74">
            <v>338945</v>
          </cell>
          <cell r="HL74">
            <v>105</v>
          </cell>
          <cell r="HM74">
            <v>10497</v>
          </cell>
          <cell r="HN74">
            <v>10602</v>
          </cell>
          <cell r="HO74">
            <v>716</v>
          </cell>
          <cell r="HP74">
            <v>922</v>
          </cell>
          <cell r="HQ74">
            <v>1638</v>
          </cell>
          <cell r="HR74">
            <v>0</v>
          </cell>
          <cell r="HS74">
            <v>0</v>
          </cell>
          <cell r="HT74">
            <v>0</v>
          </cell>
          <cell r="HU74">
            <v>1581</v>
          </cell>
          <cell r="HV74">
            <v>13821</v>
          </cell>
          <cell r="HW74">
            <v>4949</v>
          </cell>
          <cell r="HX74">
            <v>0</v>
          </cell>
          <cell r="HY74">
            <v>4949</v>
          </cell>
          <cell r="HZ74">
            <v>18770</v>
          </cell>
          <cell r="IA74">
            <v>11748</v>
          </cell>
          <cell r="IB74">
            <v>46177</v>
          </cell>
          <cell r="IC74">
            <v>352766</v>
          </cell>
          <cell r="ID74">
            <v>352766</v>
          </cell>
          <cell r="IE74">
            <v>357715</v>
          </cell>
          <cell r="IF74">
            <v>149101</v>
          </cell>
          <cell r="IG74">
            <v>223</v>
          </cell>
          <cell r="IJ74">
            <v>3</v>
          </cell>
          <cell r="IK74">
            <v>4.2999999999999997E-2</v>
          </cell>
          <cell r="IL74">
            <v>5.9999999999999995E-4</v>
          </cell>
          <cell r="IM74">
            <v>0.14779999999999999</v>
          </cell>
          <cell r="IN74">
            <v>0</v>
          </cell>
          <cell r="IO74">
            <v>0.1338</v>
          </cell>
          <cell r="IP74">
            <v>2.0000000000000001E-4</v>
          </cell>
          <cell r="IQ74">
            <v>0.76739999999999997</v>
          </cell>
          <cell r="IR74">
            <v>2.9899999999999999E-2</v>
          </cell>
          <cell r="IS74">
            <v>0.42270000000000002</v>
          </cell>
          <cell r="IT74">
            <v>97684</v>
          </cell>
          <cell r="IU74">
            <v>30972</v>
          </cell>
          <cell r="IV74">
            <v>128656</v>
          </cell>
          <cell r="IW74">
            <v>0.51800000000000002</v>
          </cell>
          <cell r="IX74">
            <v>415423</v>
          </cell>
          <cell r="IZ74">
            <v>780</v>
          </cell>
          <cell r="JA74">
            <v>104</v>
          </cell>
          <cell r="JB74">
            <v>857</v>
          </cell>
          <cell r="JC74">
            <v>96</v>
          </cell>
          <cell r="JD74">
            <v>13</v>
          </cell>
          <cell r="JE74">
            <v>470</v>
          </cell>
          <cell r="JF74">
            <v>876</v>
          </cell>
          <cell r="JG74">
            <v>117</v>
          </cell>
          <cell r="JH74">
            <v>1327</v>
          </cell>
          <cell r="JI74">
            <v>2320</v>
          </cell>
          <cell r="JJ74">
            <v>1741</v>
          </cell>
          <cell r="JK74">
            <v>579</v>
          </cell>
          <cell r="JL74">
            <v>6475</v>
          </cell>
          <cell r="JM74">
            <v>878</v>
          </cell>
          <cell r="JN74">
            <v>19459</v>
          </cell>
          <cell r="JO74">
            <v>2249</v>
          </cell>
          <cell r="JP74">
            <v>1322</v>
          </cell>
          <cell r="JQ74">
            <v>26456</v>
          </cell>
          <cell r="JR74">
            <v>8724</v>
          </cell>
          <cell r="JS74">
            <v>2200</v>
          </cell>
          <cell r="JT74">
            <v>45915</v>
          </cell>
          <cell r="JU74">
            <v>56839</v>
          </cell>
          <cell r="JV74">
            <v>26812</v>
          </cell>
          <cell r="JW74">
            <v>30027</v>
          </cell>
          <cell r="JX74">
            <v>24.5</v>
          </cell>
          <cell r="JY74">
            <v>9.9600000000000009</v>
          </cell>
          <cell r="JZ74">
            <v>34.6</v>
          </cell>
          <cell r="KA74">
            <v>0.15</v>
          </cell>
          <cell r="KB74">
            <v>0.81</v>
          </cell>
          <cell r="KC74">
            <v>28</v>
          </cell>
          <cell r="KD74">
            <v>161</v>
          </cell>
          <cell r="KE74">
            <v>165</v>
          </cell>
          <cell r="KF74">
            <v>1153</v>
          </cell>
          <cell r="KM74">
            <v>82280</v>
          </cell>
          <cell r="KN74">
            <v>19006</v>
          </cell>
          <cell r="KO74">
            <v>9864</v>
          </cell>
          <cell r="KQ74">
            <v>2255</v>
          </cell>
          <cell r="KR74">
            <v>29397</v>
          </cell>
          <cell r="KS74">
            <v>151</v>
          </cell>
          <cell r="KT74">
            <v>39</v>
          </cell>
          <cell r="KU74">
            <v>76</v>
          </cell>
          <cell r="KV74">
            <v>133</v>
          </cell>
          <cell r="KW74">
            <v>66024</v>
          </cell>
          <cell r="KY74">
            <v>165598</v>
          </cell>
          <cell r="KZ74">
            <v>15441</v>
          </cell>
          <cell r="LC74" t="str">
            <v>ALLEN LIBRARY</v>
          </cell>
          <cell r="LD74" t="str">
            <v>Other</v>
          </cell>
          <cell r="LE74" t="str">
            <v>307 PAGE STREET</v>
          </cell>
          <cell r="LF74" t="str">
            <v>BISCOE</v>
          </cell>
          <cell r="LG74">
            <v>27209</v>
          </cell>
          <cell r="LH74">
            <v>9801</v>
          </cell>
          <cell r="LI74" t="str">
            <v>307 PAGE ST</v>
          </cell>
          <cell r="LJ74" t="str">
            <v>BISCOE</v>
          </cell>
          <cell r="LK74">
            <v>27209</v>
          </cell>
          <cell r="LL74">
            <v>9801</v>
          </cell>
          <cell r="LM74" t="str">
            <v>MONTGOMERY</v>
          </cell>
          <cell r="LN74">
            <v>9104282551</v>
          </cell>
          <cell r="LO74">
            <v>9104282551</v>
          </cell>
          <cell r="LP74">
            <v>96193</v>
          </cell>
          <cell r="LQ74">
            <v>43.43</v>
          </cell>
          <cell r="LS74">
            <v>27523</v>
          </cell>
          <cell r="LT74">
            <v>850</v>
          </cell>
          <cell r="LW74">
            <v>4</v>
          </cell>
          <cell r="LX74" t="str">
            <v>R-SANDHILL-B</v>
          </cell>
          <cell r="LY74">
            <v>0</v>
          </cell>
          <cell r="LZ74" t="str">
            <v>BR</v>
          </cell>
          <cell r="MA74">
            <v>5.33</v>
          </cell>
          <cell r="MB74">
            <v>5.3</v>
          </cell>
        </row>
        <row r="75">
          <cell r="A75" t="str">
            <v>NC0058</v>
          </cell>
          <cell r="B75">
            <v>0</v>
          </cell>
          <cell r="C75">
            <v>1375</v>
          </cell>
          <cell r="D75">
            <v>2017</v>
          </cell>
          <cell r="E75">
            <v>0</v>
          </cell>
          <cell r="F75" t="str">
            <v>NC0058</v>
          </cell>
          <cell r="G75" t="str">
            <v>C-SCOTLAND</v>
          </cell>
          <cell r="H75" t="str">
            <v>NO</v>
          </cell>
          <cell r="I75" t="str">
            <v>CO</v>
          </cell>
          <cell r="J75" t="str">
            <v>MO</v>
          </cell>
          <cell r="K75" t="str">
            <v>Y</v>
          </cell>
          <cell r="L75" t="str">
            <v>CO1</v>
          </cell>
          <cell r="M75" t="str">
            <v>N</v>
          </cell>
          <cell r="N75">
            <v>35821</v>
          </cell>
          <cell r="P75">
            <v>131</v>
          </cell>
          <cell r="Q75">
            <v>25</v>
          </cell>
          <cell r="R75">
            <v>22</v>
          </cell>
          <cell r="S75">
            <v>22</v>
          </cell>
          <cell r="T75">
            <v>1760</v>
          </cell>
          <cell r="U75">
            <v>378</v>
          </cell>
          <cell r="V75">
            <v>4599</v>
          </cell>
          <cell r="W75">
            <v>909</v>
          </cell>
          <cell r="X75">
            <v>17640</v>
          </cell>
          <cell r="Y75">
            <v>3360</v>
          </cell>
          <cell r="Z75" t="str">
            <v>312 WEST CHURCH STREET</v>
          </cell>
          <cell r="AA75" t="str">
            <v>LAURINBURG</v>
          </cell>
          <cell r="AB75">
            <v>28352</v>
          </cell>
          <cell r="AC75">
            <v>3720</v>
          </cell>
          <cell r="AD75" t="str">
            <v>312 W CHURCH ST</v>
          </cell>
          <cell r="AE75" t="str">
            <v>LAURINBURG</v>
          </cell>
          <cell r="AF75">
            <v>28352</v>
          </cell>
          <cell r="AG75">
            <v>1</v>
          </cell>
          <cell r="AH75" t="str">
            <v>SCOTLAND COUNTY MEMORIAL LIBRARY</v>
          </cell>
          <cell r="AJ75" t="str">
            <v>County</v>
          </cell>
          <cell r="AK75" t="str">
            <v>SCOTLAND</v>
          </cell>
          <cell r="AL75" t="str">
            <v>Leon L. Gyles</v>
          </cell>
          <cell r="AM75" t="str">
            <v>(910) 276-0577</v>
          </cell>
          <cell r="AN75" t="str">
            <v>(910) 276-4032</v>
          </cell>
          <cell r="AO75" t="str">
            <v>lgyles@scotlandcounty.org</v>
          </cell>
          <cell r="AP75" t="str">
            <v>Leon L. Gyles</v>
          </cell>
          <cell r="AQ75" t="str">
            <v>Director</v>
          </cell>
          <cell r="AR75" t="str">
            <v>(910) 276-0577</v>
          </cell>
          <cell r="AS75" t="str">
            <v>(910) 276-4032</v>
          </cell>
          <cell r="AT75" t="str">
            <v>lgyles@scotlandcounty.org</v>
          </cell>
          <cell r="AU75" t="str">
            <v>www.scotlandcounty.org/188/library</v>
          </cell>
          <cell r="BC75">
            <v>1</v>
          </cell>
          <cell r="BD75">
            <v>0</v>
          </cell>
          <cell r="BE75">
            <v>1</v>
          </cell>
          <cell r="BF75">
            <v>0</v>
          </cell>
          <cell r="BG75">
            <v>2</v>
          </cell>
          <cell r="BI75">
            <v>2782</v>
          </cell>
          <cell r="BJ75">
            <v>1</v>
          </cell>
          <cell r="BK75">
            <v>0</v>
          </cell>
          <cell r="BL75">
            <v>1</v>
          </cell>
          <cell r="BM75">
            <v>5.3</v>
          </cell>
          <cell r="BN75">
            <v>6.3</v>
          </cell>
          <cell r="BO75">
            <v>0.15870000000000001</v>
          </cell>
          <cell r="BP75">
            <v>523</v>
          </cell>
          <cell r="BQ75">
            <v>57972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Y75">
            <v>0</v>
          </cell>
          <cell r="BZ75">
            <v>0</v>
          </cell>
          <cell r="CA75">
            <v>0</v>
          </cell>
          <cell r="CC75">
            <v>0</v>
          </cell>
          <cell r="CD75">
            <v>0</v>
          </cell>
          <cell r="CE75">
            <v>0</v>
          </cell>
          <cell r="CG75">
            <v>0</v>
          </cell>
          <cell r="CH75">
            <v>0</v>
          </cell>
          <cell r="CI75">
            <v>0</v>
          </cell>
          <cell r="CK75">
            <v>0</v>
          </cell>
          <cell r="CL75">
            <v>0</v>
          </cell>
          <cell r="CM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37968</v>
          </cell>
          <cell r="CS75">
            <v>55032</v>
          </cell>
          <cell r="CT75">
            <v>46296</v>
          </cell>
          <cell r="CV75">
            <v>0</v>
          </cell>
          <cell r="CW75">
            <v>0</v>
          </cell>
          <cell r="CX75">
            <v>0</v>
          </cell>
          <cell r="CZ75">
            <v>0</v>
          </cell>
          <cell r="DA75">
            <v>0</v>
          </cell>
          <cell r="DB75">
            <v>0</v>
          </cell>
          <cell r="DD75">
            <v>0</v>
          </cell>
          <cell r="DE75">
            <v>0</v>
          </cell>
          <cell r="DF75">
            <v>0</v>
          </cell>
          <cell r="DH75">
            <v>0</v>
          </cell>
          <cell r="DI75">
            <v>0</v>
          </cell>
          <cell r="DJ75">
            <v>0</v>
          </cell>
          <cell r="DK75">
            <v>24216</v>
          </cell>
          <cell r="DL75">
            <v>35100</v>
          </cell>
          <cell r="DM75">
            <v>29532</v>
          </cell>
          <cell r="DO75">
            <v>22140</v>
          </cell>
          <cell r="DP75">
            <v>32076</v>
          </cell>
          <cell r="DQ75">
            <v>26988</v>
          </cell>
          <cell r="DS75">
            <v>0</v>
          </cell>
          <cell r="DT75">
            <v>0</v>
          </cell>
          <cell r="DU75">
            <v>0</v>
          </cell>
          <cell r="DV75">
            <v>0</v>
          </cell>
          <cell r="DW75">
            <v>366507</v>
          </cell>
          <cell r="DX75">
            <v>366507</v>
          </cell>
          <cell r="DY75">
            <v>102867</v>
          </cell>
          <cell r="DZ75">
            <v>0</v>
          </cell>
          <cell r="EA75">
            <v>102867</v>
          </cell>
          <cell r="EB75">
            <v>19679</v>
          </cell>
          <cell r="EC75">
            <v>0</v>
          </cell>
          <cell r="ED75">
            <v>19679</v>
          </cell>
          <cell r="EE75">
            <v>8804</v>
          </cell>
          <cell r="EF75">
            <v>497857</v>
          </cell>
          <cell r="EG75">
            <v>197857</v>
          </cell>
          <cell r="EH75">
            <v>85741</v>
          </cell>
          <cell r="EI75">
            <v>283598</v>
          </cell>
          <cell r="EJ75">
            <v>55340</v>
          </cell>
          <cell r="EK75">
            <v>16735</v>
          </cell>
          <cell r="EL75">
            <v>15047</v>
          </cell>
          <cell r="EM75">
            <v>87122</v>
          </cell>
          <cell r="EN75">
            <v>112337</v>
          </cell>
          <cell r="EO75">
            <v>483057</v>
          </cell>
          <cell r="EP75">
            <v>14800</v>
          </cell>
          <cell r="EQ75">
            <v>2.9700000000000001E-2</v>
          </cell>
          <cell r="ER75">
            <v>15000</v>
          </cell>
          <cell r="ES75">
            <v>0</v>
          </cell>
          <cell r="ET75">
            <v>0</v>
          </cell>
          <cell r="EU75">
            <v>0</v>
          </cell>
          <cell r="EV75">
            <v>15000</v>
          </cell>
          <cell r="EW75">
            <v>15000</v>
          </cell>
          <cell r="EX75">
            <v>10092</v>
          </cell>
          <cell r="EY75">
            <v>133331</v>
          </cell>
          <cell r="EZ75">
            <v>15433</v>
          </cell>
          <cell r="FA75">
            <v>2542</v>
          </cell>
          <cell r="FB75">
            <v>8389</v>
          </cell>
          <cell r="FC75">
            <v>10663</v>
          </cell>
          <cell r="FD75">
            <v>176</v>
          </cell>
          <cell r="FE75">
            <v>4531</v>
          </cell>
          <cell r="FF75">
            <v>26096</v>
          </cell>
          <cell r="FG75">
            <v>2718</v>
          </cell>
          <cell r="FH75">
            <v>12920</v>
          </cell>
          <cell r="FI75">
            <v>41734</v>
          </cell>
          <cell r="FJ75">
            <v>42</v>
          </cell>
          <cell r="FK75">
            <v>33</v>
          </cell>
          <cell r="FM75">
            <v>41734</v>
          </cell>
          <cell r="FN75">
            <v>2029</v>
          </cell>
          <cell r="FO75">
            <v>2811</v>
          </cell>
          <cell r="FP75">
            <v>0</v>
          </cell>
          <cell r="FQ75">
            <v>6</v>
          </cell>
          <cell r="FR75">
            <v>88</v>
          </cell>
          <cell r="FS75">
            <v>94</v>
          </cell>
          <cell r="FT75">
            <v>44141</v>
          </cell>
          <cell r="FU75">
            <v>3505</v>
          </cell>
          <cell r="FV75">
            <v>0</v>
          </cell>
          <cell r="FW75">
            <v>0</v>
          </cell>
          <cell r="FX75">
            <v>8544</v>
          </cell>
          <cell r="FY75">
            <v>1573</v>
          </cell>
          <cell r="FZ75">
            <v>322</v>
          </cell>
          <cell r="GA75">
            <v>0</v>
          </cell>
          <cell r="GB75">
            <v>26436</v>
          </cell>
          <cell r="GC75">
            <v>1747</v>
          </cell>
          <cell r="GD75">
            <v>278</v>
          </cell>
          <cell r="GE75">
            <v>42</v>
          </cell>
          <cell r="GJ75">
            <v>0</v>
          </cell>
          <cell r="GK75">
            <v>0</v>
          </cell>
          <cell r="GL75">
            <v>0</v>
          </cell>
          <cell r="GM75">
            <v>0</v>
          </cell>
          <cell r="GN75">
            <v>79121</v>
          </cell>
          <cell r="GO75">
            <v>6825</v>
          </cell>
          <cell r="GP75">
            <v>600</v>
          </cell>
          <cell r="GQ75">
            <v>42</v>
          </cell>
          <cell r="GR75">
            <v>39</v>
          </cell>
          <cell r="GT75">
            <v>19608</v>
          </cell>
          <cell r="GU75">
            <v>2708</v>
          </cell>
          <cell r="GV75">
            <v>12601</v>
          </cell>
          <cell r="GW75">
            <v>3665</v>
          </cell>
          <cell r="GX75">
            <v>171</v>
          </cell>
          <cell r="GY75">
            <v>2007</v>
          </cell>
          <cell r="GZ75">
            <v>23273</v>
          </cell>
          <cell r="HA75">
            <v>2879</v>
          </cell>
          <cell r="HB75">
            <v>14608</v>
          </cell>
          <cell r="HC75">
            <v>40760</v>
          </cell>
          <cell r="HD75">
            <v>0</v>
          </cell>
          <cell r="HE75">
            <v>40790</v>
          </cell>
          <cell r="HF75">
            <v>2243</v>
          </cell>
          <cell r="HG75">
            <v>14312</v>
          </cell>
          <cell r="HH75">
            <v>30</v>
          </cell>
          <cell r="HI75">
            <v>0</v>
          </cell>
          <cell r="HJ75">
            <v>16555</v>
          </cell>
          <cell r="HK75">
            <v>57345</v>
          </cell>
          <cell r="HL75">
            <v>2</v>
          </cell>
          <cell r="HM75">
            <v>1854</v>
          </cell>
          <cell r="HN75">
            <v>1856</v>
          </cell>
          <cell r="HO75">
            <v>7</v>
          </cell>
          <cell r="HP75">
            <v>212</v>
          </cell>
          <cell r="HQ75">
            <v>219</v>
          </cell>
          <cell r="HR75">
            <v>0</v>
          </cell>
          <cell r="HS75">
            <v>8</v>
          </cell>
          <cell r="HT75">
            <v>8</v>
          </cell>
          <cell r="HU75">
            <v>19</v>
          </cell>
          <cell r="HV75">
            <v>2102</v>
          </cell>
          <cell r="HW75">
            <v>181</v>
          </cell>
          <cell r="HX75">
            <v>3744</v>
          </cell>
          <cell r="HY75">
            <v>3925</v>
          </cell>
          <cell r="HZ75">
            <v>6027</v>
          </cell>
          <cell r="IA75">
            <v>2462</v>
          </cell>
          <cell r="IB75">
            <v>16782</v>
          </cell>
          <cell r="IC75">
            <v>59447</v>
          </cell>
          <cell r="ID75">
            <v>59447</v>
          </cell>
          <cell r="IE75">
            <v>63372</v>
          </cell>
          <cell r="IF75">
            <v>17487</v>
          </cell>
          <cell r="IG75">
            <v>0</v>
          </cell>
          <cell r="IK75">
            <v>2.5600000000000001E-2</v>
          </cell>
          <cell r="IL75">
            <v>2.0000000000000001E-4</v>
          </cell>
          <cell r="IM75">
            <v>0.64939999999999998</v>
          </cell>
          <cell r="IN75">
            <v>0</v>
          </cell>
          <cell r="IO75">
            <v>0.59340000000000004</v>
          </cell>
          <cell r="IP75">
            <v>6.9999999999999999E-4</v>
          </cell>
          <cell r="IQ75">
            <v>0.313</v>
          </cell>
          <cell r="IR75">
            <v>6.6400000000000001E-2</v>
          </cell>
          <cell r="IS75">
            <v>0.29420000000000002</v>
          </cell>
          <cell r="IT75">
            <v>7782</v>
          </cell>
          <cell r="IU75">
            <v>1801</v>
          </cell>
          <cell r="IV75">
            <v>9583</v>
          </cell>
          <cell r="IW75">
            <v>0.26750000000000002</v>
          </cell>
          <cell r="IX75">
            <v>72579</v>
          </cell>
          <cell r="IZ75">
            <v>27</v>
          </cell>
          <cell r="JA75">
            <v>12</v>
          </cell>
          <cell r="JB75">
            <v>102</v>
          </cell>
          <cell r="JC75">
            <v>3</v>
          </cell>
          <cell r="JD75">
            <v>3</v>
          </cell>
          <cell r="JE75">
            <v>3</v>
          </cell>
          <cell r="JF75">
            <v>30</v>
          </cell>
          <cell r="JG75">
            <v>15</v>
          </cell>
          <cell r="JH75">
            <v>105</v>
          </cell>
          <cell r="JI75">
            <v>150</v>
          </cell>
          <cell r="JJ75">
            <v>141</v>
          </cell>
          <cell r="JK75">
            <v>9</v>
          </cell>
          <cell r="JL75">
            <v>1626</v>
          </cell>
          <cell r="JM75">
            <v>357</v>
          </cell>
          <cell r="JN75">
            <v>2831</v>
          </cell>
          <cell r="JO75">
            <v>108</v>
          </cell>
          <cell r="JP75">
            <v>31</v>
          </cell>
          <cell r="JQ75">
            <v>131</v>
          </cell>
          <cell r="JR75">
            <v>1734</v>
          </cell>
          <cell r="JS75">
            <v>388</v>
          </cell>
          <cell r="JT75">
            <v>2962</v>
          </cell>
          <cell r="JU75">
            <v>5084</v>
          </cell>
          <cell r="JV75">
            <v>4814</v>
          </cell>
          <cell r="JW75">
            <v>270</v>
          </cell>
          <cell r="JX75">
            <v>33.89</v>
          </cell>
          <cell r="JY75">
            <v>57.8</v>
          </cell>
          <cell r="JZ75">
            <v>28.21</v>
          </cell>
          <cell r="KA75">
            <v>0.34</v>
          </cell>
          <cell r="KB75">
            <v>0.57999999999999996</v>
          </cell>
          <cell r="KC75">
            <v>0</v>
          </cell>
          <cell r="KD75">
            <v>0</v>
          </cell>
          <cell r="KE75">
            <v>0</v>
          </cell>
          <cell r="KF75">
            <v>0</v>
          </cell>
          <cell r="KG75">
            <v>70</v>
          </cell>
          <cell r="KH75">
            <v>975</v>
          </cell>
          <cell r="KI75">
            <v>1</v>
          </cell>
          <cell r="KJ75">
            <v>22</v>
          </cell>
          <cell r="KK75">
            <v>4</v>
          </cell>
          <cell r="KL75">
            <v>140</v>
          </cell>
          <cell r="KM75">
            <v>5753</v>
          </cell>
          <cell r="KN75">
            <v>4748</v>
          </cell>
          <cell r="KO75">
            <v>229</v>
          </cell>
          <cell r="KQ75">
            <v>189</v>
          </cell>
          <cell r="KR75">
            <v>2268</v>
          </cell>
          <cell r="KS75">
            <v>3218</v>
          </cell>
          <cell r="KT75">
            <v>678</v>
          </cell>
          <cell r="KU75">
            <v>9</v>
          </cell>
          <cell r="KV75">
            <v>14</v>
          </cell>
          <cell r="KW75">
            <v>14831</v>
          </cell>
          <cell r="KZ75">
            <v>2388</v>
          </cell>
          <cell r="LC75" t="str">
            <v>SCOTLAND COUNTY MEMORIAL LIBRARY</v>
          </cell>
          <cell r="LD75" t="str">
            <v>County Owned</v>
          </cell>
          <cell r="LE75" t="str">
            <v>312 W CHURCH ST</v>
          </cell>
          <cell r="LF75" t="str">
            <v>LAURINBURG</v>
          </cell>
          <cell r="LG75">
            <v>28352</v>
          </cell>
          <cell r="LH75">
            <v>3720</v>
          </cell>
          <cell r="LI75" t="str">
            <v>312 W CHURCH ST</v>
          </cell>
          <cell r="LJ75" t="str">
            <v>LAURINBURG</v>
          </cell>
          <cell r="LK75">
            <v>28352</v>
          </cell>
          <cell r="LL75">
            <v>3720</v>
          </cell>
          <cell r="LM75" t="str">
            <v>SCOTLAND</v>
          </cell>
          <cell r="LN75">
            <v>9102760563</v>
          </cell>
          <cell r="LO75">
            <v>9102764032</v>
          </cell>
          <cell r="LP75">
            <v>8400</v>
          </cell>
          <cell r="LQ75">
            <v>6.3</v>
          </cell>
          <cell r="LS75">
            <v>2782</v>
          </cell>
          <cell r="LT75">
            <v>90</v>
          </cell>
          <cell r="LW75">
            <v>2</v>
          </cell>
          <cell r="LX75" t="str">
            <v>C-SCOTLAND-L</v>
          </cell>
          <cell r="LY75">
            <v>0</v>
          </cell>
          <cell r="LZ75" t="str">
            <v>CE</v>
          </cell>
          <cell r="MA75">
            <v>51.93</v>
          </cell>
          <cell r="MB75">
            <v>57.06</v>
          </cell>
        </row>
        <row r="76">
          <cell r="A76" t="str">
            <v>NC0050</v>
          </cell>
          <cell r="B76">
            <v>0</v>
          </cell>
          <cell r="C76">
            <v>1375</v>
          </cell>
          <cell r="D76">
            <v>2017</v>
          </cell>
          <cell r="E76">
            <v>0</v>
          </cell>
          <cell r="F76" t="str">
            <v>NC0050</v>
          </cell>
          <cell r="G76" t="str">
            <v>C-PITT</v>
          </cell>
          <cell r="H76" t="str">
            <v>NO</v>
          </cell>
          <cell r="I76" t="str">
            <v>CO</v>
          </cell>
          <cell r="J76" t="str">
            <v>MO</v>
          </cell>
          <cell r="K76" t="str">
            <v>Y</v>
          </cell>
          <cell r="L76" t="str">
            <v>CO2</v>
          </cell>
          <cell r="M76" t="str">
            <v>N</v>
          </cell>
          <cell r="N76">
            <v>177220</v>
          </cell>
          <cell r="O76" t="str">
            <v>Yes</v>
          </cell>
          <cell r="P76">
            <v>977</v>
          </cell>
          <cell r="R76">
            <v>165</v>
          </cell>
          <cell r="S76">
            <v>0</v>
          </cell>
          <cell r="T76">
            <v>5372</v>
          </cell>
          <cell r="U76">
            <v>0</v>
          </cell>
          <cell r="V76">
            <v>67082</v>
          </cell>
          <cell r="W76">
            <v>5556</v>
          </cell>
          <cell r="X76">
            <v>948360</v>
          </cell>
          <cell r="Z76" t="str">
            <v>530 S EVANS ST</v>
          </cell>
          <cell r="AA76" t="str">
            <v>GREENVILLE</v>
          </cell>
          <cell r="AB76">
            <v>27858</v>
          </cell>
          <cell r="AC76">
            <v>2308</v>
          </cell>
          <cell r="AD76" t="str">
            <v>530 S EVANS ST</v>
          </cell>
          <cell r="AE76" t="str">
            <v>GREENVILLE</v>
          </cell>
          <cell r="AF76">
            <v>27858</v>
          </cell>
          <cell r="AG76">
            <v>2</v>
          </cell>
          <cell r="AH76" t="str">
            <v>SHEPPARD MEMORIAL LIBRARY</v>
          </cell>
          <cell r="AJ76" t="str">
            <v>County</v>
          </cell>
          <cell r="AK76" t="str">
            <v>PITT</v>
          </cell>
          <cell r="AL76" t="str">
            <v>Greg Needham</v>
          </cell>
          <cell r="AM76" t="str">
            <v>(252) 329-4585</v>
          </cell>
          <cell r="AN76" t="str">
            <v>(252) 329-4255</v>
          </cell>
          <cell r="AO76" t="str">
            <v>gneedham@sheppardlibrary.org</v>
          </cell>
          <cell r="AP76" t="str">
            <v>Lynn Woolard - Financial / Tammy Fulcher - Statistical</v>
          </cell>
          <cell r="AQ76" t="str">
            <v>Business Mgr / Head of Technical Services</v>
          </cell>
          <cell r="AR76" t="str">
            <v>(252) 329-4586</v>
          </cell>
          <cell r="AS76" t="str">
            <v>(252) 329-4255</v>
          </cell>
          <cell r="AT76" t="str">
            <v>lwoolard@sheppardlibrary.org / tfulcher@sheppardlibrary.org</v>
          </cell>
          <cell r="AU76" t="str">
            <v>www.sheppardlibrary.org</v>
          </cell>
          <cell r="BC76">
            <v>1</v>
          </cell>
          <cell r="BD76">
            <v>4</v>
          </cell>
          <cell r="BE76">
            <v>1</v>
          </cell>
          <cell r="BG76">
            <v>6</v>
          </cell>
          <cell r="BI76">
            <v>14478</v>
          </cell>
          <cell r="BJ76">
            <v>1</v>
          </cell>
          <cell r="BK76">
            <v>4</v>
          </cell>
          <cell r="BL76">
            <v>5</v>
          </cell>
          <cell r="BM76">
            <v>30.81</v>
          </cell>
          <cell r="BN76">
            <v>35.81</v>
          </cell>
          <cell r="BO76">
            <v>2.7900000000000001E-2</v>
          </cell>
          <cell r="BP76">
            <v>2784</v>
          </cell>
          <cell r="BQ76">
            <v>105768</v>
          </cell>
          <cell r="BU76">
            <v>27414</v>
          </cell>
          <cell r="BV76">
            <v>70117</v>
          </cell>
          <cell r="BW76">
            <v>39573</v>
          </cell>
          <cell r="BY76">
            <v>40435</v>
          </cell>
          <cell r="BZ76">
            <v>70117</v>
          </cell>
          <cell r="CA76">
            <v>63378</v>
          </cell>
          <cell r="CC76">
            <v>40435</v>
          </cell>
          <cell r="CD76">
            <v>81806</v>
          </cell>
          <cell r="CE76">
            <v>75816</v>
          </cell>
          <cell r="CG76">
            <v>40435</v>
          </cell>
          <cell r="CH76">
            <v>81806</v>
          </cell>
          <cell r="CI76">
            <v>75816</v>
          </cell>
          <cell r="CR76">
            <v>37794</v>
          </cell>
          <cell r="CS76">
            <v>56701</v>
          </cell>
          <cell r="CT76">
            <v>42286</v>
          </cell>
          <cell r="DD76">
            <v>27414</v>
          </cell>
          <cell r="DE76">
            <v>56701</v>
          </cell>
          <cell r="DF76">
            <v>28766</v>
          </cell>
          <cell r="DH76">
            <v>27414</v>
          </cell>
          <cell r="DI76">
            <v>56701</v>
          </cell>
          <cell r="DJ76">
            <v>38535</v>
          </cell>
          <cell r="DK76">
            <v>27414</v>
          </cell>
          <cell r="DL76">
            <v>41142</v>
          </cell>
          <cell r="DM76">
            <v>34278</v>
          </cell>
          <cell r="DO76">
            <v>27414</v>
          </cell>
          <cell r="DP76">
            <v>41142</v>
          </cell>
          <cell r="DQ76">
            <v>34278</v>
          </cell>
          <cell r="DS76">
            <v>40435</v>
          </cell>
          <cell r="DT76">
            <v>70117</v>
          </cell>
          <cell r="DU76">
            <v>51792</v>
          </cell>
          <cell r="DV76">
            <v>1383466</v>
          </cell>
          <cell r="DW76">
            <v>593096</v>
          </cell>
          <cell r="DX76">
            <v>1976562</v>
          </cell>
          <cell r="DY76">
            <v>190187</v>
          </cell>
          <cell r="DZ76">
            <v>0</v>
          </cell>
          <cell r="EA76">
            <v>190187</v>
          </cell>
          <cell r="EB76">
            <v>0</v>
          </cell>
          <cell r="EC76">
            <v>0</v>
          </cell>
          <cell r="ED76">
            <v>0</v>
          </cell>
          <cell r="EE76">
            <v>168342</v>
          </cell>
          <cell r="EF76">
            <v>2335091</v>
          </cell>
          <cell r="EG76">
            <v>1112121</v>
          </cell>
          <cell r="EH76">
            <v>352385</v>
          </cell>
          <cell r="EI76">
            <v>1464506</v>
          </cell>
          <cell r="EJ76">
            <v>207112</v>
          </cell>
          <cell r="EK76">
            <v>62442</v>
          </cell>
          <cell r="EL76">
            <v>23147</v>
          </cell>
          <cell r="EM76">
            <v>292701</v>
          </cell>
          <cell r="EN76">
            <v>500927</v>
          </cell>
          <cell r="EO76">
            <v>2258134</v>
          </cell>
          <cell r="EP76">
            <v>76957</v>
          </cell>
          <cell r="EQ76">
            <v>3.3000000000000002E-2</v>
          </cell>
          <cell r="ER76">
            <v>100000</v>
          </cell>
          <cell r="ES76">
            <v>0</v>
          </cell>
          <cell r="ET76">
            <v>0</v>
          </cell>
          <cell r="EU76">
            <v>81458</v>
          </cell>
          <cell r="EV76">
            <v>181458</v>
          </cell>
          <cell r="EW76">
            <v>39653</v>
          </cell>
          <cell r="EX76">
            <v>24312</v>
          </cell>
          <cell r="EY76">
            <v>319201</v>
          </cell>
          <cell r="EZ76">
            <v>62938</v>
          </cell>
          <cell r="FA76">
            <v>7546</v>
          </cell>
          <cell r="FB76">
            <v>45478</v>
          </cell>
          <cell r="FC76">
            <v>61003</v>
          </cell>
          <cell r="FD76">
            <v>2849</v>
          </cell>
          <cell r="FE76">
            <v>25432</v>
          </cell>
          <cell r="FF76">
            <v>123941</v>
          </cell>
          <cell r="FG76">
            <v>10395</v>
          </cell>
          <cell r="FH76">
            <v>70910</v>
          </cell>
          <cell r="FI76">
            <v>205246</v>
          </cell>
          <cell r="FJ76">
            <v>31265</v>
          </cell>
          <cell r="FK76">
            <v>194</v>
          </cell>
          <cell r="FM76">
            <v>205246</v>
          </cell>
          <cell r="FN76">
            <v>9379</v>
          </cell>
          <cell r="FO76">
            <v>10915</v>
          </cell>
          <cell r="FP76">
            <v>964</v>
          </cell>
          <cell r="FQ76">
            <v>13</v>
          </cell>
          <cell r="FR76">
            <v>88</v>
          </cell>
          <cell r="FS76">
            <v>101</v>
          </cell>
          <cell r="FT76">
            <v>44141</v>
          </cell>
          <cell r="FU76">
            <v>3505</v>
          </cell>
          <cell r="FV76">
            <v>0</v>
          </cell>
          <cell r="FW76">
            <v>0</v>
          </cell>
          <cell r="FX76">
            <v>8544</v>
          </cell>
          <cell r="FY76">
            <v>1573</v>
          </cell>
          <cell r="FZ76">
            <v>322</v>
          </cell>
          <cell r="GA76">
            <v>0</v>
          </cell>
          <cell r="GJ76">
            <v>2539</v>
          </cell>
          <cell r="GK76">
            <v>513</v>
          </cell>
          <cell r="GL76">
            <v>0</v>
          </cell>
          <cell r="GN76">
            <v>55224</v>
          </cell>
          <cell r="GO76">
            <v>5591</v>
          </cell>
          <cell r="GP76">
            <v>322</v>
          </cell>
          <cell r="GQ76">
            <v>0</v>
          </cell>
          <cell r="GR76">
            <v>30</v>
          </cell>
          <cell r="GT76">
            <v>120252</v>
          </cell>
          <cell r="GU76">
            <v>18005</v>
          </cell>
          <cell r="GV76">
            <v>185991</v>
          </cell>
          <cell r="GW76">
            <v>51340</v>
          </cell>
          <cell r="GX76">
            <v>1808</v>
          </cell>
          <cell r="GY76">
            <v>40238</v>
          </cell>
          <cell r="GZ76">
            <v>171592</v>
          </cell>
          <cell r="HA76">
            <v>19813</v>
          </cell>
          <cell r="HB76">
            <v>226229</v>
          </cell>
          <cell r="HC76">
            <v>417634</v>
          </cell>
          <cell r="HD76">
            <v>1505</v>
          </cell>
          <cell r="HE76">
            <v>419139</v>
          </cell>
          <cell r="HF76">
            <v>24200</v>
          </cell>
          <cell r="HG76">
            <v>17480</v>
          </cell>
          <cell r="HH76">
            <v>0</v>
          </cell>
          <cell r="HI76">
            <v>0</v>
          </cell>
          <cell r="HJ76">
            <v>41680</v>
          </cell>
          <cell r="HK76">
            <v>460819</v>
          </cell>
          <cell r="HL76">
            <v>684</v>
          </cell>
          <cell r="HM76">
            <v>7554</v>
          </cell>
          <cell r="HN76">
            <v>8238</v>
          </cell>
          <cell r="HO76">
            <v>1728</v>
          </cell>
          <cell r="HP76">
            <v>7177</v>
          </cell>
          <cell r="HQ76">
            <v>8905</v>
          </cell>
          <cell r="HR76">
            <v>0</v>
          </cell>
          <cell r="HS76">
            <v>0</v>
          </cell>
          <cell r="HT76">
            <v>0</v>
          </cell>
          <cell r="HU76">
            <v>2065</v>
          </cell>
          <cell r="HV76">
            <v>19208</v>
          </cell>
          <cell r="HW76">
            <v>7994</v>
          </cell>
          <cell r="HX76">
            <v>547878</v>
          </cell>
          <cell r="HY76">
            <v>555872</v>
          </cell>
          <cell r="HZ76">
            <v>575080</v>
          </cell>
          <cell r="IA76">
            <v>33105</v>
          </cell>
          <cell r="IB76">
            <v>50585</v>
          </cell>
          <cell r="IC76">
            <v>480027</v>
          </cell>
          <cell r="ID76">
            <v>480027</v>
          </cell>
          <cell r="IE76">
            <v>1035899</v>
          </cell>
          <cell r="IF76">
            <v>254682</v>
          </cell>
          <cell r="IG76">
            <v>-1</v>
          </cell>
          <cell r="IK76">
            <v>3.5200000000000002E-2</v>
          </cell>
          <cell r="IL76">
            <v>5.9999999999999995E-4</v>
          </cell>
          <cell r="IM76">
            <v>0.1915</v>
          </cell>
          <cell r="IN76">
            <v>0</v>
          </cell>
          <cell r="IO76">
            <v>0.17299999999999999</v>
          </cell>
          <cell r="IP76">
            <v>2.9999999999999997E-4</v>
          </cell>
          <cell r="IQ76">
            <v>0.64300000000000002</v>
          </cell>
          <cell r="IR76">
            <v>4.6899999999999997E-2</v>
          </cell>
          <cell r="IS76">
            <v>0.53059999999999996</v>
          </cell>
          <cell r="IT76">
            <v>50948</v>
          </cell>
          <cell r="IU76">
            <v>12322</v>
          </cell>
          <cell r="IV76">
            <v>63270</v>
          </cell>
          <cell r="IW76">
            <v>0.35699999999999998</v>
          </cell>
          <cell r="IX76">
            <v>457726</v>
          </cell>
          <cell r="IZ76">
            <v>165</v>
          </cell>
          <cell r="JA76">
            <v>10</v>
          </cell>
          <cell r="JB76">
            <v>649</v>
          </cell>
          <cell r="JC76">
            <v>19</v>
          </cell>
          <cell r="JD76">
            <v>0</v>
          </cell>
          <cell r="JE76">
            <v>303</v>
          </cell>
          <cell r="JF76">
            <v>184</v>
          </cell>
          <cell r="JG76">
            <v>10</v>
          </cell>
          <cell r="JH76">
            <v>952</v>
          </cell>
          <cell r="JI76">
            <v>1146</v>
          </cell>
          <cell r="JJ76">
            <v>824</v>
          </cell>
          <cell r="JK76">
            <v>322</v>
          </cell>
          <cell r="JL76">
            <v>1014</v>
          </cell>
          <cell r="JM76">
            <v>100</v>
          </cell>
          <cell r="JN76">
            <v>19975</v>
          </cell>
          <cell r="JO76">
            <v>281</v>
          </cell>
          <cell r="JP76">
            <v>0</v>
          </cell>
          <cell r="JQ76">
            <v>8148</v>
          </cell>
          <cell r="JR76">
            <v>1295</v>
          </cell>
          <cell r="JS76">
            <v>100</v>
          </cell>
          <cell r="JT76">
            <v>28123</v>
          </cell>
          <cell r="JU76">
            <v>29518</v>
          </cell>
          <cell r="JV76">
            <v>21089</v>
          </cell>
          <cell r="JW76">
            <v>8429</v>
          </cell>
          <cell r="JX76">
            <v>25.76</v>
          </cell>
          <cell r="JY76">
            <v>7.04</v>
          </cell>
          <cell r="JZ76">
            <v>29.54</v>
          </cell>
          <cell r="KA76">
            <v>0.04</v>
          </cell>
          <cell r="KB76">
            <v>0.95</v>
          </cell>
          <cell r="KC76">
            <v>0</v>
          </cell>
          <cell r="KD76">
            <v>0</v>
          </cell>
          <cell r="KE76">
            <v>75</v>
          </cell>
          <cell r="KF76">
            <v>349</v>
          </cell>
          <cell r="KG76">
            <v>639</v>
          </cell>
          <cell r="KH76">
            <v>17500</v>
          </cell>
          <cell r="KI76">
            <v>0</v>
          </cell>
          <cell r="KJ76">
            <v>0</v>
          </cell>
          <cell r="KM76">
            <v>104998</v>
          </cell>
          <cell r="KN76">
            <v>17991</v>
          </cell>
          <cell r="KO76">
            <v>2708</v>
          </cell>
          <cell r="KQ76">
            <v>2939</v>
          </cell>
          <cell r="KR76">
            <v>16916</v>
          </cell>
          <cell r="KS76">
            <v>0</v>
          </cell>
          <cell r="KT76">
            <v>0</v>
          </cell>
          <cell r="KU76">
            <v>41</v>
          </cell>
          <cell r="KV76">
            <v>129</v>
          </cell>
          <cell r="KW76">
            <v>126910</v>
          </cell>
          <cell r="KY76">
            <v>295012</v>
          </cell>
          <cell r="LC76" t="str">
            <v>SHEPPARD MEMORIAL LIBRARY</v>
          </cell>
          <cell r="LD76" t="str">
            <v>City Owned</v>
          </cell>
          <cell r="LE76" t="str">
            <v>530 S EVANS ST</v>
          </cell>
          <cell r="LF76" t="str">
            <v>GREENVILLE</v>
          </cell>
          <cell r="LG76">
            <v>27858</v>
          </cell>
          <cell r="LH76">
            <v>2308</v>
          </cell>
          <cell r="LI76" t="str">
            <v>530 S EVANS ST</v>
          </cell>
          <cell r="LJ76" t="str">
            <v>GREENVILLE</v>
          </cell>
          <cell r="LK76">
            <v>27858</v>
          </cell>
          <cell r="LL76">
            <v>2308</v>
          </cell>
          <cell r="LM76" t="str">
            <v>PITT</v>
          </cell>
          <cell r="LN76">
            <v>2523294580</v>
          </cell>
          <cell r="LO76">
            <v>2523294255</v>
          </cell>
          <cell r="LP76">
            <v>83550</v>
          </cell>
          <cell r="LQ76">
            <v>35.81</v>
          </cell>
          <cell r="LS76">
            <v>14478</v>
          </cell>
          <cell r="LT76">
            <v>312</v>
          </cell>
          <cell r="LW76">
            <v>2</v>
          </cell>
          <cell r="LX76" t="str">
            <v>C-PITT-S</v>
          </cell>
          <cell r="LY76">
            <v>0</v>
          </cell>
          <cell r="LZ76" t="str">
            <v>CE</v>
          </cell>
          <cell r="MA76">
            <v>1000</v>
          </cell>
          <cell r="MB76">
            <v>1000</v>
          </cell>
        </row>
        <row r="77">
          <cell r="A77" t="str">
            <v>NC0093</v>
          </cell>
          <cell r="B77">
            <v>0</v>
          </cell>
          <cell r="C77">
            <v>1375</v>
          </cell>
          <cell r="D77">
            <v>2017</v>
          </cell>
          <cell r="E77">
            <v>0</v>
          </cell>
          <cell r="F77" t="str">
            <v>NC0093</v>
          </cell>
          <cell r="G77" t="str">
            <v>M-SOUTHERN PINES</v>
          </cell>
          <cell r="H77" t="str">
            <v>NO</v>
          </cell>
          <cell r="I77" t="str">
            <v>CI</v>
          </cell>
          <cell r="J77" t="str">
            <v>SO</v>
          </cell>
          <cell r="K77" t="str">
            <v>Y</v>
          </cell>
          <cell r="L77" t="str">
            <v>CI1</v>
          </cell>
          <cell r="M77" t="str">
            <v>N</v>
          </cell>
          <cell r="N77">
            <v>13461</v>
          </cell>
          <cell r="O77" t="str">
            <v>Yes</v>
          </cell>
          <cell r="P77">
            <v>390</v>
          </cell>
          <cell r="Q77">
            <v>42</v>
          </cell>
          <cell r="R77">
            <v>157</v>
          </cell>
          <cell r="S77">
            <v>4</v>
          </cell>
          <cell r="T77">
            <v>3759</v>
          </cell>
          <cell r="U77">
            <v>103</v>
          </cell>
          <cell r="V77">
            <v>13793</v>
          </cell>
          <cell r="W77">
            <v>1038</v>
          </cell>
          <cell r="X77">
            <v>138684</v>
          </cell>
          <cell r="Y77">
            <v>9372</v>
          </cell>
          <cell r="Z77" t="str">
            <v>170 W CONNECTICUT AVE</v>
          </cell>
          <cell r="AA77" t="str">
            <v>SOUTHERN PINES</v>
          </cell>
          <cell r="AB77">
            <v>28387</v>
          </cell>
          <cell r="AC77">
            <v>4819</v>
          </cell>
          <cell r="AD77" t="str">
            <v>170 W CONNECTICUT AVE</v>
          </cell>
          <cell r="AE77" t="str">
            <v>SOUTHERN PINES</v>
          </cell>
          <cell r="AF77">
            <v>28387</v>
          </cell>
          <cell r="AG77">
            <v>3</v>
          </cell>
          <cell r="AH77" t="str">
            <v>SOUTHERN PINES PUBLIC LIBRARY</v>
          </cell>
          <cell r="AJ77" t="str">
            <v>Municipal</v>
          </cell>
          <cell r="AK77" t="str">
            <v>MOORE</v>
          </cell>
          <cell r="AL77" t="str">
            <v>Lynn Thompson</v>
          </cell>
          <cell r="AM77" t="str">
            <v>(910) 692-8235</v>
          </cell>
          <cell r="AN77" t="str">
            <v>(910) 695-1037</v>
          </cell>
          <cell r="AO77" t="str">
            <v>thompson@sppl.net</v>
          </cell>
          <cell r="AP77" t="str">
            <v>Lynn Thompson</v>
          </cell>
          <cell r="AQ77" t="str">
            <v>Director of Library and IT Services</v>
          </cell>
          <cell r="AR77" t="str">
            <v>(910) 692-8235</v>
          </cell>
          <cell r="AS77" t="str">
            <v>(910) 695-1037</v>
          </cell>
          <cell r="AT77" t="str">
            <v>thompson@sppl.net</v>
          </cell>
          <cell r="AU77" t="str">
            <v>www.sppl.net</v>
          </cell>
          <cell r="BC77">
            <v>1</v>
          </cell>
          <cell r="BD77">
            <v>0</v>
          </cell>
          <cell r="BE77">
            <v>0</v>
          </cell>
          <cell r="BF77">
            <v>0</v>
          </cell>
          <cell r="BG77">
            <v>1</v>
          </cell>
          <cell r="BI77">
            <v>2756</v>
          </cell>
          <cell r="BJ77">
            <v>4</v>
          </cell>
          <cell r="BK77">
            <v>0</v>
          </cell>
          <cell r="BL77">
            <v>4</v>
          </cell>
          <cell r="BM77">
            <v>6.45</v>
          </cell>
          <cell r="BN77">
            <v>10.45</v>
          </cell>
          <cell r="BO77">
            <v>0.38279999999999997</v>
          </cell>
          <cell r="BP77">
            <v>547</v>
          </cell>
          <cell r="BQ77">
            <v>94560</v>
          </cell>
          <cell r="BT77">
            <v>53555</v>
          </cell>
          <cell r="DV77">
            <v>752549</v>
          </cell>
          <cell r="DW77">
            <v>0</v>
          </cell>
          <cell r="DX77">
            <v>752549</v>
          </cell>
          <cell r="DY77">
            <v>6290</v>
          </cell>
          <cell r="DZ77">
            <v>0</v>
          </cell>
          <cell r="EA77">
            <v>6290</v>
          </cell>
          <cell r="EB77">
            <v>0</v>
          </cell>
          <cell r="EC77">
            <v>0</v>
          </cell>
          <cell r="ED77">
            <v>0</v>
          </cell>
          <cell r="EE77">
            <v>42112</v>
          </cell>
          <cell r="EF77">
            <v>800951</v>
          </cell>
          <cell r="EG77">
            <v>455546</v>
          </cell>
          <cell r="EH77">
            <v>125409</v>
          </cell>
          <cell r="EI77">
            <v>580955</v>
          </cell>
          <cell r="EJ77">
            <v>72515</v>
          </cell>
          <cell r="EK77">
            <v>43456</v>
          </cell>
          <cell r="EL77">
            <v>10947</v>
          </cell>
          <cell r="EM77">
            <v>126918</v>
          </cell>
          <cell r="EN77">
            <v>93078</v>
          </cell>
          <cell r="EO77">
            <v>800951</v>
          </cell>
          <cell r="EP77">
            <v>0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0</v>
          </cell>
          <cell r="EV77">
            <v>0</v>
          </cell>
          <cell r="EW77">
            <v>0</v>
          </cell>
          <cell r="EX77">
            <v>22627</v>
          </cell>
          <cell r="EY77">
            <v>183101</v>
          </cell>
          <cell r="EZ77">
            <v>22739</v>
          </cell>
          <cell r="FA77">
            <v>2694</v>
          </cell>
          <cell r="FB77">
            <v>12454</v>
          </cell>
          <cell r="FC77">
            <v>22138</v>
          </cell>
          <cell r="FD77">
            <v>397</v>
          </cell>
          <cell r="FE77">
            <v>7680</v>
          </cell>
          <cell r="FF77">
            <v>44877</v>
          </cell>
          <cell r="FG77">
            <v>3091</v>
          </cell>
          <cell r="FH77">
            <v>20134</v>
          </cell>
          <cell r="FI77">
            <v>68102</v>
          </cell>
          <cell r="FJ77">
            <v>221</v>
          </cell>
          <cell r="FK77">
            <v>115</v>
          </cell>
          <cell r="FM77">
            <v>68102</v>
          </cell>
          <cell r="FN77">
            <v>3624</v>
          </cell>
          <cell r="FO77">
            <v>1923</v>
          </cell>
          <cell r="FP77">
            <v>457</v>
          </cell>
          <cell r="FQ77">
            <v>20</v>
          </cell>
          <cell r="FR77">
            <v>88</v>
          </cell>
          <cell r="FS77">
            <v>108</v>
          </cell>
          <cell r="FT77">
            <v>44141</v>
          </cell>
          <cell r="FU77">
            <v>3505</v>
          </cell>
          <cell r="FV77">
            <v>0</v>
          </cell>
          <cell r="FW77">
            <v>0</v>
          </cell>
          <cell r="FX77">
            <v>8544</v>
          </cell>
          <cell r="FY77">
            <v>1573</v>
          </cell>
          <cell r="FZ77">
            <v>322</v>
          </cell>
          <cell r="GA77">
            <v>0</v>
          </cell>
          <cell r="GE77">
            <v>0</v>
          </cell>
          <cell r="GF77">
            <v>36593</v>
          </cell>
          <cell r="GG77">
            <v>13194</v>
          </cell>
          <cell r="GH77">
            <v>264</v>
          </cell>
          <cell r="GI77">
            <v>12</v>
          </cell>
          <cell r="GJ77">
            <v>267</v>
          </cell>
          <cell r="GK77">
            <v>117</v>
          </cell>
          <cell r="GL77">
            <v>0</v>
          </cell>
          <cell r="GM77">
            <v>19</v>
          </cell>
          <cell r="GN77">
            <v>89545</v>
          </cell>
          <cell r="GO77">
            <v>18389</v>
          </cell>
          <cell r="GP77">
            <v>586</v>
          </cell>
          <cell r="GQ77">
            <v>31</v>
          </cell>
          <cell r="GR77">
            <v>78</v>
          </cell>
          <cell r="GT77">
            <v>35857</v>
          </cell>
          <cell r="GU77">
            <v>2542</v>
          </cell>
          <cell r="GV77">
            <v>37799</v>
          </cell>
          <cell r="GW77">
            <v>10202</v>
          </cell>
          <cell r="GX77">
            <v>144</v>
          </cell>
          <cell r="GY77">
            <v>9661</v>
          </cell>
          <cell r="GZ77">
            <v>46059</v>
          </cell>
          <cell r="HA77">
            <v>2686</v>
          </cell>
          <cell r="HB77">
            <v>47460</v>
          </cell>
          <cell r="HC77">
            <v>96205</v>
          </cell>
          <cell r="HD77">
            <v>1164</v>
          </cell>
          <cell r="HE77">
            <v>97369</v>
          </cell>
          <cell r="HF77">
            <v>8273</v>
          </cell>
          <cell r="HG77">
            <v>4796</v>
          </cell>
          <cell r="HH77">
            <v>0</v>
          </cell>
          <cell r="HI77">
            <v>0</v>
          </cell>
          <cell r="HJ77">
            <v>13069</v>
          </cell>
          <cell r="HK77">
            <v>110438</v>
          </cell>
          <cell r="HL77">
            <v>101</v>
          </cell>
          <cell r="HM77">
            <v>11159</v>
          </cell>
          <cell r="HN77">
            <v>11260</v>
          </cell>
          <cell r="HO77">
            <v>137</v>
          </cell>
          <cell r="HP77">
            <v>6033</v>
          </cell>
          <cell r="HQ77">
            <v>6170</v>
          </cell>
          <cell r="HR77">
            <v>0</v>
          </cell>
          <cell r="HS77">
            <v>40</v>
          </cell>
          <cell r="HT77">
            <v>40</v>
          </cell>
          <cell r="HU77">
            <v>263</v>
          </cell>
          <cell r="HV77">
            <v>17733</v>
          </cell>
          <cell r="HW77">
            <v>2640</v>
          </cell>
          <cell r="HX77">
            <v>3868</v>
          </cell>
          <cell r="HY77">
            <v>6508</v>
          </cell>
          <cell r="HZ77">
            <v>24241</v>
          </cell>
          <cell r="IA77">
            <v>14443</v>
          </cell>
          <cell r="IB77">
            <v>19279</v>
          </cell>
          <cell r="IC77">
            <v>128171</v>
          </cell>
          <cell r="ID77">
            <v>128171</v>
          </cell>
          <cell r="IE77">
            <v>134679</v>
          </cell>
          <cell r="IF77">
            <v>52958</v>
          </cell>
          <cell r="IG77">
            <v>82</v>
          </cell>
          <cell r="IJ77">
            <v>1</v>
          </cell>
          <cell r="IK77">
            <v>1.37E-2</v>
          </cell>
          <cell r="IL77">
            <v>5.9999999999999995E-4</v>
          </cell>
          <cell r="IM77">
            <v>0.59279999999999999</v>
          </cell>
          <cell r="IN77">
            <v>0</v>
          </cell>
          <cell r="IO77">
            <v>0.48899999999999999</v>
          </cell>
          <cell r="IP77">
            <v>5.9999999999999995E-4</v>
          </cell>
          <cell r="IQ77">
            <v>0.37190000000000001</v>
          </cell>
          <cell r="IR77">
            <v>0.1202</v>
          </cell>
          <cell r="IS77">
            <v>0.41320000000000001</v>
          </cell>
          <cell r="IT77">
            <v>6137</v>
          </cell>
          <cell r="IU77">
            <v>1393</v>
          </cell>
          <cell r="IV77">
            <v>7530</v>
          </cell>
          <cell r="IW77">
            <v>0.55940000000000001</v>
          </cell>
          <cell r="IX77">
            <v>86804</v>
          </cell>
          <cell r="IZ77">
            <v>51</v>
          </cell>
          <cell r="JA77">
            <v>8</v>
          </cell>
          <cell r="JB77">
            <v>242</v>
          </cell>
          <cell r="JC77">
            <v>16</v>
          </cell>
          <cell r="JD77">
            <v>1</v>
          </cell>
          <cell r="JE77">
            <v>370</v>
          </cell>
          <cell r="JF77">
            <v>67</v>
          </cell>
          <cell r="JG77">
            <v>9</v>
          </cell>
          <cell r="JH77">
            <v>612</v>
          </cell>
          <cell r="JI77">
            <v>688</v>
          </cell>
          <cell r="JJ77">
            <v>301</v>
          </cell>
          <cell r="JK77">
            <v>387</v>
          </cell>
          <cell r="JL77">
            <v>1294</v>
          </cell>
          <cell r="JM77">
            <v>80</v>
          </cell>
          <cell r="JN77">
            <v>6683</v>
          </cell>
          <cell r="JO77">
            <v>226</v>
          </cell>
          <cell r="JP77">
            <v>8</v>
          </cell>
          <cell r="JQ77">
            <v>7544</v>
          </cell>
          <cell r="JR77">
            <v>1520</v>
          </cell>
          <cell r="JS77">
            <v>88</v>
          </cell>
          <cell r="JT77">
            <v>14227</v>
          </cell>
          <cell r="JU77">
            <v>15835</v>
          </cell>
          <cell r="JV77">
            <v>8057</v>
          </cell>
          <cell r="JW77">
            <v>7778</v>
          </cell>
          <cell r="JX77">
            <v>23.02</v>
          </cell>
          <cell r="JY77">
            <v>22.69</v>
          </cell>
          <cell r="JZ77">
            <v>23.25</v>
          </cell>
          <cell r="KA77">
            <v>0.1</v>
          </cell>
          <cell r="KB77">
            <v>0.9</v>
          </cell>
          <cell r="KC77">
            <v>1</v>
          </cell>
          <cell r="KD77">
            <v>20</v>
          </cell>
          <cell r="KE77">
            <v>8</v>
          </cell>
          <cell r="KF77">
            <v>183</v>
          </cell>
          <cell r="KG77">
            <v>465</v>
          </cell>
          <cell r="KH77">
            <v>9890</v>
          </cell>
          <cell r="KI77">
            <v>0</v>
          </cell>
          <cell r="KJ77">
            <v>0</v>
          </cell>
          <cell r="KK77">
            <v>22</v>
          </cell>
          <cell r="KL77">
            <v>256</v>
          </cell>
          <cell r="KM77">
            <v>6045</v>
          </cell>
          <cell r="KN77">
            <v>1204</v>
          </cell>
          <cell r="KO77">
            <v>106</v>
          </cell>
          <cell r="KQ77">
            <v>7</v>
          </cell>
          <cell r="KR77">
            <v>44</v>
          </cell>
          <cell r="KS77">
            <v>378</v>
          </cell>
          <cell r="KT77">
            <v>83</v>
          </cell>
          <cell r="KU77">
            <v>12</v>
          </cell>
          <cell r="KV77">
            <v>16</v>
          </cell>
          <cell r="KW77">
            <v>6841</v>
          </cell>
          <cell r="KY77">
            <v>40607</v>
          </cell>
          <cell r="KZ77">
            <v>7553</v>
          </cell>
          <cell r="LC77" t="str">
            <v>SOUTHERN PINES PUBLIC LIBRARY</v>
          </cell>
          <cell r="LD77" t="str">
            <v>City Owned</v>
          </cell>
          <cell r="LE77" t="str">
            <v>170 W CONNECTICUT AVE</v>
          </cell>
          <cell r="LF77" t="str">
            <v>SOUTHERN PINES</v>
          </cell>
          <cell r="LG77">
            <v>28387</v>
          </cell>
          <cell r="LH77">
            <v>4819</v>
          </cell>
          <cell r="LI77" t="str">
            <v>170 W CONNECTICUT AVE</v>
          </cell>
          <cell r="LJ77" t="str">
            <v>SOUTHERN PINES</v>
          </cell>
          <cell r="LK77">
            <v>28387</v>
          </cell>
          <cell r="LL77">
            <v>4819</v>
          </cell>
          <cell r="LM77" t="str">
            <v>MOORE</v>
          </cell>
          <cell r="LN77">
            <v>9106928235</v>
          </cell>
          <cell r="LO77" t="str">
            <v>910-695-1037</v>
          </cell>
          <cell r="LP77">
            <v>14750</v>
          </cell>
          <cell r="LQ77">
            <v>10.45</v>
          </cell>
          <cell r="LS77">
            <v>2756</v>
          </cell>
          <cell r="LT77">
            <v>52</v>
          </cell>
          <cell r="LW77">
            <v>2</v>
          </cell>
          <cell r="LX77" t="str">
            <v>M-SOUTHERNPINES-S</v>
          </cell>
          <cell r="LY77">
            <v>0</v>
          </cell>
          <cell r="LZ77" t="str">
            <v>CE</v>
          </cell>
          <cell r="MA77">
            <v>97.82</v>
          </cell>
          <cell r="MB77">
            <v>94.78</v>
          </cell>
        </row>
        <row r="78">
          <cell r="A78" t="str">
            <v>NC0059</v>
          </cell>
          <cell r="B78">
            <v>0</v>
          </cell>
          <cell r="C78">
            <v>1375</v>
          </cell>
          <cell r="D78">
            <v>2017</v>
          </cell>
          <cell r="E78">
            <v>0</v>
          </cell>
          <cell r="F78" t="str">
            <v>NC0059</v>
          </cell>
          <cell r="G78" t="str">
            <v>C-STANLY</v>
          </cell>
          <cell r="H78" t="str">
            <v>NO</v>
          </cell>
          <cell r="I78" t="str">
            <v>CO</v>
          </cell>
          <cell r="J78" t="str">
            <v>MO</v>
          </cell>
          <cell r="K78" t="str">
            <v>Y</v>
          </cell>
          <cell r="L78" t="str">
            <v>CO1</v>
          </cell>
          <cell r="M78" t="str">
            <v>N</v>
          </cell>
          <cell r="N78">
            <v>61234</v>
          </cell>
          <cell r="O78" t="str">
            <v>Yes</v>
          </cell>
          <cell r="P78">
            <v>346</v>
          </cell>
          <cell r="Q78">
            <v>63</v>
          </cell>
          <cell r="R78">
            <v>100</v>
          </cell>
          <cell r="S78">
            <v>9</v>
          </cell>
          <cell r="T78">
            <v>3246</v>
          </cell>
          <cell r="U78">
            <v>394</v>
          </cell>
          <cell r="V78">
            <v>19628</v>
          </cell>
          <cell r="Z78" t="str">
            <v>133 E MAIN ST</v>
          </cell>
          <cell r="AA78" t="str">
            <v>ALBEMARLE</v>
          </cell>
          <cell r="AB78">
            <v>28001</v>
          </cell>
          <cell r="AC78">
            <v>4939</v>
          </cell>
          <cell r="AD78" t="str">
            <v>133 E MAIN ST</v>
          </cell>
          <cell r="AE78" t="str">
            <v>ALBEMARLE</v>
          </cell>
          <cell r="AF78">
            <v>28001</v>
          </cell>
          <cell r="AG78">
            <v>2</v>
          </cell>
          <cell r="AH78" t="str">
            <v>STANLY COUNTY PUBLIC LIBRARY</v>
          </cell>
          <cell r="AJ78" t="str">
            <v>County</v>
          </cell>
          <cell r="AK78" t="str">
            <v>STANLY</v>
          </cell>
          <cell r="AL78" t="str">
            <v>Melanie J Holles</v>
          </cell>
          <cell r="AM78" t="str">
            <v>(704) 986-3766</v>
          </cell>
          <cell r="AN78" t="str">
            <v>(704) 983-6713</v>
          </cell>
          <cell r="AO78" t="str">
            <v>mholles@stanlycountylibrary.org</v>
          </cell>
          <cell r="AP78" t="str">
            <v>Melanie J Holles</v>
          </cell>
          <cell r="AQ78" t="str">
            <v>Library Director</v>
          </cell>
          <cell r="AR78" t="str">
            <v>(704) 986-3766</v>
          </cell>
          <cell r="AT78" t="str">
            <v>mholles@stanlycountylibrary.org</v>
          </cell>
          <cell r="AU78" t="str">
            <v>www.stanlycountylibrary.org</v>
          </cell>
          <cell r="BC78">
            <v>1</v>
          </cell>
          <cell r="BD78">
            <v>4</v>
          </cell>
          <cell r="BE78">
            <v>0</v>
          </cell>
          <cell r="BG78">
            <v>5</v>
          </cell>
          <cell r="BI78">
            <v>8064</v>
          </cell>
          <cell r="BJ78">
            <v>3.75</v>
          </cell>
          <cell r="BK78">
            <v>0</v>
          </cell>
          <cell r="BL78">
            <v>3.75</v>
          </cell>
          <cell r="BM78">
            <v>10</v>
          </cell>
          <cell r="BN78">
            <v>13.75</v>
          </cell>
          <cell r="BO78">
            <v>0.2727</v>
          </cell>
          <cell r="BP78">
            <v>1714</v>
          </cell>
          <cell r="BQ78">
            <v>66269</v>
          </cell>
          <cell r="BU78">
            <v>33795</v>
          </cell>
          <cell r="BV78">
            <v>50650</v>
          </cell>
          <cell r="BW78">
            <v>17754</v>
          </cell>
          <cell r="BY78">
            <v>40414</v>
          </cell>
          <cell r="BZ78">
            <v>60625</v>
          </cell>
          <cell r="CA78">
            <v>38403</v>
          </cell>
          <cell r="CC78">
            <v>40414</v>
          </cell>
          <cell r="CD78">
            <v>60625</v>
          </cell>
          <cell r="CE78">
            <v>44975</v>
          </cell>
          <cell r="CG78">
            <v>40414</v>
          </cell>
          <cell r="CH78">
            <v>60625</v>
          </cell>
          <cell r="CI78">
            <v>42435</v>
          </cell>
          <cell r="DK78">
            <v>33795</v>
          </cell>
          <cell r="DL78">
            <v>50640</v>
          </cell>
          <cell r="DM78">
            <v>38896</v>
          </cell>
          <cell r="DO78">
            <v>24643</v>
          </cell>
          <cell r="DP78">
            <v>36963</v>
          </cell>
          <cell r="DQ78">
            <v>31984</v>
          </cell>
          <cell r="DS78">
            <v>29499</v>
          </cell>
          <cell r="DT78">
            <v>44248</v>
          </cell>
          <cell r="DU78">
            <v>44248</v>
          </cell>
          <cell r="DV78">
            <v>0</v>
          </cell>
          <cell r="DW78">
            <v>1168723</v>
          </cell>
          <cell r="DX78">
            <v>1168723</v>
          </cell>
          <cell r="DY78">
            <v>114412</v>
          </cell>
          <cell r="DZ78">
            <v>0</v>
          </cell>
          <cell r="EA78">
            <v>114412</v>
          </cell>
          <cell r="EB78">
            <v>0</v>
          </cell>
          <cell r="EC78">
            <v>0</v>
          </cell>
          <cell r="ED78">
            <v>0</v>
          </cell>
          <cell r="EE78">
            <v>21987</v>
          </cell>
          <cell r="EF78">
            <v>1305122</v>
          </cell>
          <cell r="EG78">
            <v>618539</v>
          </cell>
          <cell r="EH78">
            <v>208954</v>
          </cell>
          <cell r="EI78">
            <v>827493</v>
          </cell>
          <cell r="EJ78">
            <v>62559</v>
          </cell>
          <cell r="EK78">
            <v>7000</v>
          </cell>
          <cell r="EL78">
            <v>11000</v>
          </cell>
          <cell r="EM78">
            <v>80559</v>
          </cell>
          <cell r="EN78">
            <v>221350</v>
          </cell>
          <cell r="EO78">
            <v>1129402</v>
          </cell>
          <cell r="EP78">
            <v>175720</v>
          </cell>
          <cell r="EQ78">
            <v>0.1346</v>
          </cell>
          <cell r="ER78">
            <v>8400</v>
          </cell>
          <cell r="ES78">
            <v>0</v>
          </cell>
          <cell r="ET78">
            <v>0</v>
          </cell>
          <cell r="EU78">
            <v>-1</v>
          </cell>
          <cell r="EV78">
            <v>8399</v>
          </cell>
          <cell r="EW78">
            <v>2877</v>
          </cell>
          <cell r="EX78">
            <v>13965</v>
          </cell>
          <cell r="EY78">
            <v>199876</v>
          </cell>
          <cell r="EZ78">
            <v>36025</v>
          </cell>
          <cell r="FA78">
            <v>2881</v>
          </cell>
          <cell r="FB78">
            <v>22979</v>
          </cell>
          <cell r="FC78">
            <v>28289</v>
          </cell>
          <cell r="FD78">
            <v>113</v>
          </cell>
          <cell r="FE78">
            <v>8615</v>
          </cell>
          <cell r="FF78">
            <v>64314</v>
          </cell>
          <cell r="FG78">
            <v>2994</v>
          </cell>
          <cell r="FH78">
            <v>31594</v>
          </cell>
          <cell r="FI78">
            <v>98902</v>
          </cell>
          <cell r="FJ78">
            <v>2688</v>
          </cell>
          <cell r="FK78">
            <v>250</v>
          </cell>
          <cell r="FM78">
            <v>98902</v>
          </cell>
          <cell r="FN78">
            <v>2779</v>
          </cell>
          <cell r="FO78">
            <v>5934</v>
          </cell>
          <cell r="FP78">
            <v>2688</v>
          </cell>
          <cell r="FQ78">
            <v>1</v>
          </cell>
          <cell r="FR78">
            <v>88</v>
          </cell>
          <cell r="FS78">
            <v>89</v>
          </cell>
          <cell r="FT78">
            <v>44141</v>
          </cell>
          <cell r="FU78">
            <v>3505</v>
          </cell>
          <cell r="FV78">
            <v>0</v>
          </cell>
          <cell r="FW78">
            <v>0</v>
          </cell>
          <cell r="FX78">
            <v>8544</v>
          </cell>
          <cell r="FY78">
            <v>1573</v>
          </cell>
          <cell r="FZ78">
            <v>322</v>
          </cell>
          <cell r="GA78">
            <v>0</v>
          </cell>
          <cell r="GB78">
            <v>26436</v>
          </cell>
          <cell r="GC78">
            <v>1747</v>
          </cell>
          <cell r="GD78">
            <v>278</v>
          </cell>
          <cell r="GE78">
            <v>0</v>
          </cell>
          <cell r="GJ78">
            <v>0</v>
          </cell>
          <cell r="GK78">
            <v>0</v>
          </cell>
          <cell r="GL78">
            <v>0</v>
          </cell>
          <cell r="GM78">
            <v>0</v>
          </cell>
          <cell r="GN78">
            <v>79121</v>
          </cell>
          <cell r="GO78">
            <v>6825</v>
          </cell>
          <cell r="GP78">
            <v>600</v>
          </cell>
          <cell r="GQ78">
            <v>0</v>
          </cell>
          <cell r="GR78">
            <v>16</v>
          </cell>
          <cell r="GT78">
            <v>59824</v>
          </cell>
          <cell r="GU78">
            <v>3020</v>
          </cell>
          <cell r="GV78">
            <v>41421</v>
          </cell>
          <cell r="GW78">
            <v>10899</v>
          </cell>
          <cell r="GX78">
            <v>52</v>
          </cell>
          <cell r="GY78">
            <v>5790</v>
          </cell>
          <cell r="GZ78">
            <v>70723</v>
          </cell>
          <cell r="HA78">
            <v>3072</v>
          </cell>
          <cell r="HB78">
            <v>47211</v>
          </cell>
          <cell r="HC78">
            <v>121006</v>
          </cell>
          <cell r="HD78">
            <v>916</v>
          </cell>
          <cell r="HE78">
            <v>121939</v>
          </cell>
          <cell r="HF78">
            <v>6721</v>
          </cell>
          <cell r="HG78">
            <v>14476</v>
          </cell>
          <cell r="HH78">
            <v>17</v>
          </cell>
          <cell r="HI78">
            <v>502</v>
          </cell>
          <cell r="HJ78">
            <v>21699</v>
          </cell>
          <cell r="HK78">
            <v>143638</v>
          </cell>
          <cell r="HL78">
            <v>29</v>
          </cell>
          <cell r="HM78">
            <v>11763</v>
          </cell>
          <cell r="HN78">
            <v>11792</v>
          </cell>
          <cell r="HO78">
            <v>166</v>
          </cell>
          <cell r="HP78">
            <v>2209</v>
          </cell>
          <cell r="HQ78">
            <v>2375</v>
          </cell>
          <cell r="HR78">
            <v>0</v>
          </cell>
          <cell r="HS78">
            <v>35</v>
          </cell>
          <cell r="HT78">
            <v>35</v>
          </cell>
          <cell r="HU78">
            <v>195</v>
          </cell>
          <cell r="HV78">
            <v>14397</v>
          </cell>
          <cell r="HW78">
            <v>5570</v>
          </cell>
          <cell r="HX78">
            <v>113</v>
          </cell>
          <cell r="HY78">
            <v>5683</v>
          </cell>
          <cell r="HZ78">
            <v>20080</v>
          </cell>
          <cell r="IA78">
            <v>9096</v>
          </cell>
          <cell r="IB78">
            <v>23607</v>
          </cell>
          <cell r="IC78">
            <v>158035</v>
          </cell>
          <cell r="ID78">
            <v>158035</v>
          </cell>
          <cell r="IE78">
            <v>163718</v>
          </cell>
          <cell r="IF78">
            <v>50512</v>
          </cell>
          <cell r="IG78">
            <v>368</v>
          </cell>
          <cell r="IJ78">
            <v>1</v>
          </cell>
          <cell r="IK78">
            <v>3.27E-2</v>
          </cell>
          <cell r="IL78">
            <v>1.2999999999999999E-3</v>
          </cell>
          <cell r="IM78">
            <v>0.433</v>
          </cell>
          <cell r="IN78">
            <v>0</v>
          </cell>
          <cell r="IO78">
            <v>0.39589999999999997</v>
          </cell>
          <cell r="IP78">
            <v>4.0000000000000002E-4</v>
          </cell>
          <cell r="IQ78">
            <v>0.49480000000000002</v>
          </cell>
          <cell r="IR78">
            <v>4.8000000000000001E-2</v>
          </cell>
          <cell r="IS78">
            <v>0.3196</v>
          </cell>
          <cell r="IT78">
            <v>20516</v>
          </cell>
          <cell r="IU78">
            <v>5339</v>
          </cell>
          <cell r="IV78">
            <v>25855</v>
          </cell>
          <cell r="IW78">
            <v>0.42220000000000002</v>
          </cell>
          <cell r="IX78">
            <v>130726</v>
          </cell>
          <cell r="IZ78">
            <v>86</v>
          </cell>
          <cell r="JA78">
            <v>0</v>
          </cell>
          <cell r="JB78">
            <v>431</v>
          </cell>
          <cell r="JC78">
            <v>0</v>
          </cell>
          <cell r="JD78">
            <v>0</v>
          </cell>
          <cell r="JE78">
            <v>26</v>
          </cell>
          <cell r="JF78">
            <v>86</v>
          </cell>
          <cell r="JG78">
            <v>0</v>
          </cell>
          <cell r="JH78">
            <v>457</v>
          </cell>
          <cell r="JI78">
            <v>543</v>
          </cell>
          <cell r="JJ78">
            <v>517</v>
          </cell>
          <cell r="JK78">
            <v>26</v>
          </cell>
          <cell r="JL78">
            <v>638</v>
          </cell>
          <cell r="JM78">
            <v>0</v>
          </cell>
          <cell r="JN78">
            <v>7061</v>
          </cell>
          <cell r="JO78">
            <v>0</v>
          </cell>
          <cell r="JP78">
            <v>0</v>
          </cell>
          <cell r="JQ78">
            <v>4439</v>
          </cell>
          <cell r="JR78">
            <v>638</v>
          </cell>
          <cell r="JS78">
            <v>0</v>
          </cell>
          <cell r="JT78">
            <v>11500</v>
          </cell>
          <cell r="JU78">
            <v>12138</v>
          </cell>
          <cell r="JV78">
            <v>7699</v>
          </cell>
          <cell r="JW78">
            <v>4439</v>
          </cell>
          <cell r="JX78">
            <v>22.35</v>
          </cell>
          <cell r="JY78">
            <v>7.42</v>
          </cell>
          <cell r="JZ78">
            <v>25.16</v>
          </cell>
          <cell r="KA78">
            <v>0.05</v>
          </cell>
          <cell r="KB78">
            <v>0.95</v>
          </cell>
          <cell r="KC78">
            <v>0</v>
          </cell>
          <cell r="KD78">
            <v>0</v>
          </cell>
          <cell r="KE78">
            <v>34</v>
          </cell>
          <cell r="KF78">
            <v>43</v>
          </cell>
          <cell r="KG78">
            <v>103</v>
          </cell>
          <cell r="KH78">
            <v>1505</v>
          </cell>
          <cell r="KI78">
            <v>0</v>
          </cell>
          <cell r="KJ78">
            <v>0</v>
          </cell>
          <cell r="KK78">
            <v>0</v>
          </cell>
          <cell r="KL78">
            <v>0</v>
          </cell>
          <cell r="KM78">
            <v>14040</v>
          </cell>
          <cell r="KN78">
            <v>9211</v>
          </cell>
          <cell r="KO78">
            <v>850</v>
          </cell>
          <cell r="KQ78">
            <v>73</v>
          </cell>
          <cell r="KR78">
            <v>1405</v>
          </cell>
          <cell r="KS78">
            <v>22</v>
          </cell>
          <cell r="KT78">
            <v>34</v>
          </cell>
          <cell r="KU78">
            <v>20</v>
          </cell>
          <cell r="KV78">
            <v>42</v>
          </cell>
          <cell r="KW78">
            <v>13803</v>
          </cell>
          <cell r="KY78">
            <v>32373</v>
          </cell>
          <cell r="LC78" t="str">
            <v>STANLY COUNTY PUBLIC LIBRARY</v>
          </cell>
          <cell r="LD78" t="str">
            <v>County Owned</v>
          </cell>
          <cell r="LE78" t="str">
            <v>133 E MAIN ST</v>
          </cell>
          <cell r="LF78" t="str">
            <v>ALBEMARLE</v>
          </cell>
          <cell r="LG78">
            <v>28001</v>
          </cell>
          <cell r="LH78">
            <v>4993</v>
          </cell>
          <cell r="LI78" t="str">
            <v>133 E MAIN ST</v>
          </cell>
          <cell r="LJ78" t="str">
            <v>ALBEMARLE</v>
          </cell>
          <cell r="LK78">
            <v>28001</v>
          </cell>
          <cell r="LL78">
            <v>4993</v>
          </cell>
          <cell r="LM78" t="str">
            <v>STANLY</v>
          </cell>
          <cell r="LN78">
            <v>7049863765</v>
          </cell>
          <cell r="LO78">
            <v>7049836713</v>
          </cell>
          <cell r="LP78">
            <v>28135</v>
          </cell>
          <cell r="LQ78">
            <v>15.16</v>
          </cell>
          <cell r="LS78">
            <v>8064</v>
          </cell>
          <cell r="LT78">
            <v>260</v>
          </cell>
          <cell r="LW78">
            <v>2</v>
          </cell>
          <cell r="LX78" t="str">
            <v>C-STANLY-A</v>
          </cell>
          <cell r="LY78">
            <v>0</v>
          </cell>
          <cell r="LZ78" t="str">
            <v>CE</v>
          </cell>
          <cell r="MA78">
            <v>99.27</v>
          </cell>
          <cell r="MB78">
            <v>99.88</v>
          </cell>
        </row>
        <row r="79">
          <cell r="A79" t="str">
            <v>NC0060</v>
          </cell>
          <cell r="B79">
            <v>0</v>
          </cell>
          <cell r="C79">
            <v>1375</v>
          </cell>
          <cell r="D79">
            <v>2017</v>
          </cell>
          <cell r="E79">
            <v>0</v>
          </cell>
          <cell r="F79" t="str">
            <v>NC0060</v>
          </cell>
          <cell r="G79" t="str">
            <v>C-TRANSYLVANIA</v>
          </cell>
          <cell r="H79" t="str">
            <v>NO</v>
          </cell>
          <cell r="I79" t="str">
            <v>CO</v>
          </cell>
          <cell r="J79" t="str">
            <v>MO</v>
          </cell>
          <cell r="K79" t="str">
            <v>Y</v>
          </cell>
          <cell r="L79" t="str">
            <v>CO1</v>
          </cell>
          <cell r="M79" t="str">
            <v>N</v>
          </cell>
          <cell r="N79">
            <v>33745</v>
          </cell>
          <cell r="O79" t="str">
            <v>Yes</v>
          </cell>
          <cell r="P79">
            <v>656</v>
          </cell>
          <cell r="Q79">
            <v>69</v>
          </cell>
          <cell r="R79">
            <v>91</v>
          </cell>
          <cell r="S79">
            <v>25</v>
          </cell>
          <cell r="T79">
            <v>4453</v>
          </cell>
          <cell r="U79">
            <v>189</v>
          </cell>
          <cell r="V79">
            <v>24047</v>
          </cell>
          <cell r="W79">
            <v>3995</v>
          </cell>
          <cell r="X79">
            <v>368920</v>
          </cell>
          <cell r="Y79">
            <v>39620</v>
          </cell>
          <cell r="Z79" t="str">
            <v>212 S GASTON ST</v>
          </cell>
          <cell r="AA79" t="str">
            <v>BREVARD</v>
          </cell>
          <cell r="AB79">
            <v>28712</v>
          </cell>
          <cell r="AC79">
            <v>3729</v>
          </cell>
          <cell r="AD79" t="str">
            <v>212 S GASTON ST</v>
          </cell>
          <cell r="AE79" t="str">
            <v>BREVARD</v>
          </cell>
          <cell r="AF79">
            <v>28712</v>
          </cell>
          <cell r="AG79">
            <v>2</v>
          </cell>
          <cell r="AH79" t="str">
            <v>TRANSYLVANIA COUNTY LIBRARY</v>
          </cell>
          <cell r="AJ79" t="str">
            <v>County</v>
          </cell>
          <cell r="AK79" t="str">
            <v>TRANSYLVANIA</v>
          </cell>
          <cell r="AL79" t="str">
            <v>Anna Yount</v>
          </cell>
          <cell r="AM79" t="str">
            <v>(828) 884-1818</v>
          </cell>
          <cell r="AN79" t="str">
            <v>(828) 877-4230</v>
          </cell>
          <cell r="AO79" t="str">
            <v>anna.yount@transylvaniacounty.org</v>
          </cell>
          <cell r="AP79" t="str">
            <v>Saronda Morgan</v>
          </cell>
          <cell r="AQ79" t="str">
            <v>Library Program Support Assistant</v>
          </cell>
          <cell r="AR79" t="str">
            <v>(828) 884-1819</v>
          </cell>
          <cell r="AS79" t="str">
            <v>(828) 877-4230</v>
          </cell>
          <cell r="AT79" t="str">
            <v>saronda.morgan@tconc.org</v>
          </cell>
          <cell r="AU79" t="str">
            <v>library.transylvaniacounty.org</v>
          </cell>
          <cell r="BC79">
            <v>1</v>
          </cell>
          <cell r="BD79">
            <v>0</v>
          </cell>
          <cell r="BE79">
            <v>1</v>
          </cell>
          <cell r="BF79">
            <v>0</v>
          </cell>
          <cell r="BG79">
            <v>2</v>
          </cell>
          <cell r="BI79">
            <v>3440</v>
          </cell>
          <cell r="BJ79">
            <v>4.6900000000000004</v>
          </cell>
          <cell r="BK79">
            <v>0.94</v>
          </cell>
          <cell r="BL79">
            <v>5.63</v>
          </cell>
          <cell r="BM79">
            <v>12.19</v>
          </cell>
          <cell r="BN79">
            <v>17.82</v>
          </cell>
          <cell r="BO79">
            <v>0.26319999999999999</v>
          </cell>
          <cell r="BP79">
            <v>6086</v>
          </cell>
          <cell r="BQ79">
            <v>79015</v>
          </cell>
          <cell r="BY79">
            <v>40750</v>
          </cell>
          <cell r="BZ79">
            <v>40750</v>
          </cell>
          <cell r="CA79">
            <v>40750</v>
          </cell>
          <cell r="CC79">
            <v>58962</v>
          </cell>
          <cell r="CD79">
            <v>58962</v>
          </cell>
          <cell r="CE79">
            <v>58962</v>
          </cell>
          <cell r="CK79">
            <v>40804</v>
          </cell>
          <cell r="CL79">
            <v>40804</v>
          </cell>
          <cell r="CM79">
            <v>40804</v>
          </cell>
          <cell r="CO79">
            <v>48896</v>
          </cell>
          <cell r="CP79">
            <v>48896</v>
          </cell>
          <cell r="CQ79">
            <v>48896</v>
          </cell>
          <cell r="CR79">
            <v>36959</v>
          </cell>
          <cell r="CS79">
            <v>36959</v>
          </cell>
          <cell r="CT79">
            <v>36959</v>
          </cell>
          <cell r="DO79">
            <v>28509</v>
          </cell>
          <cell r="DP79">
            <v>28509</v>
          </cell>
          <cell r="DQ79">
            <v>28509</v>
          </cell>
          <cell r="DV79">
            <v>0</v>
          </cell>
          <cell r="DW79">
            <v>1338810</v>
          </cell>
          <cell r="DX79">
            <v>1338810</v>
          </cell>
          <cell r="DY79">
            <v>87304</v>
          </cell>
          <cell r="DZ79">
            <v>0</v>
          </cell>
          <cell r="EA79">
            <v>87304</v>
          </cell>
          <cell r="EB79">
            <v>48626</v>
          </cell>
          <cell r="EC79">
            <v>14376</v>
          </cell>
          <cell r="ED79">
            <v>63002</v>
          </cell>
          <cell r="EE79">
            <v>4000</v>
          </cell>
          <cell r="EF79">
            <v>1493116</v>
          </cell>
          <cell r="EG79">
            <v>690006</v>
          </cell>
          <cell r="EH79">
            <v>297469</v>
          </cell>
          <cell r="EI79">
            <v>987475</v>
          </cell>
          <cell r="EJ79">
            <v>94030</v>
          </cell>
          <cell r="EK79">
            <v>45051</v>
          </cell>
          <cell r="EL79">
            <v>19404</v>
          </cell>
          <cell r="EM79">
            <v>158485</v>
          </cell>
          <cell r="EN79">
            <v>318745</v>
          </cell>
          <cell r="EO79">
            <v>1464705</v>
          </cell>
          <cell r="EP79">
            <v>28411</v>
          </cell>
          <cell r="EQ79">
            <v>1.9E-2</v>
          </cell>
          <cell r="ER79">
            <v>0</v>
          </cell>
          <cell r="ES79">
            <v>0</v>
          </cell>
          <cell r="ET79">
            <v>0</v>
          </cell>
          <cell r="EU79">
            <v>0</v>
          </cell>
          <cell r="EV79">
            <v>0</v>
          </cell>
          <cell r="EW79">
            <v>0</v>
          </cell>
          <cell r="EX79">
            <v>32060</v>
          </cell>
          <cell r="EY79">
            <v>249063</v>
          </cell>
          <cell r="EZ79">
            <v>38109</v>
          </cell>
          <cell r="FA79">
            <v>4965</v>
          </cell>
          <cell r="FB79">
            <v>22237</v>
          </cell>
          <cell r="FC79">
            <v>40119</v>
          </cell>
          <cell r="FD79">
            <v>2121</v>
          </cell>
          <cell r="FE79">
            <v>15345</v>
          </cell>
          <cell r="FF79">
            <v>78228</v>
          </cell>
          <cell r="FG79">
            <v>7086</v>
          </cell>
          <cell r="FH79">
            <v>37582</v>
          </cell>
          <cell r="FI79">
            <v>122896</v>
          </cell>
          <cell r="FJ79">
            <v>284</v>
          </cell>
          <cell r="FK79">
            <v>126</v>
          </cell>
          <cell r="FM79">
            <v>122896</v>
          </cell>
          <cell r="FN79">
            <v>6547</v>
          </cell>
          <cell r="FO79">
            <v>8028</v>
          </cell>
          <cell r="FP79">
            <v>524</v>
          </cell>
          <cell r="FQ79">
            <v>11</v>
          </cell>
          <cell r="FR79">
            <v>88</v>
          </cell>
          <cell r="FS79">
            <v>99</v>
          </cell>
          <cell r="FT79">
            <v>44141</v>
          </cell>
          <cell r="FU79">
            <v>3505</v>
          </cell>
          <cell r="FV79">
            <v>0</v>
          </cell>
          <cell r="FW79">
            <v>0</v>
          </cell>
          <cell r="FX79">
            <v>8544</v>
          </cell>
          <cell r="FY79">
            <v>1573</v>
          </cell>
          <cell r="FZ79">
            <v>322</v>
          </cell>
          <cell r="GA79">
            <v>0</v>
          </cell>
          <cell r="GF79">
            <v>36593</v>
          </cell>
          <cell r="GG79">
            <v>13194</v>
          </cell>
          <cell r="GH79">
            <v>264</v>
          </cell>
          <cell r="GI79">
            <v>12</v>
          </cell>
          <cell r="GJ79">
            <v>1835</v>
          </cell>
          <cell r="GK79">
            <v>335</v>
          </cell>
          <cell r="GL79">
            <v>187</v>
          </cell>
          <cell r="GM79">
            <v>54</v>
          </cell>
          <cell r="GN79">
            <v>91113</v>
          </cell>
          <cell r="GO79">
            <v>18607</v>
          </cell>
          <cell r="GP79">
            <v>773</v>
          </cell>
          <cell r="GQ79">
            <v>66</v>
          </cell>
          <cell r="GR79">
            <v>39</v>
          </cell>
          <cell r="GT79">
            <v>83800</v>
          </cell>
          <cell r="GU79">
            <v>8878</v>
          </cell>
          <cell r="GV79">
            <v>56862</v>
          </cell>
          <cell r="GW79">
            <v>35656</v>
          </cell>
          <cell r="GX79">
            <v>299</v>
          </cell>
          <cell r="GY79">
            <v>21281</v>
          </cell>
          <cell r="GZ79">
            <v>119456</v>
          </cell>
          <cell r="HA79">
            <v>9177</v>
          </cell>
          <cell r="HB79">
            <v>78143</v>
          </cell>
          <cell r="HC79">
            <v>206776</v>
          </cell>
          <cell r="HD79">
            <v>0</v>
          </cell>
          <cell r="HE79">
            <v>206776</v>
          </cell>
          <cell r="HF79">
            <v>17643</v>
          </cell>
          <cell r="HG79">
            <v>54513</v>
          </cell>
          <cell r="HH79">
            <v>0</v>
          </cell>
          <cell r="HI79">
            <v>0</v>
          </cell>
          <cell r="HJ79">
            <v>72156</v>
          </cell>
          <cell r="HK79">
            <v>278932</v>
          </cell>
          <cell r="HL79">
            <v>32</v>
          </cell>
          <cell r="HM79">
            <v>30820</v>
          </cell>
          <cell r="HN79">
            <v>30852</v>
          </cell>
          <cell r="HO79">
            <v>5</v>
          </cell>
          <cell r="HP79">
            <v>9929</v>
          </cell>
          <cell r="HQ79">
            <v>9934</v>
          </cell>
          <cell r="HR79">
            <v>0</v>
          </cell>
          <cell r="HS79">
            <v>199</v>
          </cell>
          <cell r="HT79">
            <v>199</v>
          </cell>
          <cell r="HU79">
            <v>4115</v>
          </cell>
          <cell r="HV79">
            <v>45100</v>
          </cell>
          <cell r="HW79">
            <v>12335</v>
          </cell>
          <cell r="HX79">
            <v>43185</v>
          </cell>
          <cell r="HY79">
            <v>55520</v>
          </cell>
          <cell r="HZ79">
            <v>100620</v>
          </cell>
          <cell r="IA79">
            <v>27577</v>
          </cell>
          <cell r="IB79">
            <v>82289</v>
          </cell>
          <cell r="IC79">
            <v>324032</v>
          </cell>
          <cell r="ID79">
            <v>324032</v>
          </cell>
          <cell r="IE79">
            <v>379552</v>
          </cell>
          <cell r="IF79">
            <v>108624</v>
          </cell>
          <cell r="IG79">
            <v>145</v>
          </cell>
          <cell r="IJ79">
            <v>1</v>
          </cell>
          <cell r="IK79">
            <v>3.5299999999999998E-2</v>
          </cell>
          <cell r="IL79">
            <v>5.0000000000000001E-4</v>
          </cell>
          <cell r="IM79">
            <v>0.44390000000000002</v>
          </cell>
          <cell r="IN79">
            <v>0</v>
          </cell>
          <cell r="IO79">
            <v>0.36580000000000001</v>
          </cell>
          <cell r="IP79">
            <v>4.0000000000000002E-4</v>
          </cell>
          <cell r="IQ79">
            <v>0.49340000000000001</v>
          </cell>
          <cell r="IR79">
            <v>0.10100000000000001</v>
          </cell>
          <cell r="IS79">
            <v>0.3352</v>
          </cell>
          <cell r="IT79">
            <v>14548</v>
          </cell>
          <cell r="IU79">
            <v>2994</v>
          </cell>
          <cell r="IV79">
            <v>17542</v>
          </cell>
          <cell r="IW79">
            <v>0.51980000000000004</v>
          </cell>
          <cell r="IX79">
            <v>209481</v>
          </cell>
          <cell r="IZ79">
            <v>96</v>
          </cell>
          <cell r="JA79">
            <v>53</v>
          </cell>
          <cell r="JB79">
            <v>286</v>
          </cell>
          <cell r="JC79">
            <v>22</v>
          </cell>
          <cell r="JD79">
            <v>8</v>
          </cell>
          <cell r="JE79">
            <v>11</v>
          </cell>
          <cell r="JF79">
            <v>118</v>
          </cell>
          <cell r="JG79">
            <v>61</v>
          </cell>
          <cell r="JH79">
            <v>297</v>
          </cell>
          <cell r="JI79">
            <v>476</v>
          </cell>
          <cell r="JJ79">
            <v>435</v>
          </cell>
          <cell r="JK79">
            <v>41</v>
          </cell>
          <cell r="JL79">
            <v>6350</v>
          </cell>
          <cell r="JM79">
            <v>229</v>
          </cell>
          <cell r="JN79">
            <v>8557</v>
          </cell>
          <cell r="JO79">
            <v>886</v>
          </cell>
          <cell r="JP79">
            <v>750</v>
          </cell>
          <cell r="JQ79">
            <v>1489</v>
          </cell>
          <cell r="JR79">
            <v>7236</v>
          </cell>
          <cell r="JS79">
            <v>979</v>
          </cell>
          <cell r="JT79">
            <v>10046</v>
          </cell>
          <cell r="JU79">
            <v>18261</v>
          </cell>
          <cell r="JV79">
            <v>15136</v>
          </cell>
          <cell r="JW79">
            <v>3125</v>
          </cell>
          <cell r="JX79">
            <v>38.36</v>
          </cell>
          <cell r="JY79">
            <v>61.32</v>
          </cell>
          <cell r="JZ79">
            <v>33.82</v>
          </cell>
          <cell r="KA79">
            <v>0.4</v>
          </cell>
          <cell r="KB79">
            <v>0.55000000000000004</v>
          </cell>
          <cell r="KC79">
            <v>0</v>
          </cell>
          <cell r="KD79">
            <v>0</v>
          </cell>
          <cell r="KE79">
            <v>38</v>
          </cell>
          <cell r="KF79">
            <v>437</v>
          </cell>
          <cell r="KG79">
            <v>216</v>
          </cell>
          <cell r="KH79">
            <v>4552</v>
          </cell>
          <cell r="KI79">
            <v>0</v>
          </cell>
          <cell r="KJ79">
            <v>0</v>
          </cell>
          <cell r="KK79">
            <v>108</v>
          </cell>
          <cell r="KL79">
            <v>2425</v>
          </cell>
          <cell r="KM79">
            <v>15171</v>
          </cell>
          <cell r="KN79">
            <v>7144</v>
          </cell>
          <cell r="KO79">
            <v>297</v>
          </cell>
          <cell r="KQ79">
            <v>849</v>
          </cell>
          <cell r="KR79">
            <v>6302</v>
          </cell>
          <cell r="KS79">
            <v>249</v>
          </cell>
          <cell r="KT79">
            <v>237</v>
          </cell>
          <cell r="KU79">
            <v>34</v>
          </cell>
          <cell r="KV79">
            <v>47</v>
          </cell>
          <cell r="KW79">
            <v>27447</v>
          </cell>
          <cell r="KY79">
            <v>141448</v>
          </cell>
          <cell r="KZ79">
            <v>32820</v>
          </cell>
          <cell r="LC79" t="str">
            <v>TRANSYLVANIA COUNTY LIBRARY</v>
          </cell>
          <cell r="LD79" t="str">
            <v>County Owned</v>
          </cell>
          <cell r="LE79" t="str">
            <v>212 S GASTON ST</v>
          </cell>
          <cell r="LF79" t="str">
            <v>BREVARD</v>
          </cell>
          <cell r="LG79">
            <v>28712</v>
          </cell>
          <cell r="LH79">
            <v>3729</v>
          </cell>
          <cell r="LI79" t="str">
            <v>212 S GASTON ST</v>
          </cell>
          <cell r="LJ79" t="str">
            <v>BREVARD</v>
          </cell>
          <cell r="LK79">
            <v>28712</v>
          </cell>
          <cell r="LL79">
            <v>3729</v>
          </cell>
          <cell r="LM79" t="str">
            <v>TRANSYLVANIA</v>
          </cell>
          <cell r="LN79">
            <v>8288843151</v>
          </cell>
          <cell r="LO79">
            <v>8288774230</v>
          </cell>
          <cell r="LP79">
            <v>34811</v>
          </cell>
          <cell r="LQ79">
            <v>17.760000000000002</v>
          </cell>
          <cell r="LS79">
            <v>3440</v>
          </cell>
          <cell r="LT79">
            <v>104</v>
          </cell>
          <cell r="LW79">
            <v>2</v>
          </cell>
          <cell r="LX79" t="str">
            <v>C-TRANSYLVANIA-B</v>
          </cell>
          <cell r="LY79">
            <v>0</v>
          </cell>
          <cell r="LZ79" t="str">
            <v>CE</v>
          </cell>
          <cell r="MA79">
            <v>72</v>
          </cell>
          <cell r="MB79">
            <v>235</v>
          </cell>
        </row>
        <row r="80">
          <cell r="A80" t="str">
            <v>NC0061</v>
          </cell>
          <cell r="B80">
            <v>0</v>
          </cell>
          <cell r="C80">
            <v>1375</v>
          </cell>
          <cell r="D80">
            <v>2017</v>
          </cell>
          <cell r="E80">
            <v>0</v>
          </cell>
          <cell r="F80" t="str">
            <v>NC0061</v>
          </cell>
          <cell r="G80" t="str">
            <v>C-UNION</v>
          </cell>
          <cell r="H80" t="str">
            <v>NO</v>
          </cell>
          <cell r="I80" t="str">
            <v>CO</v>
          </cell>
          <cell r="J80" t="str">
            <v>MO</v>
          </cell>
          <cell r="K80" t="str">
            <v>Y</v>
          </cell>
          <cell r="L80" t="str">
            <v>CO1</v>
          </cell>
          <cell r="M80" t="str">
            <v>N</v>
          </cell>
          <cell r="N80">
            <v>219992</v>
          </cell>
          <cell r="O80" t="str">
            <v>Yes</v>
          </cell>
          <cell r="P80">
            <v>1948</v>
          </cell>
          <cell r="Q80">
            <v>217</v>
          </cell>
          <cell r="R80">
            <v>260</v>
          </cell>
          <cell r="S80">
            <v>30</v>
          </cell>
          <cell r="T80">
            <v>7912</v>
          </cell>
          <cell r="U80">
            <v>199</v>
          </cell>
          <cell r="V80">
            <v>92260</v>
          </cell>
          <cell r="W80">
            <v>10931</v>
          </cell>
          <cell r="X80">
            <v>493471</v>
          </cell>
          <cell r="Y80">
            <v>203441</v>
          </cell>
          <cell r="Z80" t="str">
            <v>316 E WINDSOR ST</v>
          </cell>
          <cell r="AA80" t="str">
            <v>MONROE</v>
          </cell>
          <cell r="AB80">
            <v>28112</v>
          </cell>
          <cell r="AC80">
            <v>4842</v>
          </cell>
          <cell r="AD80" t="str">
            <v>316 E WINDSOR ST</v>
          </cell>
          <cell r="AE80" t="str">
            <v>MONROE</v>
          </cell>
          <cell r="AF80">
            <v>28112</v>
          </cell>
          <cell r="AG80">
            <v>3</v>
          </cell>
          <cell r="AH80" t="str">
            <v>UNION COUNTY PUBLIC LIBRARY</v>
          </cell>
          <cell r="AJ80" t="str">
            <v>County</v>
          </cell>
          <cell r="AK80" t="str">
            <v>UNION</v>
          </cell>
          <cell r="AL80" t="str">
            <v>Nina Meadows</v>
          </cell>
          <cell r="AM80" t="str">
            <v>(704) 283-8184</v>
          </cell>
          <cell r="AN80" t="str">
            <v>(704) 282-0657</v>
          </cell>
          <cell r="AO80" t="str">
            <v>Nina.Meadows@unioncountync.gov</v>
          </cell>
          <cell r="AP80" t="str">
            <v>Tammy Lewis</v>
          </cell>
          <cell r="AQ80" t="str">
            <v>Training &amp; Technology Specialist</v>
          </cell>
          <cell r="AR80" t="str">
            <v>(704) 283-8184</v>
          </cell>
          <cell r="AS80" t="str">
            <v>(704) 282-0657</v>
          </cell>
          <cell r="AT80" t="str">
            <v>Tammy.Lewis@unioncountync.gov</v>
          </cell>
          <cell r="AU80" t="str">
            <v>www.union.lib.nc.us</v>
          </cell>
          <cell r="BC80">
            <v>1</v>
          </cell>
          <cell r="BD80">
            <v>3</v>
          </cell>
          <cell r="BE80">
            <v>0</v>
          </cell>
          <cell r="BF80">
            <v>0</v>
          </cell>
          <cell r="BG80">
            <v>4</v>
          </cell>
          <cell r="BI80">
            <v>10772</v>
          </cell>
          <cell r="BJ80">
            <v>5</v>
          </cell>
          <cell r="BK80">
            <v>4</v>
          </cell>
          <cell r="BL80">
            <v>9</v>
          </cell>
          <cell r="BM80">
            <v>44.53</v>
          </cell>
          <cell r="BN80">
            <v>53.53</v>
          </cell>
          <cell r="BO80">
            <v>9.3399999999999997E-2</v>
          </cell>
          <cell r="BP80">
            <v>3867</v>
          </cell>
          <cell r="BQ80">
            <v>81116</v>
          </cell>
          <cell r="BT80">
            <v>64620</v>
          </cell>
          <cell r="BU80">
            <v>41975</v>
          </cell>
          <cell r="BV80">
            <v>62963</v>
          </cell>
          <cell r="BW80">
            <v>46503</v>
          </cell>
          <cell r="BY80">
            <v>41975</v>
          </cell>
          <cell r="BZ80">
            <v>62963</v>
          </cell>
          <cell r="CA80">
            <v>43222</v>
          </cell>
          <cell r="CC80">
            <v>41975</v>
          </cell>
          <cell r="CD80">
            <v>62963</v>
          </cell>
          <cell r="CE80">
            <v>46455</v>
          </cell>
          <cell r="CG80">
            <v>41975</v>
          </cell>
          <cell r="CH80">
            <v>62963</v>
          </cell>
          <cell r="CI80">
            <v>43658</v>
          </cell>
          <cell r="CK80">
            <v>38425</v>
          </cell>
          <cell r="CL80">
            <v>57637</v>
          </cell>
          <cell r="CM80">
            <v>43172</v>
          </cell>
          <cell r="CO80">
            <v>40170</v>
          </cell>
          <cell r="CP80">
            <v>60255</v>
          </cell>
          <cell r="CQ80">
            <v>46144</v>
          </cell>
          <cell r="CR80">
            <v>41975</v>
          </cell>
          <cell r="CS80">
            <v>62963</v>
          </cell>
          <cell r="CT80">
            <v>43222</v>
          </cell>
          <cell r="CV80">
            <v>41975</v>
          </cell>
          <cell r="CW80">
            <v>62963</v>
          </cell>
          <cell r="CX80">
            <v>46455</v>
          </cell>
          <cell r="CZ80">
            <v>41975</v>
          </cell>
          <cell r="DA80">
            <v>62963</v>
          </cell>
          <cell r="DB80">
            <v>43658</v>
          </cell>
          <cell r="DD80">
            <v>38425</v>
          </cell>
          <cell r="DE80">
            <v>57637</v>
          </cell>
          <cell r="DF80">
            <v>43172</v>
          </cell>
          <cell r="DH80">
            <v>40170</v>
          </cell>
          <cell r="DI80">
            <v>60255</v>
          </cell>
          <cell r="DJ80">
            <v>46144</v>
          </cell>
          <cell r="DK80">
            <v>36741</v>
          </cell>
          <cell r="DL80">
            <v>55111</v>
          </cell>
          <cell r="DM80">
            <v>41618</v>
          </cell>
          <cell r="DO80">
            <v>30720</v>
          </cell>
          <cell r="DP80">
            <v>46081</v>
          </cell>
          <cell r="DQ80">
            <v>33570</v>
          </cell>
          <cell r="DS80">
            <v>40170</v>
          </cell>
          <cell r="DT80">
            <v>60255</v>
          </cell>
          <cell r="DU80">
            <v>45338</v>
          </cell>
          <cell r="DV80">
            <v>0</v>
          </cell>
          <cell r="DW80">
            <v>4278782</v>
          </cell>
          <cell r="DX80">
            <v>4278782</v>
          </cell>
          <cell r="DY80">
            <v>196444</v>
          </cell>
          <cell r="DZ80">
            <v>0</v>
          </cell>
          <cell r="EA80">
            <v>196444</v>
          </cell>
          <cell r="EB80">
            <v>27684</v>
          </cell>
          <cell r="EC80">
            <v>0</v>
          </cell>
          <cell r="ED80">
            <v>27684</v>
          </cell>
          <cell r="EE80">
            <v>179273</v>
          </cell>
          <cell r="EF80">
            <v>4682183</v>
          </cell>
          <cell r="EG80">
            <v>2190639</v>
          </cell>
          <cell r="EH80">
            <v>1141279</v>
          </cell>
          <cell r="EI80">
            <v>3331918</v>
          </cell>
          <cell r="EJ80">
            <v>286143</v>
          </cell>
          <cell r="EK80">
            <v>183252</v>
          </cell>
          <cell r="EL80">
            <v>15739</v>
          </cell>
          <cell r="EM80">
            <v>485134</v>
          </cell>
          <cell r="EN80">
            <v>834981</v>
          </cell>
          <cell r="EO80">
            <v>4652033</v>
          </cell>
          <cell r="EP80">
            <v>30150</v>
          </cell>
          <cell r="EQ80">
            <v>6.4000000000000003E-3</v>
          </cell>
          <cell r="ER80">
            <v>73040</v>
          </cell>
          <cell r="ES80">
            <v>0</v>
          </cell>
          <cell r="ET80">
            <v>0</v>
          </cell>
          <cell r="EU80">
            <v>0</v>
          </cell>
          <cell r="EV80">
            <v>73040</v>
          </cell>
          <cell r="EW80">
            <v>73040</v>
          </cell>
          <cell r="EX80">
            <v>24181</v>
          </cell>
          <cell r="EY80">
            <v>256041</v>
          </cell>
          <cell r="EZ80">
            <v>53444</v>
          </cell>
          <cell r="FA80">
            <v>10224</v>
          </cell>
          <cell r="FB80">
            <v>49205</v>
          </cell>
          <cell r="FC80">
            <v>36524</v>
          </cell>
          <cell r="FD80">
            <v>304</v>
          </cell>
          <cell r="FE80">
            <v>13987</v>
          </cell>
          <cell r="FF80">
            <v>89968</v>
          </cell>
          <cell r="FG80">
            <v>10528</v>
          </cell>
          <cell r="FH80">
            <v>63192</v>
          </cell>
          <cell r="FI80">
            <v>163688</v>
          </cell>
          <cell r="FJ80">
            <v>4700</v>
          </cell>
          <cell r="FK80">
            <v>217</v>
          </cell>
          <cell r="FM80">
            <v>163688</v>
          </cell>
          <cell r="FN80">
            <v>8358</v>
          </cell>
          <cell r="FO80">
            <v>11307</v>
          </cell>
          <cell r="FP80">
            <v>2100</v>
          </cell>
          <cell r="FQ80">
            <v>19</v>
          </cell>
          <cell r="FR80">
            <v>88</v>
          </cell>
          <cell r="FS80">
            <v>107</v>
          </cell>
          <cell r="FT80">
            <v>44141</v>
          </cell>
          <cell r="FU80">
            <v>3505</v>
          </cell>
          <cell r="FV80">
            <v>0</v>
          </cell>
          <cell r="FW80">
            <v>0</v>
          </cell>
          <cell r="FX80">
            <v>8544</v>
          </cell>
          <cell r="FY80">
            <v>1573</v>
          </cell>
          <cell r="FZ80">
            <v>322</v>
          </cell>
          <cell r="GA80">
            <v>0</v>
          </cell>
          <cell r="GE80">
            <v>0</v>
          </cell>
          <cell r="GJ80">
            <v>6434</v>
          </cell>
          <cell r="GK80">
            <v>1011</v>
          </cell>
          <cell r="GL80">
            <v>0</v>
          </cell>
          <cell r="GM80">
            <v>34</v>
          </cell>
          <cell r="GN80">
            <v>59119</v>
          </cell>
          <cell r="GO80">
            <v>6089</v>
          </cell>
          <cell r="GP80">
            <v>322</v>
          </cell>
          <cell r="GQ80">
            <v>34</v>
          </cell>
          <cell r="GR80">
            <v>45</v>
          </cell>
          <cell r="GT80">
            <v>178466</v>
          </cell>
          <cell r="GU80">
            <v>36364</v>
          </cell>
          <cell r="GV80">
            <v>315458</v>
          </cell>
          <cell r="GW80">
            <v>69589</v>
          </cell>
          <cell r="GX80">
            <v>476</v>
          </cell>
          <cell r="GY80">
            <v>47239</v>
          </cell>
          <cell r="GZ80">
            <v>248055</v>
          </cell>
          <cell r="HA80">
            <v>36840</v>
          </cell>
          <cell r="HB80">
            <v>362697</v>
          </cell>
          <cell r="HC80">
            <v>647592</v>
          </cell>
          <cell r="HD80">
            <v>4362</v>
          </cell>
          <cell r="HE80">
            <v>652909</v>
          </cell>
          <cell r="HF80">
            <v>39829</v>
          </cell>
          <cell r="HG80">
            <v>158644</v>
          </cell>
          <cell r="HH80">
            <v>955</v>
          </cell>
          <cell r="HI80">
            <v>586</v>
          </cell>
          <cell r="HJ80">
            <v>199059</v>
          </cell>
          <cell r="HK80">
            <v>851968</v>
          </cell>
          <cell r="HL80">
            <v>193</v>
          </cell>
          <cell r="HM80">
            <v>54470</v>
          </cell>
          <cell r="HN80">
            <v>54663</v>
          </cell>
          <cell r="HO80">
            <v>680</v>
          </cell>
          <cell r="HP80">
            <v>15802</v>
          </cell>
          <cell r="HQ80">
            <v>16482</v>
          </cell>
          <cell r="HR80">
            <v>0</v>
          </cell>
          <cell r="HS80">
            <v>0</v>
          </cell>
          <cell r="HT80">
            <v>0</v>
          </cell>
          <cell r="HU80">
            <v>1074</v>
          </cell>
          <cell r="HV80">
            <v>72219</v>
          </cell>
          <cell r="HW80">
            <v>56297</v>
          </cell>
          <cell r="HX80">
            <v>493730</v>
          </cell>
          <cell r="HY80">
            <v>550027</v>
          </cell>
          <cell r="HZ80">
            <v>622246</v>
          </cell>
          <cell r="IA80">
            <v>56311</v>
          </cell>
          <cell r="IB80">
            <v>214955</v>
          </cell>
          <cell r="IC80">
            <v>924187</v>
          </cell>
          <cell r="ID80">
            <v>924187</v>
          </cell>
          <cell r="IE80">
            <v>1474214</v>
          </cell>
          <cell r="IF80">
            <v>428121</v>
          </cell>
          <cell r="IG80">
            <v>548</v>
          </cell>
          <cell r="IJ80">
            <v>1</v>
          </cell>
          <cell r="IK80">
            <v>4.5400000000000003E-2</v>
          </cell>
          <cell r="IL80">
            <v>8.0000000000000004E-4</v>
          </cell>
          <cell r="IM80">
            <v>0.25609999999999999</v>
          </cell>
          <cell r="IN80">
            <v>0</v>
          </cell>
          <cell r="IO80">
            <v>0.23089999999999999</v>
          </cell>
          <cell r="IP80">
            <v>4.0000000000000002E-4</v>
          </cell>
          <cell r="IQ80">
            <v>0.63929999999999998</v>
          </cell>
          <cell r="IR80">
            <v>5.6399999999999999E-2</v>
          </cell>
          <cell r="IS80">
            <v>0.4632</v>
          </cell>
          <cell r="IT80">
            <v>70658</v>
          </cell>
          <cell r="IU80">
            <v>28199</v>
          </cell>
          <cell r="IV80">
            <v>98857</v>
          </cell>
          <cell r="IW80">
            <v>0.44940000000000002</v>
          </cell>
          <cell r="IX80">
            <v>641542</v>
          </cell>
          <cell r="IZ80">
            <v>375</v>
          </cell>
          <cell r="JA80">
            <v>109</v>
          </cell>
          <cell r="JB80">
            <v>1163</v>
          </cell>
          <cell r="JC80">
            <v>12</v>
          </cell>
          <cell r="JD80">
            <v>3</v>
          </cell>
          <cell r="JE80">
            <v>35</v>
          </cell>
          <cell r="JF80">
            <v>387</v>
          </cell>
          <cell r="JG80">
            <v>112</v>
          </cell>
          <cell r="JH80">
            <v>1198</v>
          </cell>
          <cell r="JI80">
            <v>1697</v>
          </cell>
          <cell r="JJ80">
            <v>1647</v>
          </cell>
          <cell r="JK80">
            <v>50</v>
          </cell>
          <cell r="JL80">
            <v>2306</v>
          </cell>
          <cell r="JM80">
            <v>845</v>
          </cell>
          <cell r="JN80">
            <v>29910</v>
          </cell>
          <cell r="JO80">
            <v>373</v>
          </cell>
          <cell r="JP80">
            <v>45</v>
          </cell>
          <cell r="JQ80">
            <v>1360</v>
          </cell>
          <cell r="JR80">
            <v>2679</v>
          </cell>
          <cell r="JS80">
            <v>890</v>
          </cell>
          <cell r="JT80">
            <v>31270</v>
          </cell>
          <cell r="JU80">
            <v>34839</v>
          </cell>
          <cell r="JV80">
            <v>33061</v>
          </cell>
          <cell r="JW80">
            <v>1778</v>
          </cell>
          <cell r="JX80">
            <v>20.53</v>
          </cell>
          <cell r="JY80">
            <v>6.92</v>
          </cell>
          <cell r="JZ80">
            <v>26.1</v>
          </cell>
          <cell r="KA80">
            <v>0.08</v>
          </cell>
          <cell r="KB80">
            <v>0.9</v>
          </cell>
          <cell r="KC80">
            <v>62</v>
          </cell>
          <cell r="KD80">
            <v>72</v>
          </cell>
          <cell r="KE80">
            <v>139</v>
          </cell>
          <cell r="KF80">
            <v>316</v>
          </cell>
          <cell r="KG80">
            <v>788</v>
          </cell>
          <cell r="KH80">
            <v>21062</v>
          </cell>
          <cell r="KK80">
            <v>103</v>
          </cell>
          <cell r="KL80">
            <v>2470</v>
          </cell>
          <cell r="KM80">
            <v>158631</v>
          </cell>
          <cell r="KN80">
            <v>49662</v>
          </cell>
          <cell r="KO80">
            <v>5998</v>
          </cell>
          <cell r="KQ80">
            <v>589</v>
          </cell>
          <cell r="KR80">
            <v>24812</v>
          </cell>
          <cell r="KS80">
            <v>0</v>
          </cell>
          <cell r="KT80">
            <v>0</v>
          </cell>
          <cell r="KU80">
            <v>76</v>
          </cell>
          <cell r="KV80">
            <v>160</v>
          </cell>
          <cell r="KW80">
            <v>77555</v>
          </cell>
          <cell r="KY80">
            <v>312754</v>
          </cell>
          <cell r="KZ80">
            <v>74176</v>
          </cell>
          <cell r="LC80" t="str">
            <v>UNION COUNTY PUBLIC LIBRARY</v>
          </cell>
          <cell r="LD80" t="str">
            <v>County Owned</v>
          </cell>
          <cell r="LE80" t="str">
            <v>316 E WINDSOR ST</v>
          </cell>
          <cell r="LF80" t="str">
            <v>MONROE</v>
          </cell>
          <cell r="LG80">
            <v>28112</v>
          </cell>
          <cell r="LH80">
            <v>4844</v>
          </cell>
          <cell r="LI80" t="str">
            <v>316 E WINDSOR ST</v>
          </cell>
          <cell r="LJ80" t="str">
            <v>MONROE</v>
          </cell>
          <cell r="LK80">
            <v>28112</v>
          </cell>
          <cell r="LL80">
            <v>4844</v>
          </cell>
          <cell r="LM80" t="str">
            <v>UNION</v>
          </cell>
          <cell r="LN80">
            <v>7042838184</v>
          </cell>
          <cell r="LO80">
            <v>7042820657</v>
          </cell>
          <cell r="LP80">
            <v>66148</v>
          </cell>
          <cell r="LQ80">
            <v>54.03</v>
          </cell>
          <cell r="LS80">
            <v>10772</v>
          </cell>
          <cell r="LT80">
            <v>208</v>
          </cell>
          <cell r="LW80">
            <v>2</v>
          </cell>
          <cell r="LX80" t="str">
            <v>C-UNION-U</v>
          </cell>
          <cell r="LY80">
            <v>0</v>
          </cell>
          <cell r="LZ80" t="str">
            <v>CE</v>
          </cell>
          <cell r="MA80">
            <v>96.53</v>
          </cell>
          <cell r="MB80">
            <v>93.32</v>
          </cell>
        </row>
        <row r="81">
          <cell r="A81" t="str">
            <v>NC0063</v>
          </cell>
          <cell r="B81">
            <v>0</v>
          </cell>
          <cell r="C81">
            <v>1375</v>
          </cell>
          <cell r="D81">
            <v>2017</v>
          </cell>
          <cell r="E81">
            <v>0</v>
          </cell>
          <cell r="F81" t="str">
            <v>NC0063</v>
          </cell>
          <cell r="G81" t="str">
            <v>C-WAKE</v>
          </cell>
          <cell r="H81" t="str">
            <v>NO</v>
          </cell>
          <cell r="I81" t="str">
            <v>CO</v>
          </cell>
          <cell r="J81" t="str">
            <v>MA</v>
          </cell>
          <cell r="K81" t="str">
            <v>Y</v>
          </cell>
          <cell r="L81" t="str">
            <v>CO1</v>
          </cell>
          <cell r="M81" t="str">
            <v>N</v>
          </cell>
          <cell r="N81">
            <v>1046791</v>
          </cell>
          <cell r="O81" t="str">
            <v>No</v>
          </cell>
          <cell r="P81">
            <v>29123</v>
          </cell>
          <cell r="Q81">
            <v>6009</v>
          </cell>
          <cell r="R81">
            <v>2111</v>
          </cell>
          <cell r="S81">
            <v>69</v>
          </cell>
          <cell r="T81">
            <v>97716</v>
          </cell>
          <cell r="U81">
            <v>1335</v>
          </cell>
          <cell r="V81">
            <v>1639097</v>
          </cell>
          <cell r="W81">
            <v>134622</v>
          </cell>
          <cell r="Z81" t="str">
            <v>4020 CARYA DR</v>
          </cell>
          <cell r="AA81" t="str">
            <v>RALEIGH</v>
          </cell>
          <cell r="AB81">
            <v>27610</v>
          </cell>
          <cell r="AC81">
            <v>2913</v>
          </cell>
          <cell r="AD81" t="str">
            <v>4020 CARYA DR</v>
          </cell>
          <cell r="AE81" t="str">
            <v>RALEIGH</v>
          </cell>
          <cell r="AF81">
            <v>27610</v>
          </cell>
          <cell r="AG81">
            <v>3</v>
          </cell>
          <cell r="AH81" t="str">
            <v>WAKE COUNTY PUBLIC LIBRARIES</v>
          </cell>
          <cell r="AJ81" t="str">
            <v>County</v>
          </cell>
          <cell r="AK81" t="str">
            <v>WAKE</v>
          </cell>
          <cell r="AL81" t="str">
            <v>Michael J. Wasilick</v>
          </cell>
          <cell r="AM81" t="str">
            <v>(919) 250-4532</v>
          </cell>
          <cell r="AN81" t="str">
            <v>(919) 250-1209</v>
          </cell>
          <cell r="AO81" t="str">
            <v>mwasilick@wakegov.com</v>
          </cell>
          <cell r="AP81" t="str">
            <v>Carol McCollum</v>
          </cell>
          <cell r="AQ81" t="str">
            <v>Data Coordinator</v>
          </cell>
          <cell r="AR81" t="str">
            <v>(919) 250-1191</v>
          </cell>
          <cell r="AS81" t="str">
            <v>(919) 250-1209</v>
          </cell>
          <cell r="AT81" t="str">
            <v>cmccollum@wakegov.com</v>
          </cell>
          <cell r="AU81" t="str">
            <v>www.wakegov.com/libraries</v>
          </cell>
          <cell r="BC81">
            <v>0</v>
          </cell>
          <cell r="BD81">
            <v>22</v>
          </cell>
          <cell r="BE81">
            <v>0</v>
          </cell>
          <cell r="BF81">
            <v>1</v>
          </cell>
          <cell r="BG81">
            <v>23</v>
          </cell>
          <cell r="BI81">
            <v>64707</v>
          </cell>
          <cell r="BJ81">
            <v>125</v>
          </cell>
          <cell r="BK81">
            <v>1</v>
          </cell>
          <cell r="BL81">
            <v>126</v>
          </cell>
          <cell r="BM81">
            <v>121</v>
          </cell>
          <cell r="BN81">
            <v>247</v>
          </cell>
          <cell r="BO81">
            <v>0.50609999999999999</v>
          </cell>
          <cell r="BP81">
            <v>21975</v>
          </cell>
          <cell r="BQ81">
            <v>128780</v>
          </cell>
          <cell r="BT81">
            <v>106387</v>
          </cell>
          <cell r="BU81">
            <v>51500</v>
          </cell>
          <cell r="BV81">
            <v>76586</v>
          </cell>
          <cell r="BW81">
            <v>61300</v>
          </cell>
          <cell r="BY81">
            <v>51500</v>
          </cell>
          <cell r="BZ81">
            <v>76586</v>
          </cell>
          <cell r="CA81">
            <v>61300</v>
          </cell>
          <cell r="CC81">
            <v>51500</v>
          </cell>
          <cell r="CD81">
            <v>76586</v>
          </cell>
          <cell r="CE81">
            <v>61300</v>
          </cell>
          <cell r="CO81">
            <v>77400</v>
          </cell>
          <cell r="CP81">
            <v>102700</v>
          </cell>
          <cell r="CQ81">
            <v>87000</v>
          </cell>
          <cell r="CR81">
            <v>42700</v>
          </cell>
          <cell r="CS81">
            <v>62400</v>
          </cell>
          <cell r="CT81">
            <v>47600</v>
          </cell>
          <cell r="CV81">
            <v>42700</v>
          </cell>
          <cell r="CW81">
            <v>62400</v>
          </cell>
          <cell r="CX81">
            <v>47600</v>
          </cell>
          <cell r="CZ81">
            <v>52000</v>
          </cell>
          <cell r="DA81">
            <v>62000</v>
          </cell>
          <cell r="DB81">
            <v>57000</v>
          </cell>
          <cell r="DO81">
            <v>29700</v>
          </cell>
          <cell r="DP81">
            <v>40300</v>
          </cell>
          <cell r="DQ81">
            <v>35400</v>
          </cell>
          <cell r="DS81">
            <v>50200</v>
          </cell>
          <cell r="DT81">
            <v>52600</v>
          </cell>
          <cell r="DU81">
            <v>51800</v>
          </cell>
          <cell r="DV81">
            <v>0</v>
          </cell>
          <cell r="DW81">
            <v>24746123</v>
          </cell>
          <cell r="DX81">
            <v>24746123</v>
          </cell>
          <cell r="DY81">
            <v>583152</v>
          </cell>
          <cell r="DZ81">
            <v>0</v>
          </cell>
          <cell r="EA81">
            <v>583152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25329275</v>
          </cell>
          <cell r="EG81">
            <v>11191518</v>
          </cell>
          <cell r="EH81">
            <v>3978252</v>
          </cell>
          <cell r="EI81">
            <v>15169770</v>
          </cell>
          <cell r="EJ81">
            <v>3878896</v>
          </cell>
          <cell r="EK81">
            <v>60000</v>
          </cell>
          <cell r="EL81">
            <v>95000</v>
          </cell>
          <cell r="EM81">
            <v>4033896</v>
          </cell>
          <cell r="EN81">
            <v>5542457</v>
          </cell>
          <cell r="EO81">
            <v>24746123</v>
          </cell>
          <cell r="EP81">
            <v>583152</v>
          </cell>
          <cell r="EQ81">
            <v>2.3E-2</v>
          </cell>
          <cell r="ER81">
            <v>26325788</v>
          </cell>
          <cell r="ES81">
            <v>0</v>
          </cell>
          <cell r="ET81">
            <v>0</v>
          </cell>
          <cell r="EU81">
            <v>0</v>
          </cell>
          <cell r="EV81">
            <v>26325788</v>
          </cell>
          <cell r="EW81">
            <v>26325788</v>
          </cell>
          <cell r="EX81">
            <v>46152</v>
          </cell>
          <cell r="EY81">
            <v>1519971</v>
          </cell>
          <cell r="EZ81">
            <v>370604</v>
          </cell>
          <cell r="FA81">
            <v>66924</v>
          </cell>
          <cell r="FB81">
            <v>492747</v>
          </cell>
          <cell r="FC81">
            <v>299436</v>
          </cell>
          <cell r="FD81">
            <v>2666</v>
          </cell>
          <cell r="FE81">
            <v>134649</v>
          </cell>
          <cell r="FF81">
            <v>670040</v>
          </cell>
          <cell r="FG81">
            <v>69590</v>
          </cell>
          <cell r="FH81">
            <v>627396</v>
          </cell>
          <cell r="FI81">
            <v>1367026</v>
          </cell>
          <cell r="FJ81">
            <v>0</v>
          </cell>
          <cell r="FK81">
            <v>1207</v>
          </cell>
          <cell r="FM81">
            <v>1367026</v>
          </cell>
          <cell r="FN81">
            <v>29187</v>
          </cell>
          <cell r="FO81">
            <v>0</v>
          </cell>
          <cell r="FP81">
            <v>18169</v>
          </cell>
          <cell r="FQ81">
            <v>7</v>
          </cell>
          <cell r="FR81">
            <v>88</v>
          </cell>
          <cell r="FS81">
            <v>95</v>
          </cell>
          <cell r="FT81">
            <v>44141</v>
          </cell>
          <cell r="FU81">
            <v>3505</v>
          </cell>
          <cell r="FV81">
            <v>0</v>
          </cell>
          <cell r="FW81">
            <v>0</v>
          </cell>
          <cell r="FX81">
            <v>8544</v>
          </cell>
          <cell r="FY81">
            <v>1573</v>
          </cell>
          <cell r="FZ81">
            <v>322</v>
          </cell>
          <cell r="GA81">
            <v>0</v>
          </cell>
          <cell r="GE81">
            <v>0</v>
          </cell>
          <cell r="GJ81">
            <v>32742</v>
          </cell>
          <cell r="GK81">
            <v>13460</v>
          </cell>
          <cell r="GL81">
            <v>0</v>
          </cell>
          <cell r="GM81">
            <v>0</v>
          </cell>
          <cell r="GN81">
            <v>85427</v>
          </cell>
          <cell r="GO81">
            <v>18538</v>
          </cell>
          <cell r="GP81">
            <v>322</v>
          </cell>
          <cell r="GQ81">
            <v>0</v>
          </cell>
          <cell r="GR81">
            <v>47</v>
          </cell>
          <cell r="GT81">
            <v>1941980</v>
          </cell>
          <cell r="GU81">
            <v>419166</v>
          </cell>
          <cell r="GV81">
            <v>5059306</v>
          </cell>
          <cell r="GW81">
            <v>1321920</v>
          </cell>
          <cell r="GX81">
            <v>7346</v>
          </cell>
          <cell r="GY81">
            <v>949260</v>
          </cell>
          <cell r="GZ81">
            <v>3263900</v>
          </cell>
          <cell r="HA81">
            <v>426512</v>
          </cell>
          <cell r="HB81">
            <v>6008566</v>
          </cell>
          <cell r="HC81">
            <v>9698978</v>
          </cell>
          <cell r="HD81">
            <v>51674</v>
          </cell>
          <cell r="HE81">
            <v>9750652</v>
          </cell>
          <cell r="HF81">
            <v>273411</v>
          </cell>
          <cell r="HG81">
            <v>0</v>
          </cell>
          <cell r="HH81">
            <v>0</v>
          </cell>
          <cell r="HI81">
            <v>0</v>
          </cell>
          <cell r="HJ81">
            <v>273411</v>
          </cell>
          <cell r="HK81">
            <v>10024063</v>
          </cell>
          <cell r="HL81">
            <v>1334</v>
          </cell>
          <cell r="HM81">
            <v>549140</v>
          </cell>
          <cell r="HN81">
            <v>550474</v>
          </cell>
          <cell r="HO81">
            <v>702</v>
          </cell>
          <cell r="HP81">
            <v>302339</v>
          </cell>
          <cell r="HQ81">
            <v>303041</v>
          </cell>
          <cell r="HR81">
            <v>0</v>
          </cell>
          <cell r="HS81">
            <v>169</v>
          </cell>
          <cell r="HT81">
            <v>169</v>
          </cell>
          <cell r="HU81">
            <v>0</v>
          </cell>
          <cell r="HV81">
            <v>853684</v>
          </cell>
          <cell r="HW81">
            <v>571883</v>
          </cell>
          <cell r="HY81">
            <v>571883</v>
          </cell>
          <cell r="HZ81">
            <v>1425567</v>
          </cell>
          <cell r="IA81">
            <v>576452</v>
          </cell>
          <cell r="IB81">
            <v>576621</v>
          </cell>
          <cell r="IC81">
            <v>10877747</v>
          </cell>
          <cell r="ID81">
            <v>10877747</v>
          </cell>
          <cell r="IE81">
            <v>11449630</v>
          </cell>
          <cell r="IF81">
            <v>6541957</v>
          </cell>
          <cell r="IG81">
            <v>-1</v>
          </cell>
          <cell r="IK81">
            <v>2.0000000000000001E-4</v>
          </cell>
          <cell r="IL81">
            <v>8.0000000000000004E-4</v>
          </cell>
          <cell r="IM81">
            <v>6.8599999999999994E-2</v>
          </cell>
          <cell r="IN81">
            <v>0</v>
          </cell>
          <cell r="IO81">
            <v>5.62E-2</v>
          </cell>
          <cell r="IP81">
            <v>1E-4</v>
          </cell>
          <cell r="IQ81">
            <v>0.89939999999999998</v>
          </cell>
          <cell r="IR81">
            <v>3.1399999999999997E-2</v>
          </cell>
          <cell r="IS81">
            <v>0.60140000000000005</v>
          </cell>
          <cell r="IT81">
            <v>342807</v>
          </cell>
          <cell r="IU81">
            <v>76290</v>
          </cell>
          <cell r="IV81">
            <v>419097</v>
          </cell>
          <cell r="IW81">
            <v>0.40039999999999998</v>
          </cell>
          <cell r="IX81">
            <v>3376255</v>
          </cell>
          <cell r="IZ81">
            <v>1030</v>
          </cell>
          <cell r="JA81">
            <v>478</v>
          </cell>
          <cell r="JB81">
            <v>8983</v>
          </cell>
          <cell r="JC81">
            <v>4</v>
          </cell>
          <cell r="JD81">
            <v>1</v>
          </cell>
          <cell r="JE81">
            <v>382</v>
          </cell>
          <cell r="JF81">
            <v>1034</v>
          </cell>
          <cell r="JG81">
            <v>479</v>
          </cell>
          <cell r="JH81">
            <v>9365</v>
          </cell>
          <cell r="JI81">
            <v>10878</v>
          </cell>
          <cell r="JJ81">
            <v>10491</v>
          </cell>
          <cell r="JK81">
            <v>387</v>
          </cell>
          <cell r="JL81">
            <v>22163</v>
          </cell>
          <cell r="JM81">
            <v>16606</v>
          </cell>
          <cell r="JN81">
            <v>349881</v>
          </cell>
          <cell r="JO81">
            <v>31</v>
          </cell>
          <cell r="JP81">
            <v>7</v>
          </cell>
          <cell r="JQ81">
            <v>8633</v>
          </cell>
          <cell r="JR81">
            <v>22194</v>
          </cell>
          <cell r="JS81">
            <v>16613</v>
          </cell>
          <cell r="JT81">
            <v>358514</v>
          </cell>
          <cell r="JU81">
            <v>397321</v>
          </cell>
          <cell r="JV81">
            <v>388650</v>
          </cell>
          <cell r="JW81">
            <v>8671</v>
          </cell>
          <cell r="JX81">
            <v>36.53</v>
          </cell>
          <cell r="JY81">
            <v>21.46</v>
          </cell>
          <cell r="JZ81">
            <v>38.28</v>
          </cell>
          <cell r="KA81">
            <v>0.06</v>
          </cell>
          <cell r="KB81">
            <v>0.9</v>
          </cell>
          <cell r="KC81">
            <v>94</v>
          </cell>
          <cell r="KD81">
            <v>1319</v>
          </cell>
          <cell r="KE81">
            <v>15</v>
          </cell>
          <cell r="KF81">
            <v>213</v>
          </cell>
          <cell r="KG81">
            <v>7375</v>
          </cell>
          <cell r="KH81">
            <v>292600</v>
          </cell>
          <cell r="KI81">
            <v>0</v>
          </cell>
          <cell r="KJ81">
            <v>0</v>
          </cell>
          <cell r="KK81">
            <v>1178</v>
          </cell>
          <cell r="KL81">
            <v>26008</v>
          </cell>
          <cell r="KM81">
            <v>391253</v>
          </cell>
          <cell r="KN81">
            <v>89215</v>
          </cell>
          <cell r="KO81">
            <v>18713</v>
          </cell>
          <cell r="KQ81">
            <v>14557</v>
          </cell>
          <cell r="KR81">
            <v>62633</v>
          </cell>
          <cell r="KS81">
            <v>1044</v>
          </cell>
          <cell r="KT81">
            <v>21907</v>
          </cell>
          <cell r="KU81">
            <v>383</v>
          </cell>
          <cell r="KV81">
            <v>562</v>
          </cell>
          <cell r="KW81">
            <v>565207</v>
          </cell>
          <cell r="KY81">
            <v>4928588</v>
          </cell>
          <cell r="KZ81">
            <v>1248674</v>
          </cell>
          <cell r="LP81">
            <v>290015</v>
          </cell>
          <cell r="LQ81">
            <v>215</v>
          </cell>
          <cell r="LS81">
            <v>64707</v>
          </cell>
          <cell r="LT81">
            <v>1079</v>
          </cell>
          <cell r="LY81">
            <v>0</v>
          </cell>
          <cell r="MA81">
            <v>0</v>
          </cell>
          <cell r="MB81">
            <v>0</v>
          </cell>
        </row>
        <row r="82">
          <cell r="A82" t="str">
            <v>NC0101</v>
          </cell>
          <cell r="B82">
            <v>0</v>
          </cell>
          <cell r="C82">
            <v>1375</v>
          </cell>
          <cell r="D82">
            <v>2017</v>
          </cell>
          <cell r="E82">
            <v>0</v>
          </cell>
          <cell r="F82" t="str">
            <v>NC0101</v>
          </cell>
          <cell r="G82" t="str">
            <v>C-WARREN COUNTY</v>
          </cell>
          <cell r="H82" t="str">
            <v>NO</v>
          </cell>
          <cell r="I82" t="str">
            <v>CO</v>
          </cell>
          <cell r="J82" t="str">
            <v>SO</v>
          </cell>
          <cell r="K82" t="str">
            <v>Y</v>
          </cell>
          <cell r="L82" t="str">
            <v>CO1</v>
          </cell>
          <cell r="M82" t="str">
            <v>N</v>
          </cell>
          <cell r="N82">
            <v>20473</v>
          </cell>
          <cell r="O82" t="str">
            <v>Yes</v>
          </cell>
          <cell r="P82">
            <v>252</v>
          </cell>
          <cell r="Q82">
            <v>53</v>
          </cell>
          <cell r="R82">
            <v>17</v>
          </cell>
          <cell r="S82">
            <v>8</v>
          </cell>
          <cell r="T82">
            <v>597</v>
          </cell>
          <cell r="U82">
            <v>157</v>
          </cell>
          <cell r="V82">
            <v>3924</v>
          </cell>
          <cell r="Z82" t="str">
            <v>119 S FRONT ST</v>
          </cell>
          <cell r="AA82" t="str">
            <v>WARRENTON</v>
          </cell>
          <cell r="AB82">
            <v>27589</v>
          </cell>
          <cell r="AD82" t="str">
            <v>119 S FRONT ST</v>
          </cell>
          <cell r="AE82" t="str">
            <v>WARRENTON</v>
          </cell>
          <cell r="AF82">
            <v>27589</v>
          </cell>
          <cell r="AG82">
            <v>1</v>
          </cell>
          <cell r="AH82" t="str">
            <v>WARREN COUNTY MEMORIAL LIBRARY</v>
          </cell>
          <cell r="AJ82" t="str">
            <v>County</v>
          </cell>
          <cell r="AK82" t="str">
            <v>WARREN</v>
          </cell>
          <cell r="AL82" t="str">
            <v>Cheryl Reddish</v>
          </cell>
          <cell r="AM82" t="str">
            <v>(252) 257-4990</v>
          </cell>
          <cell r="AN82" t="str">
            <v>(252) 257-4089</v>
          </cell>
          <cell r="AO82" t="str">
            <v>cherylreddish@warrencountync.gov</v>
          </cell>
          <cell r="AP82" t="str">
            <v>Cheryl Reddish</v>
          </cell>
          <cell r="AQ82" t="str">
            <v>Director</v>
          </cell>
          <cell r="AR82" t="str">
            <v>(252) 257-4990</v>
          </cell>
          <cell r="AS82" t="str">
            <v>(252) 257-4089</v>
          </cell>
          <cell r="AT82" t="str">
            <v>cherylreddish@warrencountync.gov</v>
          </cell>
          <cell r="AU82" t="str">
            <v>www.wcmlibrary.org</v>
          </cell>
          <cell r="BC82">
            <v>1</v>
          </cell>
          <cell r="BD82">
            <v>0</v>
          </cell>
          <cell r="BE82">
            <v>0</v>
          </cell>
          <cell r="BF82">
            <v>1</v>
          </cell>
          <cell r="BG82">
            <v>2</v>
          </cell>
          <cell r="BI82">
            <v>2704</v>
          </cell>
          <cell r="BJ82">
            <v>1</v>
          </cell>
          <cell r="BK82">
            <v>0</v>
          </cell>
          <cell r="BL82">
            <v>1</v>
          </cell>
          <cell r="BM82">
            <v>7</v>
          </cell>
          <cell r="BN82">
            <v>8</v>
          </cell>
          <cell r="BO82">
            <v>0.125</v>
          </cell>
          <cell r="BP82">
            <v>1063</v>
          </cell>
          <cell r="BQ82">
            <v>63056</v>
          </cell>
          <cell r="DK82">
            <v>28380</v>
          </cell>
          <cell r="DL82">
            <v>45408</v>
          </cell>
          <cell r="DM82">
            <v>33405</v>
          </cell>
          <cell r="DO82">
            <v>24516</v>
          </cell>
          <cell r="DP82">
            <v>39225</v>
          </cell>
          <cell r="DQ82">
            <v>26022</v>
          </cell>
          <cell r="DV82">
            <v>0</v>
          </cell>
          <cell r="DW82">
            <v>398242</v>
          </cell>
          <cell r="DX82">
            <v>398242</v>
          </cell>
          <cell r="DY82">
            <v>82116</v>
          </cell>
          <cell r="DZ82">
            <v>0</v>
          </cell>
          <cell r="EA82">
            <v>82116</v>
          </cell>
          <cell r="EB82">
            <v>18995</v>
          </cell>
          <cell r="EC82">
            <v>0</v>
          </cell>
          <cell r="ED82">
            <v>18995</v>
          </cell>
          <cell r="EE82">
            <v>11826</v>
          </cell>
          <cell r="EF82">
            <v>511179</v>
          </cell>
          <cell r="EG82">
            <v>251187</v>
          </cell>
          <cell r="EH82">
            <v>97696</v>
          </cell>
          <cell r="EI82">
            <v>348883</v>
          </cell>
          <cell r="EJ82">
            <v>17670</v>
          </cell>
          <cell r="EK82">
            <v>0</v>
          </cell>
          <cell r="EL82">
            <v>1505</v>
          </cell>
          <cell r="EM82">
            <v>19175</v>
          </cell>
          <cell r="EN82">
            <v>100496</v>
          </cell>
          <cell r="EO82">
            <v>468554</v>
          </cell>
          <cell r="EP82">
            <v>42625</v>
          </cell>
          <cell r="EQ82">
            <v>8.3400000000000002E-2</v>
          </cell>
          <cell r="ER82">
            <v>0</v>
          </cell>
          <cell r="ES82">
            <v>0</v>
          </cell>
          <cell r="ET82">
            <v>0</v>
          </cell>
          <cell r="EU82">
            <v>0</v>
          </cell>
          <cell r="EV82">
            <v>0</v>
          </cell>
          <cell r="EW82">
            <v>0</v>
          </cell>
          <cell r="EX82">
            <v>8025</v>
          </cell>
          <cell r="EY82">
            <v>94455</v>
          </cell>
          <cell r="EZ82">
            <v>11153</v>
          </cell>
          <cell r="FB82">
            <v>5042</v>
          </cell>
          <cell r="FC82">
            <v>12032</v>
          </cell>
          <cell r="FE82">
            <v>3218</v>
          </cell>
          <cell r="FF82">
            <v>23185</v>
          </cell>
          <cell r="FH82">
            <v>8260</v>
          </cell>
          <cell r="FI82">
            <v>31445</v>
          </cell>
          <cell r="FJ82">
            <v>0</v>
          </cell>
          <cell r="FK82">
            <v>132</v>
          </cell>
          <cell r="FM82">
            <v>31445</v>
          </cell>
          <cell r="FN82">
            <v>1406</v>
          </cell>
          <cell r="FO82">
            <v>3114</v>
          </cell>
          <cell r="FP82">
            <v>185</v>
          </cell>
          <cell r="FQ82">
            <v>0</v>
          </cell>
          <cell r="FR82">
            <v>88</v>
          </cell>
          <cell r="FS82">
            <v>88</v>
          </cell>
          <cell r="FT82">
            <v>44141</v>
          </cell>
          <cell r="FU82">
            <v>3505</v>
          </cell>
          <cell r="FV82">
            <v>0</v>
          </cell>
          <cell r="FW82">
            <v>0</v>
          </cell>
          <cell r="FX82">
            <v>8544</v>
          </cell>
          <cell r="FY82">
            <v>1573</v>
          </cell>
          <cell r="FZ82">
            <v>322</v>
          </cell>
          <cell r="GA82">
            <v>0</v>
          </cell>
          <cell r="GJ82">
            <v>0</v>
          </cell>
          <cell r="GK82">
            <v>0</v>
          </cell>
          <cell r="GL82">
            <v>0</v>
          </cell>
          <cell r="GM82">
            <v>0</v>
          </cell>
          <cell r="GN82">
            <v>52685</v>
          </cell>
          <cell r="GO82">
            <v>5078</v>
          </cell>
          <cell r="GP82">
            <v>322</v>
          </cell>
          <cell r="GQ82">
            <v>0</v>
          </cell>
          <cell r="GR82">
            <v>37</v>
          </cell>
          <cell r="GT82">
            <v>13158</v>
          </cell>
          <cell r="GU82">
            <v>1471</v>
          </cell>
          <cell r="GV82">
            <v>11378</v>
          </cell>
          <cell r="GW82">
            <v>5959</v>
          </cell>
          <cell r="GY82">
            <v>2211</v>
          </cell>
          <cell r="GZ82">
            <v>19117</v>
          </cell>
          <cell r="HA82">
            <v>1471</v>
          </cell>
          <cell r="HB82">
            <v>13589</v>
          </cell>
          <cell r="HC82">
            <v>34177</v>
          </cell>
          <cell r="HD82">
            <v>3767</v>
          </cell>
          <cell r="HE82">
            <v>37944</v>
          </cell>
          <cell r="HF82">
            <v>2285</v>
          </cell>
          <cell r="HG82">
            <v>7747</v>
          </cell>
          <cell r="HI82">
            <v>2927</v>
          </cell>
          <cell r="HJ82">
            <v>12959</v>
          </cell>
          <cell r="HK82">
            <v>50903</v>
          </cell>
          <cell r="HL82">
            <v>51</v>
          </cell>
          <cell r="HM82">
            <v>0</v>
          </cell>
          <cell r="HN82">
            <v>51</v>
          </cell>
          <cell r="HO82">
            <v>122</v>
          </cell>
          <cell r="HP82">
            <v>0</v>
          </cell>
          <cell r="HQ82">
            <v>122</v>
          </cell>
          <cell r="HR82">
            <v>0</v>
          </cell>
          <cell r="HS82">
            <v>0</v>
          </cell>
          <cell r="HT82">
            <v>0</v>
          </cell>
          <cell r="HU82">
            <v>0</v>
          </cell>
          <cell r="HV82">
            <v>173</v>
          </cell>
          <cell r="HW82">
            <v>818</v>
          </cell>
          <cell r="HX82">
            <v>0</v>
          </cell>
          <cell r="HY82">
            <v>818</v>
          </cell>
          <cell r="HZ82">
            <v>991</v>
          </cell>
          <cell r="IA82">
            <v>2407</v>
          </cell>
          <cell r="IB82">
            <v>10154</v>
          </cell>
          <cell r="IC82">
            <v>51076</v>
          </cell>
          <cell r="ID82">
            <v>51076</v>
          </cell>
          <cell r="IE82">
            <v>51894</v>
          </cell>
          <cell r="IF82">
            <v>13589</v>
          </cell>
          <cell r="IG82">
            <v>267</v>
          </cell>
          <cell r="IJ82">
            <v>1</v>
          </cell>
          <cell r="IK82">
            <v>3.6400000000000002E-2</v>
          </cell>
          <cell r="IL82">
            <v>1.4E-3</v>
          </cell>
          <cell r="IM82">
            <v>0.6149</v>
          </cell>
          <cell r="IN82">
            <v>0</v>
          </cell>
          <cell r="IO82">
            <v>0.55779999999999996</v>
          </cell>
          <cell r="IP82">
            <v>8.9999999999999998E-4</v>
          </cell>
          <cell r="IQ82">
            <v>0.33289999999999997</v>
          </cell>
          <cell r="IR82">
            <v>6.8599999999999994E-2</v>
          </cell>
          <cell r="IS82">
            <v>0.2661</v>
          </cell>
          <cell r="IT82">
            <v>7916</v>
          </cell>
          <cell r="IU82">
            <v>3086</v>
          </cell>
          <cell r="IV82">
            <v>11002</v>
          </cell>
          <cell r="IW82">
            <v>0.53739999999999999</v>
          </cell>
          <cell r="IX82">
            <v>59916</v>
          </cell>
          <cell r="IZ82">
            <v>117</v>
          </cell>
          <cell r="JA82">
            <v>17</v>
          </cell>
          <cell r="JB82">
            <v>71</v>
          </cell>
          <cell r="JC82">
            <v>14</v>
          </cell>
          <cell r="JD82">
            <v>1</v>
          </cell>
          <cell r="JE82">
            <v>11</v>
          </cell>
          <cell r="JF82">
            <v>131</v>
          </cell>
          <cell r="JG82">
            <v>18</v>
          </cell>
          <cell r="JH82">
            <v>82</v>
          </cell>
          <cell r="JI82">
            <v>231</v>
          </cell>
          <cell r="JJ82">
            <v>205</v>
          </cell>
          <cell r="JK82">
            <v>26</v>
          </cell>
          <cell r="JL82">
            <v>832</v>
          </cell>
          <cell r="JM82">
            <v>271</v>
          </cell>
          <cell r="JN82">
            <v>1121</v>
          </cell>
          <cell r="JO82">
            <v>469</v>
          </cell>
          <cell r="JP82">
            <v>107</v>
          </cell>
          <cell r="JQ82">
            <v>395</v>
          </cell>
          <cell r="JR82">
            <v>1301</v>
          </cell>
          <cell r="JS82">
            <v>378</v>
          </cell>
          <cell r="JT82">
            <v>1516</v>
          </cell>
          <cell r="JU82">
            <v>3195</v>
          </cell>
          <cell r="JV82">
            <v>2224</v>
          </cell>
          <cell r="JW82">
            <v>971</v>
          </cell>
          <cell r="JX82">
            <v>13.83</v>
          </cell>
          <cell r="JY82">
            <v>9.93</v>
          </cell>
          <cell r="JZ82">
            <v>18.489999999999998</v>
          </cell>
          <cell r="KA82">
            <v>0.41</v>
          </cell>
          <cell r="KB82">
            <v>0.47</v>
          </cell>
          <cell r="KC82">
            <v>12</v>
          </cell>
          <cell r="KD82">
            <v>36</v>
          </cell>
          <cell r="KE82">
            <v>24</v>
          </cell>
          <cell r="KF82">
            <v>63</v>
          </cell>
          <cell r="KG82">
            <v>82</v>
          </cell>
          <cell r="KH82">
            <v>1516</v>
          </cell>
          <cell r="KI82">
            <v>12</v>
          </cell>
          <cell r="KJ82">
            <v>120</v>
          </cell>
          <cell r="KK82">
            <v>1</v>
          </cell>
          <cell r="KL82">
            <v>22</v>
          </cell>
          <cell r="KM82">
            <v>30416</v>
          </cell>
          <cell r="KN82">
            <v>16249</v>
          </cell>
          <cell r="KO82">
            <v>597</v>
          </cell>
          <cell r="KQ82">
            <v>312</v>
          </cell>
          <cell r="KR82">
            <v>5720</v>
          </cell>
          <cell r="KS82">
            <v>36</v>
          </cell>
          <cell r="KT82">
            <v>74</v>
          </cell>
          <cell r="KU82">
            <v>19</v>
          </cell>
          <cell r="KV82">
            <v>29</v>
          </cell>
          <cell r="KW82">
            <v>21612</v>
          </cell>
          <cell r="KY82">
            <v>165251</v>
          </cell>
          <cell r="LC82" t="str">
            <v>WARREN COUNTY MEMORIAL LIBRARY</v>
          </cell>
          <cell r="LD82" t="str">
            <v>County Owned</v>
          </cell>
          <cell r="LE82" t="str">
            <v>119 S FRONT ST</v>
          </cell>
          <cell r="LF82" t="str">
            <v>WARRENTON</v>
          </cell>
          <cell r="LG82">
            <v>27589</v>
          </cell>
          <cell r="LH82">
            <v>1929</v>
          </cell>
          <cell r="LI82" t="str">
            <v>119 S FRONT ST</v>
          </cell>
          <cell r="LJ82" t="str">
            <v>WARRENTON</v>
          </cell>
          <cell r="LK82">
            <v>27589</v>
          </cell>
          <cell r="LL82">
            <v>1929</v>
          </cell>
          <cell r="LM82" t="str">
            <v>WARREN</v>
          </cell>
          <cell r="LN82">
            <v>2522574990</v>
          </cell>
          <cell r="LO82">
            <v>2522574089</v>
          </cell>
          <cell r="LP82">
            <v>13770</v>
          </cell>
          <cell r="LQ82">
            <v>8</v>
          </cell>
          <cell r="LS82">
            <v>2704</v>
          </cell>
          <cell r="LT82">
            <v>52</v>
          </cell>
          <cell r="LW82">
            <v>2</v>
          </cell>
          <cell r="LX82" t="str">
            <v>C-WARREN</v>
          </cell>
          <cell r="LY82">
            <v>0</v>
          </cell>
          <cell r="LZ82" t="str">
            <v>CE</v>
          </cell>
          <cell r="MA82">
            <v>23.43</v>
          </cell>
          <cell r="MB82">
            <v>21.08</v>
          </cell>
        </row>
        <row r="83">
          <cell r="A83" t="str">
            <v>NC0065</v>
          </cell>
          <cell r="B83">
            <v>0</v>
          </cell>
          <cell r="C83">
            <v>1375</v>
          </cell>
          <cell r="D83">
            <v>2017</v>
          </cell>
          <cell r="E83">
            <v>0</v>
          </cell>
          <cell r="F83" t="str">
            <v>NC0065</v>
          </cell>
          <cell r="G83" t="str">
            <v>C-WAYNE</v>
          </cell>
          <cell r="H83" t="str">
            <v>NO</v>
          </cell>
          <cell r="I83" t="str">
            <v>CO</v>
          </cell>
          <cell r="J83" t="str">
            <v>MO</v>
          </cell>
          <cell r="K83" t="str">
            <v>Y</v>
          </cell>
          <cell r="L83" t="str">
            <v>CO1</v>
          </cell>
          <cell r="M83" t="str">
            <v>N</v>
          </cell>
          <cell r="N83">
            <v>124984</v>
          </cell>
          <cell r="O83" t="str">
            <v>Yes</v>
          </cell>
          <cell r="P83">
            <v>798</v>
          </cell>
          <cell r="Q83">
            <v>60</v>
          </cell>
          <cell r="R83">
            <v>79</v>
          </cell>
          <cell r="S83">
            <v>22</v>
          </cell>
          <cell r="T83">
            <v>3146</v>
          </cell>
          <cell r="U83">
            <v>503</v>
          </cell>
          <cell r="V83">
            <v>25327</v>
          </cell>
          <cell r="W83">
            <v>3184</v>
          </cell>
          <cell r="X83">
            <v>177220</v>
          </cell>
          <cell r="Z83" t="str">
            <v>1001 E ASH ST</v>
          </cell>
          <cell r="AA83" t="str">
            <v>GOLDSBORO</v>
          </cell>
          <cell r="AB83">
            <v>27530</v>
          </cell>
          <cell r="AC83">
            <v>3807</v>
          </cell>
          <cell r="AD83" t="str">
            <v>1001 E ASH ST</v>
          </cell>
          <cell r="AE83" t="str">
            <v>GOLDSBORO</v>
          </cell>
          <cell r="AF83">
            <v>27530</v>
          </cell>
          <cell r="AG83">
            <v>2</v>
          </cell>
          <cell r="AH83" t="str">
            <v>WAYNE COUNTY PUBLIC LIBRARY</v>
          </cell>
          <cell r="AJ83" t="str">
            <v>County</v>
          </cell>
          <cell r="AK83" t="str">
            <v>WAYNE</v>
          </cell>
          <cell r="AL83" t="str">
            <v>DONNA PHILLIPS</v>
          </cell>
          <cell r="AM83" t="str">
            <v>(919) 735-1880</v>
          </cell>
          <cell r="AN83" t="str">
            <v>(919) 731-2889</v>
          </cell>
          <cell r="AO83" t="str">
            <v>donna.phillips@waynegov.com</v>
          </cell>
          <cell r="AP83" t="str">
            <v>ROSEMARY LOOMIS</v>
          </cell>
          <cell r="AQ83" t="str">
            <v>Assistant Director</v>
          </cell>
          <cell r="AR83" t="str">
            <v>(919) 580-4014</v>
          </cell>
          <cell r="AS83" t="str">
            <v>(919) 731-2889</v>
          </cell>
          <cell r="AT83" t="str">
            <v>rosemary.loomis@waynegov.com</v>
          </cell>
          <cell r="AU83" t="str">
            <v>www.wcpl.org</v>
          </cell>
          <cell r="BC83">
            <v>1</v>
          </cell>
          <cell r="BD83">
            <v>3</v>
          </cell>
          <cell r="BE83">
            <v>0</v>
          </cell>
          <cell r="BF83">
            <v>1</v>
          </cell>
          <cell r="BG83">
            <v>5</v>
          </cell>
          <cell r="BI83">
            <v>8128</v>
          </cell>
          <cell r="BJ83">
            <v>9</v>
          </cell>
          <cell r="BK83">
            <v>5.3</v>
          </cell>
          <cell r="BL83">
            <v>14.3</v>
          </cell>
          <cell r="BM83">
            <v>22.23</v>
          </cell>
          <cell r="BN83">
            <v>36.53</v>
          </cell>
          <cell r="BO83">
            <v>0.24640000000000001</v>
          </cell>
          <cell r="BP83">
            <v>1188</v>
          </cell>
          <cell r="BQ83">
            <v>83841</v>
          </cell>
          <cell r="BT83">
            <v>55233</v>
          </cell>
          <cell r="BU83">
            <v>28766</v>
          </cell>
          <cell r="BV83">
            <v>57984</v>
          </cell>
          <cell r="BW83">
            <v>39383</v>
          </cell>
          <cell r="CC83">
            <v>43034</v>
          </cell>
          <cell r="CD83">
            <v>67129</v>
          </cell>
          <cell r="CE83">
            <v>52000</v>
          </cell>
          <cell r="CG83">
            <v>37187</v>
          </cell>
          <cell r="CH83">
            <v>57984</v>
          </cell>
          <cell r="CI83">
            <v>43359</v>
          </cell>
          <cell r="CK83">
            <v>40987</v>
          </cell>
          <cell r="CL83">
            <v>63935</v>
          </cell>
          <cell r="CM83">
            <v>40000</v>
          </cell>
          <cell r="CR83">
            <v>37187</v>
          </cell>
          <cell r="CS83">
            <v>57984</v>
          </cell>
          <cell r="CT83">
            <v>38055</v>
          </cell>
          <cell r="CV83">
            <v>37187</v>
          </cell>
          <cell r="CW83">
            <v>57984</v>
          </cell>
          <cell r="CX83">
            <v>39200</v>
          </cell>
          <cell r="DK83">
            <v>29128</v>
          </cell>
          <cell r="DL83">
            <v>43284</v>
          </cell>
          <cell r="DM83">
            <v>30587</v>
          </cell>
          <cell r="DO83">
            <v>20880</v>
          </cell>
          <cell r="DP83">
            <v>39254</v>
          </cell>
          <cell r="DQ83">
            <v>24413</v>
          </cell>
          <cell r="DS83">
            <v>37182</v>
          </cell>
          <cell r="DT83">
            <v>57984</v>
          </cell>
          <cell r="DU83">
            <v>42262</v>
          </cell>
          <cell r="DV83">
            <v>0</v>
          </cell>
          <cell r="DW83">
            <v>1676812</v>
          </cell>
          <cell r="DX83">
            <v>1676812</v>
          </cell>
          <cell r="DY83">
            <v>163051</v>
          </cell>
          <cell r="DZ83">
            <v>115559</v>
          </cell>
          <cell r="EA83">
            <v>278610</v>
          </cell>
          <cell r="EB83">
            <v>44177</v>
          </cell>
          <cell r="EC83">
            <v>0</v>
          </cell>
          <cell r="ED83">
            <v>44177</v>
          </cell>
          <cell r="EE83">
            <v>0</v>
          </cell>
          <cell r="EF83">
            <v>1999599</v>
          </cell>
          <cell r="EG83">
            <v>1207622</v>
          </cell>
          <cell r="EH83">
            <v>363981</v>
          </cell>
          <cell r="EI83">
            <v>1571603</v>
          </cell>
          <cell r="EJ83">
            <v>152463</v>
          </cell>
          <cell r="EK83">
            <v>44475</v>
          </cell>
          <cell r="EL83">
            <v>22996</v>
          </cell>
          <cell r="EM83">
            <v>219934</v>
          </cell>
          <cell r="EN83">
            <v>208062</v>
          </cell>
          <cell r="EO83">
            <v>1999599</v>
          </cell>
          <cell r="EP83">
            <v>0</v>
          </cell>
          <cell r="EQ83">
            <v>0</v>
          </cell>
          <cell r="ER83">
            <v>0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15799</v>
          </cell>
          <cell r="EY83">
            <v>233354</v>
          </cell>
          <cell r="EZ83">
            <v>43856</v>
          </cell>
          <cell r="FA83">
            <v>4854</v>
          </cell>
          <cell r="FB83">
            <v>32798</v>
          </cell>
          <cell r="FC83">
            <v>30765</v>
          </cell>
          <cell r="FD83">
            <v>2109</v>
          </cell>
          <cell r="FE83">
            <v>18241</v>
          </cell>
          <cell r="FF83">
            <v>74621</v>
          </cell>
          <cell r="FG83">
            <v>6963</v>
          </cell>
          <cell r="FH83">
            <v>51039</v>
          </cell>
          <cell r="FI83">
            <v>132623</v>
          </cell>
          <cell r="FJ83">
            <v>247</v>
          </cell>
          <cell r="FK83">
            <v>213</v>
          </cell>
          <cell r="FM83">
            <v>132623</v>
          </cell>
          <cell r="FN83">
            <v>5035</v>
          </cell>
          <cell r="FO83">
            <v>5485</v>
          </cell>
          <cell r="FP83">
            <v>2639</v>
          </cell>
          <cell r="FQ83">
            <v>7</v>
          </cell>
          <cell r="FR83">
            <v>88</v>
          </cell>
          <cell r="FS83">
            <v>95</v>
          </cell>
          <cell r="FT83">
            <v>44141</v>
          </cell>
          <cell r="FU83">
            <v>3505</v>
          </cell>
          <cell r="FV83">
            <v>0</v>
          </cell>
          <cell r="FW83">
            <v>0</v>
          </cell>
          <cell r="FX83">
            <v>8544</v>
          </cell>
          <cell r="FY83">
            <v>1573</v>
          </cell>
          <cell r="FZ83">
            <v>322</v>
          </cell>
          <cell r="GA83">
            <v>0</v>
          </cell>
          <cell r="GB83">
            <v>26436</v>
          </cell>
          <cell r="GC83">
            <v>1747</v>
          </cell>
          <cell r="GD83">
            <v>278</v>
          </cell>
          <cell r="GJ83">
            <v>409</v>
          </cell>
          <cell r="GK83">
            <v>27</v>
          </cell>
          <cell r="GL83">
            <v>0</v>
          </cell>
          <cell r="GM83">
            <v>35</v>
          </cell>
          <cell r="GN83">
            <v>79530</v>
          </cell>
          <cell r="GO83">
            <v>6852</v>
          </cell>
          <cell r="GP83">
            <v>600</v>
          </cell>
          <cell r="GQ83">
            <v>35</v>
          </cell>
          <cell r="GR83">
            <v>96</v>
          </cell>
          <cell r="GT83">
            <v>75363</v>
          </cell>
          <cell r="GU83">
            <v>7489</v>
          </cell>
          <cell r="GV83">
            <v>73958</v>
          </cell>
          <cell r="GW83">
            <v>22035</v>
          </cell>
          <cell r="GX83">
            <v>3323</v>
          </cell>
          <cell r="GY83">
            <v>16075</v>
          </cell>
          <cell r="GZ83">
            <v>97398</v>
          </cell>
          <cell r="HA83">
            <v>10812</v>
          </cell>
          <cell r="HB83">
            <v>90033</v>
          </cell>
          <cell r="HC83">
            <v>198243</v>
          </cell>
          <cell r="HD83">
            <v>2033</v>
          </cell>
          <cell r="HE83">
            <v>200626</v>
          </cell>
          <cell r="HF83">
            <v>8974</v>
          </cell>
          <cell r="HG83">
            <v>28823</v>
          </cell>
          <cell r="HH83">
            <v>350</v>
          </cell>
          <cell r="HI83">
            <v>2</v>
          </cell>
          <cell r="HJ83">
            <v>37799</v>
          </cell>
          <cell r="HK83">
            <v>238425</v>
          </cell>
          <cell r="HL83">
            <v>61</v>
          </cell>
          <cell r="HM83">
            <v>21875</v>
          </cell>
          <cell r="HN83">
            <v>21936</v>
          </cell>
          <cell r="HO83">
            <v>194</v>
          </cell>
          <cell r="HP83">
            <v>3206</v>
          </cell>
          <cell r="HQ83">
            <v>3400</v>
          </cell>
          <cell r="HR83">
            <v>0</v>
          </cell>
          <cell r="HS83">
            <v>107</v>
          </cell>
          <cell r="HT83">
            <v>107</v>
          </cell>
          <cell r="HU83">
            <v>406</v>
          </cell>
          <cell r="HV83">
            <v>25849</v>
          </cell>
          <cell r="HW83">
            <v>5153</v>
          </cell>
          <cell r="HX83">
            <v>66274</v>
          </cell>
          <cell r="HY83">
            <v>71427</v>
          </cell>
          <cell r="HZ83">
            <v>97276</v>
          </cell>
          <cell r="IA83">
            <v>12374</v>
          </cell>
          <cell r="IB83">
            <v>41304</v>
          </cell>
          <cell r="IC83">
            <v>264274</v>
          </cell>
          <cell r="ID83">
            <v>264274</v>
          </cell>
          <cell r="IE83">
            <v>335701</v>
          </cell>
          <cell r="IF83">
            <v>109725</v>
          </cell>
          <cell r="IG83">
            <v>475</v>
          </cell>
          <cell r="IJ83">
            <v>1</v>
          </cell>
          <cell r="IK83">
            <v>2.6100000000000002E-2</v>
          </cell>
          <cell r="IL83">
            <v>8.9999999999999998E-4</v>
          </cell>
          <cell r="IM83">
            <v>0.37290000000000001</v>
          </cell>
          <cell r="IN83">
            <v>0</v>
          </cell>
          <cell r="IO83">
            <v>0.34079999999999999</v>
          </cell>
          <cell r="IP83">
            <v>4.0000000000000002E-4</v>
          </cell>
          <cell r="IQ83">
            <v>0.56830000000000003</v>
          </cell>
          <cell r="IR83">
            <v>5.0900000000000001E-2</v>
          </cell>
          <cell r="IS83">
            <v>0.41520000000000001</v>
          </cell>
          <cell r="IT83">
            <v>34854</v>
          </cell>
          <cell r="IU83">
            <v>11464</v>
          </cell>
          <cell r="IV83">
            <v>46318</v>
          </cell>
          <cell r="IW83">
            <v>0.37059999999999998</v>
          </cell>
          <cell r="IX83">
            <v>260598</v>
          </cell>
          <cell r="IZ83">
            <v>200</v>
          </cell>
          <cell r="JA83">
            <v>53</v>
          </cell>
          <cell r="JB83">
            <v>484</v>
          </cell>
          <cell r="JC83">
            <v>80</v>
          </cell>
          <cell r="JD83">
            <v>55</v>
          </cell>
          <cell r="JE83">
            <v>187</v>
          </cell>
          <cell r="JF83">
            <v>280</v>
          </cell>
          <cell r="JG83">
            <v>108</v>
          </cell>
          <cell r="JH83">
            <v>671</v>
          </cell>
          <cell r="JI83">
            <v>1059</v>
          </cell>
          <cell r="JJ83">
            <v>737</v>
          </cell>
          <cell r="JK83">
            <v>322</v>
          </cell>
          <cell r="JL83">
            <v>2106</v>
          </cell>
          <cell r="JM83">
            <v>587</v>
          </cell>
          <cell r="JN83">
            <v>9831</v>
          </cell>
          <cell r="JO83">
            <v>1913</v>
          </cell>
          <cell r="JP83">
            <v>2406</v>
          </cell>
          <cell r="JQ83">
            <v>7697</v>
          </cell>
          <cell r="JR83">
            <v>4019</v>
          </cell>
          <cell r="JS83">
            <v>2993</v>
          </cell>
          <cell r="JT83">
            <v>17528</v>
          </cell>
          <cell r="JU83">
            <v>24540</v>
          </cell>
          <cell r="JV83">
            <v>12524</v>
          </cell>
          <cell r="JW83">
            <v>12016</v>
          </cell>
          <cell r="JX83">
            <v>23.17</v>
          </cell>
          <cell r="JY83">
            <v>14.35</v>
          </cell>
          <cell r="JZ83">
            <v>26.12</v>
          </cell>
          <cell r="KA83">
            <v>0.16</v>
          </cell>
          <cell r="KB83">
            <v>0.71</v>
          </cell>
          <cell r="KC83">
            <v>10</v>
          </cell>
          <cell r="KD83">
            <v>174</v>
          </cell>
          <cell r="KE83">
            <v>59</v>
          </cell>
          <cell r="KF83">
            <v>341</v>
          </cell>
          <cell r="KM83">
            <v>93470</v>
          </cell>
          <cell r="KN83">
            <v>42647</v>
          </cell>
          <cell r="KO83">
            <v>4947</v>
          </cell>
          <cell r="KQ83">
            <v>846</v>
          </cell>
          <cell r="KR83">
            <v>3766</v>
          </cell>
          <cell r="KS83">
            <v>14429</v>
          </cell>
          <cell r="KT83">
            <v>8592</v>
          </cell>
          <cell r="KU83">
            <v>49</v>
          </cell>
          <cell r="KV83">
            <v>123</v>
          </cell>
          <cell r="KW83">
            <v>73923</v>
          </cell>
          <cell r="KY83">
            <v>62046</v>
          </cell>
          <cell r="KZ83">
            <v>86139</v>
          </cell>
          <cell r="LC83" t="str">
            <v>WAYNE COUNTY PUBLIC LIBRARY, INC.</v>
          </cell>
          <cell r="LD83" t="str">
            <v>County Owned</v>
          </cell>
          <cell r="LE83" t="str">
            <v>1001 E ASH ST</v>
          </cell>
          <cell r="LF83" t="str">
            <v>GOLDSBORO</v>
          </cell>
          <cell r="LG83">
            <v>27530</v>
          </cell>
          <cell r="LH83">
            <v>3850</v>
          </cell>
          <cell r="LI83" t="str">
            <v>1001 E ASH ST</v>
          </cell>
          <cell r="LJ83" t="str">
            <v>GOLDSBORO</v>
          </cell>
          <cell r="LK83">
            <v>27530</v>
          </cell>
          <cell r="LL83">
            <v>3850</v>
          </cell>
          <cell r="LM83" t="str">
            <v>WAYNE</v>
          </cell>
          <cell r="LN83">
            <v>9197351824</v>
          </cell>
          <cell r="LO83">
            <v>9197312889</v>
          </cell>
          <cell r="LP83">
            <v>46670</v>
          </cell>
          <cell r="LQ83">
            <v>36.53</v>
          </cell>
          <cell r="LS83">
            <v>8128</v>
          </cell>
          <cell r="LT83">
            <v>208</v>
          </cell>
          <cell r="LW83">
            <v>2</v>
          </cell>
          <cell r="LX83" t="str">
            <v>C-WAYNE-G</v>
          </cell>
          <cell r="LY83">
            <v>0</v>
          </cell>
          <cell r="LZ83" t="str">
            <v>CE</v>
          </cell>
          <cell r="MA83">
            <v>10.78</v>
          </cell>
          <cell r="MB83">
            <v>91.61</v>
          </cell>
        </row>
        <row r="84">
          <cell r="A84" t="str">
            <v>NC0066</v>
          </cell>
          <cell r="B84">
            <v>0</v>
          </cell>
          <cell r="C84">
            <v>1375</v>
          </cell>
          <cell r="D84">
            <v>2017</v>
          </cell>
          <cell r="E84">
            <v>0</v>
          </cell>
          <cell r="F84" t="str">
            <v>NC0066</v>
          </cell>
          <cell r="G84" t="str">
            <v>C-WILSON</v>
          </cell>
          <cell r="H84" t="str">
            <v>NO</v>
          </cell>
          <cell r="I84" t="str">
            <v>CO</v>
          </cell>
          <cell r="J84" t="str">
            <v>MO</v>
          </cell>
          <cell r="K84" t="str">
            <v>Y</v>
          </cell>
          <cell r="L84" t="str">
            <v>CO1</v>
          </cell>
          <cell r="M84" t="str">
            <v>N</v>
          </cell>
          <cell r="N84">
            <v>81689</v>
          </cell>
          <cell r="O84" t="str">
            <v>Yes</v>
          </cell>
          <cell r="P84">
            <v>642</v>
          </cell>
          <cell r="Q84">
            <v>37</v>
          </cell>
          <cell r="R84">
            <v>122</v>
          </cell>
          <cell r="S84">
            <v>18</v>
          </cell>
          <cell r="T84">
            <v>3420</v>
          </cell>
          <cell r="U84">
            <v>112</v>
          </cell>
          <cell r="V84">
            <v>28418</v>
          </cell>
          <cell r="Z84" t="str">
            <v>249 NASH ST W</v>
          </cell>
          <cell r="AA84" t="str">
            <v>WILSON</v>
          </cell>
          <cell r="AB84">
            <v>27893</v>
          </cell>
          <cell r="AC84">
            <v>3801</v>
          </cell>
          <cell r="AD84" t="str">
            <v>249 NASH ST W</v>
          </cell>
          <cell r="AE84" t="str">
            <v>WILSON</v>
          </cell>
          <cell r="AF84">
            <v>27893</v>
          </cell>
          <cell r="AG84">
            <v>2</v>
          </cell>
          <cell r="AH84" t="str">
            <v>WILSON COUNTY PUBLIC LIBRARY</v>
          </cell>
          <cell r="AJ84" t="str">
            <v>County</v>
          </cell>
          <cell r="AK84" t="str">
            <v>WILSON</v>
          </cell>
          <cell r="AL84" t="str">
            <v>Molly Westmoreland</v>
          </cell>
          <cell r="AM84" t="str">
            <v>(252) 237-5355</v>
          </cell>
          <cell r="AN84" t="str">
            <v>(252) 265-5569</v>
          </cell>
          <cell r="AO84" t="str">
            <v>mwestmoreland@wilson-co.com</v>
          </cell>
          <cell r="AP84" t="str">
            <v>Molly Westmoreland</v>
          </cell>
          <cell r="AQ84" t="str">
            <v>Director</v>
          </cell>
          <cell r="AR84" t="str">
            <v>(252) 237-5355</v>
          </cell>
          <cell r="AS84" t="str">
            <v>(252) 265-5569</v>
          </cell>
          <cell r="AT84" t="str">
            <v>mwestmoreland@wilson-co.com</v>
          </cell>
          <cell r="AU84" t="str">
            <v>www.wilsoncountypubliclibrary.org</v>
          </cell>
          <cell r="BC84">
            <v>1</v>
          </cell>
          <cell r="BD84">
            <v>5</v>
          </cell>
          <cell r="BE84">
            <v>1</v>
          </cell>
          <cell r="BF84">
            <v>0</v>
          </cell>
          <cell r="BG84">
            <v>7</v>
          </cell>
          <cell r="BI84">
            <v>11066</v>
          </cell>
          <cell r="BJ84">
            <v>6</v>
          </cell>
          <cell r="BK84">
            <v>3</v>
          </cell>
          <cell r="BL84">
            <v>9</v>
          </cell>
          <cell r="BM84">
            <v>19.190000000000001</v>
          </cell>
          <cell r="BN84">
            <v>28.19</v>
          </cell>
          <cell r="BO84">
            <v>0.21279999999999999</v>
          </cell>
          <cell r="BP84">
            <v>683</v>
          </cell>
          <cell r="BQ84">
            <v>80004</v>
          </cell>
          <cell r="BT84">
            <v>59400</v>
          </cell>
          <cell r="BU84">
            <v>27204</v>
          </cell>
          <cell r="BV84">
            <v>42216</v>
          </cell>
          <cell r="BW84">
            <v>29385</v>
          </cell>
          <cell r="BY84">
            <v>55765</v>
          </cell>
          <cell r="BZ84">
            <v>55765</v>
          </cell>
          <cell r="CA84">
            <v>55765</v>
          </cell>
          <cell r="CG84">
            <v>42216</v>
          </cell>
          <cell r="CH84">
            <v>42216</v>
          </cell>
          <cell r="CI84">
            <v>42216</v>
          </cell>
          <cell r="CK84">
            <v>41388</v>
          </cell>
          <cell r="CL84">
            <v>41388</v>
          </cell>
          <cell r="CM84">
            <v>41388</v>
          </cell>
          <cell r="CO84">
            <v>51300</v>
          </cell>
          <cell r="CP84">
            <v>51300</v>
          </cell>
          <cell r="CQ84">
            <v>51300</v>
          </cell>
          <cell r="CR84">
            <v>42216</v>
          </cell>
          <cell r="CS84">
            <v>42216</v>
          </cell>
          <cell r="CT84">
            <v>42216</v>
          </cell>
          <cell r="CV84">
            <v>46536</v>
          </cell>
          <cell r="CW84">
            <v>46536</v>
          </cell>
          <cell r="CX84">
            <v>46536</v>
          </cell>
          <cell r="CZ84">
            <v>31836</v>
          </cell>
          <cell r="DA84">
            <v>31836</v>
          </cell>
          <cell r="DB84">
            <v>31836</v>
          </cell>
          <cell r="DD84">
            <v>27204</v>
          </cell>
          <cell r="DE84">
            <v>27204</v>
          </cell>
          <cell r="DF84">
            <v>27204</v>
          </cell>
          <cell r="DO84">
            <v>9</v>
          </cell>
          <cell r="DP84">
            <v>14</v>
          </cell>
          <cell r="DQ84">
            <v>11</v>
          </cell>
          <cell r="DV84">
            <v>0</v>
          </cell>
          <cell r="DW84">
            <v>1808619</v>
          </cell>
          <cell r="DX84">
            <v>1808619</v>
          </cell>
          <cell r="DY84">
            <v>129720</v>
          </cell>
          <cell r="DZ84">
            <v>0</v>
          </cell>
          <cell r="EA84">
            <v>129720</v>
          </cell>
          <cell r="EB84">
            <v>0</v>
          </cell>
          <cell r="EC84">
            <v>0</v>
          </cell>
          <cell r="ED84">
            <v>0</v>
          </cell>
          <cell r="EE84">
            <v>57364</v>
          </cell>
          <cell r="EF84">
            <v>1995703</v>
          </cell>
          <cell r="EG84">
            <v>960003</v>
          </cell>
          <cell r="EH84">
            <v>325674</v>
          </cell>
          <cell r="EI84">
            <v>1285677</v>
          </cell>
          <cell r="EJ84">
            <v>61873</v>
          </cell>
          <cell r="EK84">
            <v>13581</v>
          </cell>
          <cell r="EL84">
            <v>12701</v>
          </cell>
          <cell r="EM84">
            <v>88155</v>
          </cell>
          <cell r="EN84">
            <v>399869</v>
          </cell>
          <cell r="EO84">
            <v>1773701</v>
          </cell>
          <cell r="EP84">
            <v>222002</v>
          </cell>
          <cell r="EQ84">
            <v>0.11119999999999999</v>
          </cell>
          <cell r="ER84">
            <v>0</v>
          </cell>
          <cell r="ES84">
            <v>0</v>
          </cell>
          <cell r="ET84">
            <v>0</v>
          </cell>
          <cell r="EU84">
            <v>0</v>
          </cell>
          <cell r="EV84">
            <v>0</v>
          </cell>
          <cell r="EW84">
            <v>0</v>
          </cell>
          <cell r="EX84">
            <v>12236</v>
          </cell>
          <cell r="EY84">
            <v>263912</v>
          </cell>
          <cell r="EZ84">
            <v>59926</v>
          </cell>
          <cell r="FA84">
            <v>9688</v>
          </cell>
          <cell r="FB84">
            <v>51962</v>
          </cell>
          <cell r="FC84">
            <v>54219</v>
          </cell>
          <cell r="FD84">
            <v>457</v>
          </cell>
          <cell r="FE84">
            <v>18562</v>
          </cell>
          <cell r="FF84">
            <v>114145</v>
          </cell>
          <cell r="FG84">
            <v>10145</v>
          </cell>
          <cell r="FH84">
            <v>70524</v>
          </cell>
          <cell r="FI84">
            <v>194814</v>
          </cell>
          <cell r="FJ84">
            <v>0</v>
          </cell>
          <cell r="FK84">
            <v>154</v>
          </cell>
          <cell r="FM84">
            <v>194814</v>
          </cell>
          <cell r="FN84">
            <v>3059</v>
          </cell>
          <cell r="FO84">
            <v>5672</v>
          </cell>
          <cell r="FP84">
            <v>1067</v>
          </cell>
          <cell r="FQ84">
            <v>2</v>
          </cell>
          <cell r="FR84">
            <v>88</v>
          </cell>
          <cell r="FS84">
            <v>90</v>
          </cell>
          <cell r="FT84">
            <v>44141</v>
          </cell>
          <cell r="FU84">
            <v>3505</v>
          </cell>
          <cell r="FV84">
            <v>0</v>
          </cell>
          <cell r="FW84">
            <v>0</v>
          </cell>
          <cell r="FX84">
            <v>8544</v>
          </cell>
          <cell r="FY84">
            <v>1573</v>
          </cell>
          <cell r="FZ84">
            <v>322</v>
          </cell>
          <cell r="GA84">
            <v>0</v>
          </cell>
          <cell r="GE84">
            <v>0</v>
          </cell>
          <cell r="GJ84">
            <v>971</v>
          </cell>
          <cell r="GK84">
            <v>0</v>
          </cell>
          <cell r="GL84">
            <v>0</v>
          </cell>
          <cell r="GM84">
            <v>0</v>
          </cell>
          <cell r="GN84">
            <v>53656</v>
          </cell>
          <cell r="GO84">
            <v>5078</v>
          </cell>
          <cell r="GP84">
            <v>322</v>
          </cell>
          <cell r="GQ84">
            <v>0</v>
          </cell>
          <cell r="GR84">
            <v>26</v>
          </cell>
          <cell r="GT84">
            <v>68011</v>
          </cell>
          <cell r="GU84">
            <v>8506</v>
          </cell>
          <cell r="GV84">
            <v>75511</v>
          </cell>
          <cell r="GW84">
            <v>25355</v>
          </cell>
          <cell r="GX84">
            <v>347</v>
          </cell>
          <cell r="GY84">
            <v>17026</v>
          </cell>
          <cell r="GZ84">
            <v>93366</v>
          </cell>
          <cell r="HA84">
            <v>8853</v>
          </cell>
          <cell r="HB84">
            <v>92537</v>
          </cell>
          <cell r="HC84">
            <v>194756</v>
          </cell>
          <cell r="HD84">
            <v>4127</v>
          </cell>
          <cell r="HE84">
            <v>198883</v>
          </cell>
          <cell r="HF84">
            <v>8350</v>
          </cell>
          <cell r="HG84">
            <v>32181</v>
          </cell>
          <cell r="HH84">
            <v>0</v>
          </cell>
          <cell r="HI84">
            <v>0</v>
          </cell>
          <cell r="HJ84">
            <v>40531</v>
          </cell>
          <cell r="HK84">
            <v>239414</v>
          </cell>
          <cell r="HL84">
            <v>72</v>
          </cell>
          <cell r="HM84">
            <v>6432</v>
          </cell>
          <cell r="HN84">
            <v>6504</v>
          </cell>
          <cell r="HO84">
            <v>83</v>
          </cell>
          <cell r="HP84">
            <v>0</v>
          </cell>
          <cell r="HQ84">
            <v>83</v>
          </cell>
          <cell r="HR84">
            <v>0</v>
          </cell>
          <cell r="HS84">
            <v>0</v>
          </cell>
          <cell r="HT84">
            <v>0</v>
          </cell>
          <cell r="HU84">
            <v>0</v>
          </cell>
          <cell r="HV84">
            <v>6587</v>
          </cell>
          <cell r="HW84">
            <v>6152</v>
          </cell>
          <cell r="HX84">
            <v>56402</v>
          </cell>
          <cell r="HY84">
            <v>62554</v>
          </cell>
          <cell r="HZ84">
            <v>69141</v>
          </cell>
          <cell r="IA84">
            <v>8433</v>
          </cell>
          <cell r="IB84">
            <v>40614</v>
          </cell>
          <cell r="IC84">
            <v>246001</v>
          </cell>
          <cell r="ID84">
            <v>246001</v>
          </cell>
          <cell r="IE84">
            <v>308555</v>
          </cell>
          <cell r="IF84">
            <v>92537</v>
          </cell>
          <cell r="IG84">
            <v>4</v>
          </cell>
          <cell r="IJ84">
            <v>1</v>
          </cell>
          <cell r="IK84">
            <v>2.2700000000000001E-2</v>
          </cell>
          <cell r="IL84">
            <v>5.9999999999999995E-4</v>
          </cell>
          <cell r="IM84">
            <v>0.2238</v>
          </cell>
          <cell r="IN84">
            <v>0</v>
          </cell>
          <cell r="IO84">
            <v>0.20330000000000001</v>
          </cell>
          <cell r="IP84">
            <v>2.9999999999999997E-4</v>
          </cell>
          <cell r="IQ84">
            <v>0.73819999999999997</v>
          </cell>
          <cell r="IR84">
            <v>3.0800000000000001E-2</v>
          </cell>
          <cell r="IS84">
            <v>0.37619999999999998</v>
          </cell>
          <cell r="IT84">
            <v>34383</v>
          </cell>
          <cell r="IU84">
            <v>3815</v>
          </cell>
          <cell r="IV84">
            <v>38198</v>
          </cell>
          <cell r="IW84">
            <v>0.46760000000000002</v>
          </cell>
          <cell r="IX84">
            <v>192216</v>
          </cell>
          <cell r="IZ84">
            <v>61</v>
          </cell>
          <cell r="JA84">
            <v>66</v>
          </cell>
          <cell r="JB84">
            <v>358</v>
          </cell>
          <cell r="JC84">
            <v>0</v>
          </cell>
          <cell r="JD84">
            <v>0</v>
          </cell>
          <cell r="JE84">
            <v>10</v>
          </cell>
          <cell r="JF84">
            <v>61</v>
          </cell>
          <cell r="JG84">
            <v>66</v>
          </cell>
          <cell r="JH84">
            <v>368</v>
          </cell>
          <cell r="JI84">
            <v>495</v>
          </cell>
          <cell r="JJ84">
            <v>485</v>
          </cell>
          <cell r="JK84">
            <v>10</v>
          </cell>
          <cell r="JL84">
            <v>523</v>
          </cell>
          <cell r="JM84">
            <v>338</v>
          </cell>
          <cell r="JN84">
            <v>7066</v>
          </cell>
          <cell r="JO84">
            <v>0</v>
          </cell>
          <cell r="JP84">
            <v>0</v>
          </cell>
          <cell r="JQ84">
            <v>1353</v>
          </cell>
          <cell r="JR84">
            <v>523</v>
          </cell>
          <cell r="JS84">
            <v>338</v>
          </cell>
          <cell r="JT84">
            <v>8419</v>
          </cell>
          <cell r="JU84">
            <v>9280</v>
          </cell>
          <cell r="JV84">
            <v>7927</v>
          </cell>
          <cell r="JW84">
            <v>1353</v>
          </cell>
          <cell r="JX84">
            <v>18.75</v>
          </cell>
          <cell r="JY84">
            <v>8.57</v>
          </cell>
          <cell r="JZ84">
            <v>22.88</v>
          </cell>
          <cell r="KA84">
            <v>0.06</v>
          </cell>
          <cell r="KB84">
            <v>0.91</v>
          </cell>
          <cell r="KC84">
            <v>6</v>
          </cell>
          <cell r="KD84">
            <v>44</v>
          </cell>
          <cell r="KE84">
            <v>37</v>
          </cell>
          <cell r="KF84">
            <v>100</v>
          </cell>
          <cell r="KG84">
            <v>197</v>
          </cell>
          <cell r="KH84">
            <v>3867</v>
          </cell>
          <cell r="KI84">
            <v>0</v>
          </cell>
          <cell r="KJ84">
            <v>0</v>
          </cell>
          <cell r="KK84">
            <v>61</v>
          </cell>
          <cell r="KL84">
            <v>1710</v>
          </cell>
          <cell r="KM84">
            <v>34321</v>
          </cell>
          <cell r="KN84">
            <v>8490</v>
          </cell>
          <cell r="KO84">
            <v>929</v>
          </cell>
          <cell r="KQ84">
            <v>706</v>
          </cell>
          <cell r="KR84">
            <v>7032</v>
          </cell>
          <cell r="KS84">
            <v>191</v>
          </cell>
          <cell r="KT84">
            <v>143</v>
          </cell>
          <cell r="KU84">
            <v>33</v>
          </cell>
          <cell r="KV84">
            <v>55</v>
          </cell>
          <cell r="KW84">
            <v>37148</v>
          </cell>
          <cell r="KY84">
            <v>89432</v>
          </cell>
          <cell r="KZ84">
            <v>38511</v>
          </cell>
          <cell r="LC84" t="str">
            <v>WILSON COUNTY PUBLIC LIBRARY</v>
          </cell>
          <cell r="LD84" t="str">
            <v>County Owned</v>
          </cell>
          <cell r="LE84" t="str">
            <v>249 NASH ST W</v>
          </cell>
          <cell r="LF84" t="str">
            <v>WILSON</v>
          </cell>
          <cell r="LG84">
            <v>27893</v>
          </cell>
          <cell r="LH84">
            <v>3801</v>
          </cell>
          <cell r="LI84" t="str">
            <v>249 NASH ST W</v>
          </cell>
          <cell r="LJ84" t="str">
            <v>WILSON</v>
          </cell>
          <cell r="LK84">
            <v>27893</v>
          </cell>
          <cell r="LL84">
            <v>3801</v>
          </cell>
          <cell r="LM84" t="str">
            <v>WILSON</v>
          </cell>
          <cell r="LN84">
            <v>2522375355</v>
          </cell>
          <cell r="LO84">
            <v>2522655569</v>
          </cell>
          <cell r="LP84">
            <v>53720</v>
          </cell>
          <cell r="LQ84">
            <v>28.19</v>
          </cell>
          <cell r="LS84">
            <v>11066</v>
          </cell>
          <cell r="LT84">
            <v>52</v>
          </cell>
          <cell r="LW84">
            <v>2</v>
          </cell>
          <cell r="LX84" t="str">
            <v>C-WILSON-W</v>
          </cell>
          <cell r="LY84">
            <v>0</v>
          </cell>
          <cell r="LZ84" t="str">
            <v>CE</v>
          </cell>
          <cell r="MA84">
            <v>90</v>
          </cell>
          <cell r="MB84">
            <v>90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0"/>
      <sheetName val="Table 11"/>
      <sheetName val="Table 12"/>
      <sheetName val="Table 13"/>
      <sheetName val="Table 14"/>
      <sheetName val="County"/>
      <sheetName val="Salaries"/>
      <sheetName val="Municipal"/>
      <sheetName val="Regional"/>
      <sheetName val="All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8">
          <cell r="A8" t="str">
            <v>NC0103</v>
          </cell>
        </row>
      </sheetData>
      <sheetData sheetId="10" refreshError="1"/>
      <sheetData sheetId="11">
        <row r="8">
          <cell r="A8" t="str">
            <v>NC0103</v>
          </cell>
          <cell r="B8" t="str">
            <v>Alamance</v>
          </cell>
        </row>
        <row r="9">
          <cell r="A9" t="str">
            <v>NC0016</v>
          </cell>
          <cell r="B9" t="str">
            <v>Alexander</v>
          </cell>
        </row>
        <row r="10">
          <cell r="A10" t="str">
            <v>NC0017</v>
          </cell>
          <cell r="B10" t="str">
            <v>Bladen</v>
          </cell>
        </row>
        <row r="11">
          <cell r="A11" t="str">
            <v>NC0018</v>
          </cell>
          <cell r="B11" t="str">
            <v>Brunswick</v>
          </cell>
        </row>
        <row r="12">
          <cell r="A12" t="str">
            <v>NC0019</v>
          </cell>
          <cell r="B12" t="str">
            <v>Buncombe</v>
          </cell>
        </row>
        <row r="13">
          <cell r="A13" t="str">
            <v>NC0020</v>
          </cell>
          <cell r="B13" t="str">
            <v>Burke</v>
          </cell>
        </row>
        <row r="14">
          <cell r="A14" t="str">
            <v>NC0021</v>
          </cell>
          <cell r="B14" t="str">
            <v>Cabarrus</v>
          </cell>
        </row>
        <row r="15">
          <cell r="A15" t="str">
            <v>NC0022</v>
          </cell>
          <cell r="B15" t="str">
            <v>Caldwell</v>
          </cell>
        </row>
        <row r="16">
          <cell r="A16" t="str">
            <v>NC0107</v>
          </cell>
          <cell r="B16" t="str">
            <v>Caswell</v>
          </cell>
        </row>
        <row r="17">
          <cell r="A17" t="str">
            <v>NC0023</v>
          </cell>
          <cell r="B17" t="str">
            <v>Catawba</v>
          </cell>
        </row>
        <row r="18">
          <cell r="A18" t="str">
            <v>NC0104</v>
          </cell>
          <cell r="B18" t="str">
            <v>Chatham</v>
          </cell>
        </row>
        <row r="19">
          <cell r="A19" t="str">
            <v>NC0024</v>
          </cell>
          <cell r="B19" t="str">
            <v>Cleveland</v>
          </cell>
        </row>
        <row r="20">
          <cell r="A20" t="str">
            <v>NC0025</v>
          </cell>
          <cell r="B20" t="str">
            <v>Columbus</v>
          </cell>
        </row>
        <row r="21">
          <cell r="A21" t="str">
            <v>NC0026</v>
          </cell>
          <cell r="B21" t="str">
            <v>Cumberland</v>
          </cell>
        </row>
        <row r="22">
          <cell r="A22" t="str">
            <v>NC0027</v>
          </cell>
          <cell r="B22" t="str">
            <v>Davidson</v>
          </cell>
        </row>
        <row r="23">
          <cell r="A23" t="str">
            <v>NC0028</v>
          </cell>
          <cell r="B23" t="str">
            <v>Davie</v>
          </cell>
        </row>
        <row r="24">
          <cell r="A24" t="str">
            <v>NC0029</v>
          </cell>
          <cell r="B24" t="str">
            <v>Duplin</v>
          </cell>
        </row>
        <row r="25">
          <cell r="A25" t="str">
            <v>NC0030</v>
          </cell>
          <cell r="B25" t="str">
            <v>Durham</v>
          </cell>
        </row>
        <row r="26">
          <cell r="A26" t="str">
            <v>NC0031</v>
          </cell>
          <cell r="B26" t="str">
            <v>Edgecombe</v>
          </cell>
        </row>
        <row r="27">
          <cell r="A27" t="str">
            <v>NC0032</v>
          </cell>
          <cell r="B27" t="str">
            <v>Forsyth</v>
          </cell>
        </row>
        <row r="28">
          <cell r="A28" t="str">
            <v>NC0033</v>
          </cell>
          <cell r="B28" t="str">
            <v>Franklin</v>
          </cell>
        </row>
        <row r="29">
          <cell r="A29" t="str">
            <v>NC0105</v>
          </cell>
          <cell r="B29" t="str">
            <v>Gaston</v>
          </cell>
        </row>
        <row r="30">
          <cell r="A30" t="str">
            <v>NC0034</v>
          </cell>
          <cell r="B30" t="str">
            <v>Granville</v>
          </cell>
        </row>
        <row r="31">
          <cell r="A31" t="str">
            <v>NC0035</v>
          </cell>
          <cell r="B31" t="str">
            <v>Guilford (Greensboro)</v>
          </cell>
        </row>
        <row r="32">
          <cell r="A32" t="str">
            <v>NC0036</v>
          </cell>
          <cell r="B32" t="str">
            <v>Halifax</v>
          </cell>
        </row>
        <row r="33">
          <cell r="A33" t="str">
            <v>NC0037</v>
          </cell>
          <cell r="B33" t="str">
            <v>Harnett</v>
          </cell>
        </row>
        <row r="34">
          <cell r="A34" t="str">
            <v>NC0038</v>
          </cell>
          <cell r="B34" t="str">
            <v>Haywood</v>
          </cell>
        </row>
        <row r="35">
          <cell r="A35" t="str">
            <v>NC0039</v>
          </cell>
          <cell r="B35" t="str">
            <v>Henderson</v>
          </cell>
        </row>
        <row r="36">
          <cell r="A36" t="str">
            <v>NC0040</v>
          </cell>
          <cell r="B36" t="str">
            <v>Iredell</v>
          </cell>
        </row>
        <row r="37">
          <cell r="A37" t="str">
            <v>NC0041</v>
          </cell>
          <cell r="B37" t="str">
            <v>Johnston</v>
          </cell>
        </row>
        <row r="38">
          <cell r="A38" t="str">
            <v>NC0042</v>
          </cell>
          <cell r="B38" t="str">
            <v>Lee</v>
          </cell>
        </row>
        <row r="39">
          <cell r="A39" t="str">
            <v>NC0106</v>
          </cell>
          <cell r="B39" t="str">
            <v>Lincoln</v>
          </cell>
        </row>
        <row r="40">
          <cell r="A40" t="str">
            <v>NC0043</v>
          </cell>
          <cell r="B40" t="str">
            <v>Madison</v>
          </cell>
        </row>
        <row r="41">
          <cell r="A41" t="str">
            <v>NC0044</v>
          </cell>
          <cell r="B41" t="str">
            <v>McDowell</v>
          </cell>
        </row>
        <row r="42">
          <cell r="A42" t="str">
            <v>NC0045</v>
          </cell>
          <cell r="B42" t="str">
            <v>Mecklenburg</v>
          </cell>
        </row>
        <row r="43">
          <cell r="A43" t="str">
            <v>NC0046</v>
          </cell>
          <cell r="B43" t="str">
            <v>Nash (Braswell)</v>
          </cell>
        </row>
        <row r="44">
          <cell r="A44" t="str">
            <v>NC0047</v>
          </cell>
          <cell r="B44" t="str">
            <v>New Hanover</v>
          </cell>
        </row>
        <row r="45">
          <cell r="A45" t="str">
            <v>NC0048</v>
          </cell>
          <cell r="B45" t="str">
            <v>Onslow</v>
          </cell>
        </row>
        <row r="46">
          <cell r="A46" t="str">
            <v>NC0108</v>
          </cell>
          <cell r="B46" t="str">
            <v>Orange</v>
          </cell>
        </row>
        <row r="47">
          <cell r="A47" t="str">
            <v>NC0049</v>
          </cell>
          <cell r="B47" t="str">
            <v>Pender</v>
          </cell>
        </row>
        <row r="48">
          <cell r="A48" t="str">
            <v>NC0109</v>
          </cell>
          <cell r="B48" t="str">
            <v>Person</v>
          </cell>
        </row>
        <row r="49">
          <cell r="A49" t="str">
            <v>NC0050</v>
          </cell>
          <cell r="B49" t="str">
            <v>Pitt (Sheppard)</v>
          </cell>
        </row>
        <row r="50">
          <cell r="A50" t="str">
            <v>NC0051</v>
          </cell>
          <cell r="B50" t="str">
            <v>Polk</v>
          </cell>
        </row>
        <row r="51">
          <cell r="A51" t="str">
            <v>NC0052</v>
          </cell>
          <cell r="B51" t="str">
            <v>Randolph</v>
          </cell>
        </row>
        <row r="52">
          <cell r="A52" t="str">
            <v>NC0053</v>
          </cell>
          <cell r="B52" t="str">
            <v>Robeson</v>
          </cell>
        </row>
        <row r="53">
          <cell r="A53" t="str">
            <v>NC0054</v>
          </cell>
          <cell r="B53" t="str">
            <v>Rockingham</v>
          </cell>
        </row>
        <row r="54">
          <cell r="A54" t="str">
            <v>NC0055</v>
          </cell>
          <cell r="B54" t="str">
            <v>Rowan</v>
          </cell>
        </row>
        <row r="55">
          <cell r="A55" t="str">
            <v>NC0056</v>
          </cell>
          <cell r="B55" t="str">
            <v>Rutherford</v>
          </cell>
        </row>
        <row r="56">
          <cell r="A56" t="str">
            <v>NC0057</v>
          </cell>
          <cell r="B56" t="str">
            <v>Sampson</v>
          </cell>
        </row>
        <row r="57">
          <cell r="A57" t="str">
            <v>NC0058</v>
          </cell>
          <cell r="B57" t="str">
            <v>Scotland</v>
          </cell>
        </row>
        <row r="58">
          <cell r="A58" t="str">
            <v>NC0059</v>
          </cell>
          <cell r="B58" t="str">
            <v>Stanly</v>
          </cell>
        </row>
        <row r="59">
          <cell r="A59" t="str">
            <v>NC0060</v>
          </cell>
          <cell r="B59" t="str">
            <v>Transylvania</v>
          </cell>
        </row>
        <row r="60">
          <cell r="A60" t="str">
            <v>NC0061</v>
          </cell>
          <cell r="B60" t="str">
            <v>Union</v>
          </cell>
        </row>
        <row r="61">
          <cell r="A61" t="str">
            <v>NC0062</v>
          </cell>
          <cell r="B61" t="str">
            <v>Vance (Perry)</v>
          </cell>
        </row>
        <row r="62">
          <cell r="A62" t="str">
            <v>NC0063</v>
          </cell>
          <cell r="B62" t="str">
            <v>Wake</v>
          </cell>
        </row>
        <row r="63">
          <cell r="A63" t="str">
            <v>NC0101</v>
          </cell>
          <cell r="B63" t="str">
            <v>Warren</v>
          </cell>
        </row>
        <row r="64">
          <cell r="A64" t="str">
            <v>NC0065</v>
          </cell>
          <cell r="B64" t="str">
            <v>Wayne</v>
          </cell>
        </row>
        <row r="65">
          <cell r="A65" t="str">
            <v>NC0066</v>
          </cell>
          <cell r="B65" t="str">
            <v>Wilson</v>
          </cell>
        </row>
        <row r="68">
          <cell r="A68" t="str">
            <v>NC0001</v>
          </cell>
          <cell r="B68" t="str">
            <v>Albemarle</v>
          </cell>
        </row>
        <row r="69">
          <cell r="A69" t="str">
            <v>NC0003</v>
          </cell>
          <cell r="B69" t="str">
            <v>AMY</v>
          </cell>
        </row>
        <row r="70">
          <cell r="A70" t="str">
            <v>NC0002</v>
          </cell>
          <cell r="B70" t="str">
            <v>Appalachian</v>
          </cell>
        </row>
        <row r="71">
          <cell r="A71" t="str">
            <v>NC0004</v>
          </cell>
          <cell r="B71" t="str">
            <v>BHM</v>
          </cell>
        </row>
        <row r="72">
          <cell r="A72" t="str">
            <v>NC0006</v>
          </cell>
          <cell r="B72" t="str">
            <v>CPC</v>
          </cell>
        </row>
        <row r="73">
          <cell r="A73" t="str">
            <v>NC0007</v>
          </cell>
          <cell r="B73" t="str">
            <v>E. Albemarle</v>
          </cell>
        </row>
        <row r="74">
          <cell r="A74" t="str">
            <v>NC0008</v>
          </cell>
          <cell r="B74" t="str">
            <v>Fontana</v>
          </cell>
        </row>
        <row r="75">
          <cell r="A75" t="str">
            <v>NC0011</v>
          </cell>
          <cell r="B75" t="str">
            <v>Nantahala</v>
          </cell>
        </row>
        <row r="76">
          <cell r="A76" t="str">
            <v>NC0012</v>
          </cell>
          <cell r="B76" t="str">
            <v>Neuse</v>
          </cell>
        </row>
        <row r="77">
          <cell r="A77" t="str">
            <v>NC0013</v>
          </cell>
          <cell r="B77" t="str">
            <v>Northwestern</v>
          </cell>
        </row>
        <row r="78">
          <cell r="A78" t="str">
            <v>NC0014</v>
          </cell>
          <cell r="B78" t="str">
            <v>Pettigrew</v>
          </cell>
        </row>
        <row r="79">
          <cell r="A79" t="str">
            <v>NC0015</v>
          </cell>
          <cell r="B79" t="str">
            <v>Sandhill</v>
          </cell>
        </row>
        <row r="82">
          <cell r="B82" t="str">
            <v>Chapel Hill</v>
          </cell>
        </row>
        <row r="83">
          <cell r="B83" t="str">
            <v>Clayton</v>
          </cell>
        </row>
        <row r="84">
          <cell r="B84" t="str">
            <v>Farmville</v>
          </cell>
        </row>
        <row r="85">
          <cell r="B85" t="str">
            <v>Hickory</v>
          </cell>
        </row>
        <row r="86">
          <cell r="B86" t="str">
            <v>High Point</v>
          </cell>
        </row>
        <row r="87">
          <cell r="B87" t="str">
            <v>Kings Mountain</v>
          </cell>
        </row>
        <row r="88">
          <cell r="B88" t="str">
            <v>Mooresville</v>
          </cell>
        </row>
        <row r="89">
          <cell r="B89" t="str">
            <v>Nashville</v>
          </cell>
        </row>
        <row r="90">
          <cell r="B90" t="str">
            <v>Roanoke Rapids</v>
          </cell>
        </row>
        <row r="91">
          <cell r="B91" t="str">
            <v>Southern Pines</v>
          </cell>
        </row>
        <row r="92">
          <cell r="B92" t="str">
            <v>Washington</v>
          </cell>
        </row>
      </sheetData>
      <sheetData sheetId="12" refreshError="1"/>
      <sheetData sheetId="13">
        <row r="9">
          <cell r="A9" t="str">
            <v>NC0103</v>
          </cell>
          <cell r="B9" t="str">
            <v>Alamance</v>
          </cell>
        </row>
        <row r="10">
          <cell r="A10" t="str">
            <v>NC0016</v>
          </cell>
          <cell r="B10" t="str">
            <v>Alexander</v>
          </cell>
        </row>
        <row r="11">
          <cell r="A11" t="str">
            <v>NC0017</v>
          </cell>
          <cell r="B11" t="str">
            <v>Bladen</v>
          </cell>
        </row>
        <row r="12">
          <cell r="A12" t="str">
            <v>NC0018</v>
          </cell>
          <cell r="B12" t="str">
            <v>Brunswick</v>
          </cell>
        </row>
        <row r="13">
          <cell r="A13" t="str">
            <v>NC0019</v>
          </cell>
          <cell r="B13" t="str">
            <v>Buncombe</v>
          </cell>
        </row>
        <row r="14">
          <cell r="A14" t="str">
            <v>NC0020</v>
          </cell>
          <cell r="B14" t="str">
            <v>Burke</v>
          </cell>
        </row>
        <row r="15">
          <cell r="A15" t="str">
            <v>NC0021</v>
          </cell>
          <cell r="B15" t="str">
            <v>Cabarrus</v>
          </cell>
        </row>
        <row r="16">
          <cell r="A16" t="str">
            <v>NC0022</v>
          </cell>
          <cell r="B16" t="str">
            <v>Caldwell</v>
          </cell>
        </row>
        <row r="17">
          <cell r="A17" t="str">
            <v>NC0107</v>
          </cell>
          <cell r="B17" t="str">
            <v>Caswell</v>
          </cell>
        </row>
        <row r="18">
          <cell r="A18" t="str">
            <v>NC0023</v>
          </cell>
          <cell r="B18" t="str">
            <v>Catawba</v>
          </cell>
        </row>
        <row r="19">
          <cell r="A19" t="str">
            <v>NC0104</v>
          </cell>
          <cell r="B19" t="str">
            <v>Chatham</v>
          </cell>
        </row>
        <row r="20">
          <cell r="A20" t="str">
            <v>NC0024</v>
          </cell>
          <cell r="B20" t="str">
            <v>Cleveland</v>
          </cell>
        </row>
        <row r="21">
          <cell r="A21" t="str">
            <v>NC0025</v>
          </cell>
          <cell r="B21" t="str">
            <v>Columbus</v>
          </cell>
        </row>
        <row r="22">
          <cell r="A22" t="str">
            <v>NC0026</v>
          </cell>
          <cell r="B22" t="str">
            <v>Cumberland</v>
          </cell>
        </row>
        <row r="23">
          <cell r="A23" t="str">
            <v>NC0027</v>
          </cell>
          <cell r="B23" t="str">
            <v>Davidson</v>
          </cell>
        </row>
        <row r="24">
          <cell r="A24" t="str">
            <v>NC0028</v>
          </cell>
          <cell r="B24" t="str">
            <v>Davie</v>
          </cell>
        </row>
        <row r="25">
          <cell r="A25" t="str">
            <v>NC0029</v>
          </cell>
          <cell r="B25" t="str">
            <v>Duplin</v>
          </cell>
        </row>
        <row r="26">
          <cell r="A26" t="str">
            <v>NC0030</v>
          </cell>
          <cell r="B26" t="str">
            <v>Durham</v>
          </cell>
        </row>
        <row r="27">
          <cell r="A27" t="str">
            <v>NC0031</v>
          </cell>
          <cell r="B27" t="str">
            <v>Edgecombe</v>
          </cell>
        </row>
        <row r="28">
          <cell r="A28" t="str">
            <v>NC0032</v>
          </cell>
          <cell r="B28" t="str">
            <v>Forsyth</v>
          </cell>
        </row>
        <row r="29">
          <cell r="A29" t="str">
            <v>NC0033</v>
          </cell>
          <cell r="B29" t="str">
            <v>Franklin</v>
          </cell>
        </row>
        <row r="30">
          <cell r="A30" t="str">
            <v>NC0105</v>
          </cell>
          <cell r="B30" t="str">
            <v>Gaston</v>
          </cell>
        </row>
        <row r="31">
          <cell r="A31" t="str">
            <v>NC0034</v>
          </cell>
          <cell r="B31" t="str">
            <v>Granville</v>
          </cell>
        </row>
        <row r="32">
          <cell r="A32" t="str">
            <v>NC0035</v>
          </cell>
          <cell r="B32" t="str">
            <v>Guilford (Greensboro)</v>
          </cell>
        </row>
        <row r="33">
          <cell r="A33" t="str">
            <v>NC0036</v>
          </cell>
          <cell r="B33" t="str">
            <v>Halifax</v>
          </cell>
        </row>
        <row r="34">
          <cell r="A34" t="str">
            <v>NC0037</v>
          </cell>
          <cell r="B34" t="str">
            <v>Harnett</v>
          </cell>
        </row>
        <row r="35">
          <cell r="A35" t="str">
            <v>NC0038</v>
          </cell>
          <cell r="B35" t="str">
            <v>Haywood</v>
          </cell>
        </row>
        <row r="36">
          <cell r="A36" t="str">
            <v>NC0039</v>
          </cell>
          <cell r="B36" t="str">
            <v>Henderson</v>
          </cell>
        </row>
        <row r="37">
          <cell r="A37" t="str">
            <v>NC0040</v>
          </cell>
          <cell r="B37" t="str">
            <v>Iredell</v>
          </cell>
        </row>
        <row r="38">
          <cell r="A38" t="str">
            <v>NC0041</v>
          </cell>
          <cell r="B38" t="str">
            <v>Johnston</v>
          </cell>
        </row>
        <row r="39">
          <cell r="A39" t="str">
            <v>NC0042</v>
          </cell>
          <cell r="B39" t="str">
            <v>Lee</v>
          </cell>
        </row>
        <row r="40">
          <cell r="A40" t="str">
            <v>NC0106</v>
          </cell>
          <cell r="B40" t="str">
            <v>Lincoln</v>
          </cell>
        </row>
        <row r="41">
          <cell r="A41" t="str">
            <v>NC0043</v>
          </cell>
          <cell r="B41" t="str">
            <v>Madison</v>
          </cell>
        </row>
        <row r="42">
          <cell r="A42" t="str">
            <v>NC0044</v>
          </cell>
          <cell r="B42" t="str">
            <v>McDowell</v>
          </cell>
        </row>
        <row r="43">
          <cell r="A43" t="str">
            <v>NC0045</v>
          </cell>
          <cell r="B43" t="str">
            <v>Mecklenburg</v>
          </cell>
        </row>
        <row r="44">
          <cell r="A44" t="str">
            <v>NC0046</v>
          </cell>
          <cell r="B44" t="str">
            <v>Nash (Braswell)</v>
          </cell>
        </row>
        <row r="45">
          <cell r="A45" t="str">
            <v>NC0047</v>
          </cell>
          <cell r="B45" t="str">
            <v>New Hanover</v>
          </cell>
        </row>
        <row r="46">
          <cell r="A46" t="str">
            <v>NC0048</v>
          </cell>
          <cell r="B46" t="str">
            <v>Onslow</v>
          </cell>
        </row>
        <row r="47">
          <cell r="A47" t="str">
            <v>NC0108</v>
          </cell>
          <cell r="B47" t="str">
            <v>Orange</v>
          </cell>
        </row>
        <row r="48">
          <cell r="A48" t="str">
            <v>NC0049</v>
          </cell>
          <cell r="B48" t="str">
            <v>Pender</v>
          </cell>
        </row>
        <row r="49">
          <cell r="A49" t="str">
            <v>NC0109</v>
          </cell>
          <cell r="B49" t="str">
            <v>Person</v>
          </cell>
        </row>
        <row r="50">
          <cell r="A50" t="str">
            <v>NC0050</v>
          </cell>
          <cell r="B50" t="str">
            <v>Pitt (Sheppard)</v>
          </cell>
        </row>
        <row r="51">
          <cell r="A51" t="str">
            <v>NC0051</v>
          </cell>
          <cell r="B51" t="str">
            <v>Polk</v>
          </cell>
        </row>
        <row r="52">
          <cell r="A52" t="str">
            <v>NC0052</v>
          </cell>
          <cell r="B52" t="str">
            <v>Randolph</v>
          </cell>
        </row>
        <row r="53">
          <cell r="A53" t="str">
            <v>NC0053</v>
          </cell>
          <cell r="B53" t="str">
            <v>Robeson</v>
          </cell>
        </row>
        <row r="54">
          <cell r="A54" t="str">
            <v>NC0054</v>
          </cell>
          <cell r="B54" t="str">
            <v>Rockingham</v>
          </cell>
        </row>
        <row r="55">
          <cell r="A55" t="str">
            <v>NC0055</v>
          </cell>
          <cell r="B55" t="str">
            <v>Rowan</v>
          </cell>
        </row>
        <row r="56">
          <cell r="A56" t="str">
            <v>NC0056</v>
          </cell>
          <cell r="B56" t="str">
            <v>Rutherford</v>
          </cell>
        </row>
        <row r="57">
          <cell r="A57" t="str">
            <v>NC0057</v>
          </cell>
          <cell r="B57" t="str">
            <v>Sampson</v>
          </cell>
        </row>
        <row r="58">
          <cell r="A58" t="str">
            <v>NC0058</v>
          </cell>
          <cell r="B58" t="str">
            <v>Scotland</v>
          </cell>
        </row>
        <row r="59">
          <cell r="A59" t="str">
            <v>NC0059</v>
          </cell>
          <cell r="B59" t="str">
            <v>Stanly</v>
          </cell>
        </row>
        <row r="60">
          <cell r="A60" t="str">
            <v>NC0060</v>
          </cell>
          <cell r="B60" t="str">
            <v>Transylvania</v>
          </cell>
        </row>
        <row r="61">
          <cell r="A61" t="str">
            <v>NC0061</v>
          </cell>
          <cell r="B61" t="str">
            <v>Union</v>
          </cell>
        </row>
        <row r="62">
          <cell r="A62" t="str">
            <v>NC0062</v>
          </cell>
          <cell r="B62" t="str">
            <v>Vance (Perry)</v>
          </cell>
        </row>
        <row r="63">
          <cell r="A63" t="str">
            <v>NC0063</v>
          </cell>
          <cell r="B63" t="str">
            <v>Wake</v>
          </cell>
        </row>
        <row r="64">
          <cell r="A64" t="str">
            <v>NC0101</v>
          </cell>
          <cell r="B64" t="str">
            <v>Warren</v>
          </cell>
        </row>
        <row r="65">
          <cell r="A65" t="str">
            <v>NC0065</v>
          </cell>
          <cell r="B65" t="str">
            <v>Wayne</v>
          </cell>
        </row>
        <row r="66">
          <cell r="A66" t="str">
            <v>NC0066</v>
          </cell>
          <cell r="B66" t="str">
            <v>Wilson</v>
          </cell>
        </row>
        <row r="69">
          <cell r="A69" t="str">
            <v>NC0001</v>
          </cell>
          <cell r="B69" t="str">
            <v>Albemarle</v>
          </cell>
        </row>
        <row r="70">
          <cell r="A70" t="str">
            <v>NC0003</v>
          </cell>
          <cell r="B70" t="str">
            <v>AMY</v>
          </cell>
        </row>
        <row r="71">
          <cell r="A71" t="str">
            <v>NC0002</v>
          </cell>
          <cell r="B71" t="str">
            <v>Appalachian</v>
          </cell>
        </row>
        <row r="72">
          <cell r="A72" t="str">
            <v>NC0004</v>
          </cell>
          <cell r="B72" t="str">
            <v>BHM</v>
          </cell>
        </row>
        <row r="73">
          <cell r="A73" t="str">
            <v>NC0006</v>
          </cell>
          <cell r="B73" t="str">
            <v>CPC</v>
          </cell>
        </row>
        <row r="74">
          <cell r="A74" t="str">
            <v>NC0007</v>
          </cell>
          <cell r="B74" t="str">
            <v>E. Albemarle</v>
          </cell>
        </row>
        <row r="75">
          <cell r="A75" t="str">
            <v>NC0008</v>
          </cell>
          <cell r="B75" t="str">
            <v>Fontana</v>
          </cell>
        </row>
        <row r="76">
          <cell r="A76" t="str">
            <v>NC0011</v>
          </cell>
          <cell r="B76" t="str">
            <v>Nantahala</v>
          </cell>
        </row>
        <row r="77">
          <cell r="A77" t="str">
            <v>NC0012</v>
          </cell>
          <cell r="B77" t="str">
            <v>Neuse</v>
          </cell>
        </row>
        <row r="78">
          <cell r="A78" t="str">
            <v>NC0013</v>
          </cell>
          <cell r="B78" t="str">
            <v>Northwestern</v>
          </cell>
        </row>
        <row r="79">
          <cell r="A79" t="str">
            <v>NC0014</v>
          </cell>
          <cell r="B79" t="str">
            <v>Pettigrew</v>
          </cell>
        </row>
        <row r="80">
          <cell r="A80" t="str">
            <v>NC0015</v>
          </cell>
          <cell r="B80" t="str">
            <v>Sandhill</v>
          </cell>
        </row>
        <row r="83">
          <cell r="B83" t="str">
            <v>Chapel Hill</v>
          </cell>
        </row>
        <row r="84">
          <cell r="B84" t="str">
            <v>Clayton</v>
          </cell>
        </row>
        <row r="85">
          <cell r="B85" t="str">
            <v>Farmville</v>
          </cell>
        </row>
        <row r="86">
          <cell r="B86" t="str">
            <v>Hickory</v>
          </cell>
        </row>
        <row r="87">
          <cell r="B87" t="str">
            <v>High Point</v>
          </cell>
        </row>
        <row r="88">
          <cell r="B88" t="str">
            <v>Kings Mountain</v>
          </cell>
        </row>
        <row r="89">
          <cell r="B89" t="str">
            <v>Mooresville</v>
          </cell>
        </row>
        <row r="90">
          <cell r="B90" t="str">
            <v>Nashville</v>
          </cell>
        </row>
        <row r="91">
          <cell r="B91" t="str">
            <v>Roanoke Rapids</v>
          </cell>
        </row>
        <row r="92">
          <cell r="B92" t="str">
            <v>Southern Pines</v>
          </cell>
        </row>
        <row r="93">
          <cell r="B93" t="str">
            <v>Washington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>
        <row r="14">
          <cell r="BV14">
            <v>103568</v>
          </cell>
        </row>
      </sheetData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6"/>
  <sheetViews>
    <sheetView workbookViewId="0">
      <selection activeCell="O13" sqref="O13"/>
    </sheetView>
  </sheetViews>
  <sheetFormatPr defaultRowHeight="15" x14ac:dyDescent="0.25"/>
  <cols>
    <col min="2" max="2" width="17" customWidth="1"/>
    <col min="3" max="3" width="14.28515625" customWidth="1"/>
    <col min="4" max="4" width="12.140625" customWidth="1"/>
    <col min="5" max="5" width="14.7109375" customWidth="1"/>
    <col min="6" max="6" width="11.85546875" customWidth="1"/>
    <col min="7" max="7" width="12.140625" customWidth="1"/>
    <col min="8" max="8" width="12" customWidth="1"/>
    <col min="9" max="9" width="14.140625" customWidth="1"/>
    <col min="11" max="11" width="11.140625" customWidth="1"/>
  </cols>
  <sheetData>
    <row r="1" spans="1:9" x14ac:dyDescent="0.25">
      <c r="A1" s="118"/>
      <c r="B1" s="591"/>
      <c r="C1" s="592"/>
      <c r="D1" s="592"/>
      <c r="E1" s="592"/>
      <c r="F1" s="592"/>
      <c r="G1" s="592"/>
      <c r="H1" s="592"/>
      <c r="I1" s="592"/>
    </row>
    <row r="2" spans="1:9" ht="18.75" x14ac:dyDescent="0.3">
      <c r="A2" s="593" t="s">
        <v>1711</v>
      </c>
      <c r="B2" s="593"/>
      <c r="C2" s="593"/>
      <c r="D2" s="593"/>
      <c r="E2" s="593"/>
      <c r="F2" s="593"/>
      <c r="G2" s="593"/>
      <c r="H2" s="593"/>
      <c r="I2" s="593"/>
    </row>
    <row r="3" spans="1:9" ht="18.75" x14ac:dyDescent="0.3">
      <c r="A3" s="593" t="s">
        <v>1955</v>
      </c>
      <c r="B3" s="593"/>
      <c r="C3" s="593"/>
      <c r="D3" s="593"/>
      <c r="E3" s="593"/>
      <c r="F3" s="593"/>
      <c r="G3" s="593"/>
      <c r="H3" s="593"/>
      <c r="I3" s="593"/>
    </row>
    <row r="4" spans="1:9" ht="15.75" x14ac:dyDescent="0.25">
      <c r="A4" s="248"/>
      <c r="B4" s="594" t="s">
        <v>1957</v>
      </c>
      <c r="C4" s="594"/>
      <c r="D4" s="594"/>
      <c r="E4" s="594"/>
      <c r="F4" s="594"/>
      <c r="G4" s="594"/>
      <c r="H4" s="594"/>
      <c r="I4" s="594"/>
    </row>
    <row r="5" spans="1:9" ht="16.5" thickBot="1" x14ac:dyDescent="0.3">
      <c r="A5" s="248"/>
      <c r="B5" s="595"/>
      <c r="C5" s="595"/>
      <c r="D5" s="595"/>
      <c r="E5" s="595"/>
      <c r="F5" s="595"/>
      <c r="G5" s="595"/>
      <c r="H5" s="595"/>
      <c r="I5" s="595"/>
    </row>
    <row r="6" spans="1:9" ht="15.75" thickTop="1" x14ac:dyDescent="0.25">
      <c r="A6" s="517"/>
      <c r="B6" s="596" t="s">
        <v>1712</v>
      </c>
      <c r="C6" s="597"/>
      <c r="D6" s="597"/>
      <c r="E6" s="597"/>
      <c r="F6" s="597"/>
      <c r="G6" s="597"/>
      <c r="H6" s="597"/>
      <c r="I6" s="598"/>
    </row>
    <row r="7" spans="1:9" x14ac:dyDescent="0.25">
      <c r="A7" s="118"/>
      <c r="B7" s="518"/>
      <c r="C7" s="519" t="s">
        <v>1462</v>
      </c>
      <c r="D7" s="520" t="s">
        <v>1713</v>
      </c>
      <c r="E7" s="519" t="s">
        <v>1493</v>
      </c>
      <c r="F7" s="520" t="s">
        <v>1713</v>
      </c>
      <c r="G7" s="519" t="s">
        <v>1714</v>
      </c>
      <c r="H7" s="521" t="s">
        <v>1715</v>
      </c>
      <c r="I7" s="522" t="s">
        <v>1716</v>
      </c>
    </row>
    <row r="8" spans="1:9" x14ac:dyDescent="0.25">
      <c r="A8" s="118"/>
      <c r="B8" s="523"/>
      <c r="C8" s="524" t="s">
        <v>1713</v>
      </c>
      <c r="D8" s="525" t="s">
        <v>1611</v>
      </c>
      <c r="E8" s="524" t="s">
        <v>1713</v>
      </c>
      <c r="F8" s="525" t="s">
        <v>1486</v>
      </c>
      <c r="G8" s="524" t="s">
        <v>1717</v>
      </c>
      <c r="H8" s="526" t="s">
        <v>1462</v>
      </c>
      <c r="I8" s="527" t="s">
        <v>1462</v>
      </c>
    </row>
    <row r="9" spans="1:9" x14ac:dyDescent="0.25">
      <c r="A9" s="118"/>
      <c r="B9" s="528" t="s">
        <v>1477</v>
      </c>
      <c r="C9" s="529" t="s">
        <v>1611</v>
      </c>
      <c r="D9" s="530" t="s">
        <v>1624</v>
      </c>
      <c r="E9" s="529" t="s">
        <v>1486</v>
      </c>
      <c r="F9" s="530" t="s">
        <v>1624</v>
      </c>
      <c r="G9" s="529" t="s">
        <v>1718</v>
      </c>
      <c r="H9" s="530" t="s">
        <v>1719</v>
      </c>
      <c r="I9" s="531" t="s">
        <v>1720</v>
      </c>
    </row>
    <row r="10" spans="1:9" x14ac:dyDescent="0.25">
      <c r="A10" s="118"/>
      <c r="B10" s="532" t="s">
        <v>1956</v>
      </c>
      <c r="C10" s="533">
        <v>16519371</v>
      </c>
      <c r="D10" s="534">
        <f>C10/10056683</f>
        <v>1.6426262018997715</v>
      </c>
      <c r="E10" s="533">
        <v>43606506</v>
      </c>
      <c r="F10" s="534">
        <f>E10/10056683</f>
        <v>4.3360724405850322</v>
      </c>
      <c r="G10" s="534" t="s">
        <v>1485</v>
      </c>
      <c r="H10" s="534">
        <v>3.4620960724285679</v>
      </c>
      <c r="I10" s="535">
        <v>55515553</v>
      </c>
    </row>
    <row r="11" spans="1:9" x14ac:dyDescent="0.25">
      <c r="A11" s="118"/>
      <c r="B11" s="532" t="s">
        <v>1721</v>
      </c>
      <c r="C11" s="533">
        <v>16516721</v>
      </c>
      <c r="D11" s="534">
        <f t="shared" ref="D11:F14" si="0">C11/10056683</f>
        <v>1.6423626955329107</v>
      </c>
      <c r="E11" s="533">
        <v>41433833</v>
      </c>
      <c r="F11" s="534">
        <f t="shared" si="0"/>
        <v>4.1200297354505455</v>
      </c>
      <c r="G11" s="533">
        <v>1923426</v>
      </c>
      <c r="H11" s="534">
        <v>3.6978150634223197</v>
      </c>
      <c r="I11" s="535">
        <v>52705420</v>
      </c>
    </row>
    <row r="12" spans="1:9" x14ac:dyDescent="0.25">
      <c r="A12" s="118"/>
      <c r="B12" s="536" t="s">
        <v>1722</v>
      </c>
      <c r="C12" s="537">
        <v>16751726</v>
      </c>
      <c r="D12" s="534">
        <f t="shared" si="0"/>
        <v>1.6657307384552142</v>
      </c>
      <c r="E12" s="538">
        <v>40655365</v>
      </c>
      <c r="F12" s="534">
        <f t="shared" si="0"/>
        <v>4.04262170737608</v>
      </c>
      <c r="G12" s="537">
        <v>2555501</v>
      </c>
      <c r="H12" s="534">
        <v>3.8299368362597574</v>
      </c>
      <c r="I12" s="539">
        <v>52848517</v>
      </c>
    </row>
    <row r="13" spans="1:9" x14ac:dyDescent="0.25">
      <c r="A13" s="118"/>
      <c r="B13" s="532" t="s">
        <v>1723</v>
      </c>
      <c r="C13" s="540">
        <v>16035113</v>
      </c>
      <c r="D13" s="534">
        <f t="shared" si="0"/>
        <v>1.5944733467287375</v>
      </c>
      <c r="E13" s="540">
        <v>39279024</v>
      </c>
      <c r="F13" s="534">
        <f t="shared" si="0"/>
        <v>3.9057633615377951</v>
      </c>
      <c r="G13" s="541">
        <v>3279927</v>
      </c>
      <c r="H13" s="534">
        <v>4.0853234694953935</v>
      </c>
      <c r="I13" s="542">
        <v>51495304</v>
      </c>
    </row>
    <row r="14" spans="1:9" x14ac:dyDescent="0.25">
      <c r="A14" s="118"/>
      <c r="B14" s="532" t="s">
        <v>1724</v>
      </c>
      <c r="C14" s="540">
        <v>15583977</v>
      </c>
      <c r="D14" s="534">
        <f t="shared" si="0"/>
        <v>1.549614022834368</v>
      </c>
      <c r="E14" s="540">
        <v>37314196</v>
      </c>
      <c r="F14" s="534">
        <f t="shared" si="0"/>
        <v>3.7103880076562024</v>
      </c>
      <c r="G14" s="541">
        <v>11200066</v>
      </c>
      <c r="H14" s="534">
        <v>3.8003045074653068</v>
      </c>
      <c r="I14" s="542">
        <v>56914204</v>
      </c>
    </row>
    <row r="15" spans="1:9" x14ac:dyDescent="0.25">
      <c r="A15" s="118"/>
      <c r="B15" s="532" t="s">
        <v>1725</v>
      </c>
      <c r="C15" s="533"/>
      <c r="D15" s="533"/>
      <c r="E15" s="533"/>
      <c r="F15" s="533"/>
      <c r="G15" s="533"/>
      <c r="H15" s="533"/>
      <c r="I15" s="542"/>
    </row>
    <row r="16" spans="1:9" x14ac:dyDescent="0.25">
      <c r="A16" s="517"/>
      <c r="B16" s="588" t="s">
        <v>1726</v>
      </c>
      <c r="C16" s="589"/>
      <c r="D16" s="589"/>
      <c r="E16" s="589"/>
      <c r="F16" s="589"/>
      <c r="G16" s="589"/>
      <c r="H16" s="589"/>
      <c r="I16" s="590"/>
    </row>
    <row r="17" spans="1:11" x14ac:dyDescent="0.25">
      <c r="A17" s="118"/>
      <c r="B17" s="518"/>
      <c r="C17" s="519" t="s">
        <v>1501</v>
      </c>
      <c r="D17" s="520" t="s">
        <v>1727</v>
      </c>
      <c r="E17" s="519" t="s">
        <v>1462</v>
      </c>
      <c r="F17" s="520" t="s">
        <v>1494</v>
      </c>
      <c r="G17" s="519" t="s">
        <v>1505</v>
      </c>
      <c r="H17" s="521" t="s">
        <v>1462</v>
      </c>
      <c r="I17" s="522" t="s">
        <v>1728</v>
      </c>
    </row>
    <row r="18" spans="1:11" x14ac:dyDescent="0.25">
      <c r="A18" s="118"/>
      <c r="B18" s="528" t="s">
        <v>1477</v>
      </c>
      <c r="C18" s="543" t="s">
        <v>1498</v>
      </c>
      <c r="D18" s="544" t="s">
        <v>1729</v>
      </c>
      <c r="E18" s="543" t="s">
        <v>1730</v>
      </c>
      <c r="F18" s="544" t="s">
        <v>1729</v>
      </c>
      <c r="G18" s="543" t="s">
        <v>1502</v>
      </c>
      <c r="H18" s="530" t="s">
        <v>1502</v>
      </c>
      <c r="I18" s="531" t="s">
        <v>1731</v>
      </c>
    </row>
    <row r="19" spans="1:11" x14ac:dyDescent="0.25">
      <c r="A19" s="118"/>
      <c r="B19" s="532" t="s">
        <v>1956</v>
      </c>
      <c r="C19" s="533">
        <v>173651303</v>
      </c>
      <c r="D19" s="534">
        <f>C19/10056683</f>
        <v>17.267254322324767</v>
      </c>
      <c r="E19" s="545">
        <v>13558825</v>
      </c>
      <c r="F19" s="534">
        <f>E19/10056683</f>
        <v>1.3482402696793765</v>
      </c>
      <c r="G19" s="533">
        <v>1420010</v>
      </c>
      <c r="H19" s="533">
        <v>200122098</v>
      </c>
      <c r="I19" s="534">
        <f>H19/10056683</f>
        <v>19.899413951896467</v>
      </c>
    </row>
    <row r="20" spans="1:11" x14ac:dyDescent="0.25">
      <c r="A20" s="118"/>
      <c r="B20" s="532" t="s">
        <v>1721</v>
      </c>
      <c r="C20" s="533">
        <v>177206394</v>
      </c>
      <c r="D20" s="534">
        <f t="shared" ref="D20:D23" si="1">C20/10056683</f>
        <v>17.62075964808675</v>
      </c>
      <c r="E20" s="545">
        <v>13518665</v>
      </c>
      <c r="F20" s="534">
        <f t="shared" ref="F20:F23" si="2">E20/10056683</f>
        <v>1.3442469052668757</v>
      </c>
      <c r="G20" s="533">
        <v>1675778</v>
      </c>
      <c r="H20" s="533">
        <v>206160285</v>
      </c>
      <c r="I20" s="534">
        <f t="shared" ref="I20:I23" si="3">H20/10056683</f>
        <v>20.49982931747973</v>
      </c>
    </row>
    <row r="21" spans="1:11" x14ac:dyDescent="0.25">
      <c r="A21" s="118"/>
      <c r="B21" s="536" t="s">
        <v>1722</v>
      </c>
      <c r="C21" s="538">
        <v>183175780</v>
      </c>
      <c r="D21" s="534">
        <f t="shared" si="1"/>
        <v>18.214333692331756</v>
      </c>
      <c r="E21" s="538">
        <v>13851494</v>
      </c>
      <c r="F21" s="534">
        <f t="shared" si="2"/>
        <v>1.3773422111445692</v>
      </c>
      <c r="G21" s="538">
        <v>1606642</v>
      </c>
      <c r="H21" s="538">
        <v>212601150</v>
      </c>
      <c r="I21" s="534">
        <f t="shared" si="3"/>
        <v>21.140285519589312</v>
      </c>
    </row>
    <row r="22" spans="1:11" x14ac:dyDescent="0.25">
      <c r="A22" s="118"/>
      <c r="B22" s="532" t="s">
        <v>1723</v>
      </c>
      <c r="C22" s="540">
        <v>192488470</v>
      </c>
      <c r="D22" s="534">
        <f t="shared" si="1"/>
        <v>19.140353732935601</v>
      </c>
      <c r="E22" s="540">
        <v>13231062</v>
      </c>
      <c r="F22" s="534">
        <f t="shared" si="2"/>
        <v>1.3156487084260287</v>
      </c>
      <c r="G22" s="540">
        <v>1669041</v>
      </c>
      <c r="H22" s="540">
        <v>218302244</v>
      </c>
      <c r="I22" s="534">
        <f t="shared" si="3"/>
        <v>21.707181582635148</v>
      </c>
    </row>
    <row r="23" spans="1:11" x14ac:dyDescent="0.25">
      <c r="A23" s="118"/>
      <c r="B23" s="532" t="s">
        <v>1724</v>
      </c>
      <c r="C23" s="540">
        <v>197009535</v>
      </c>
      <c r="D23" s="534">
        <f t="shared" si="1"/>
        <v>19.589912001800197</v>
      </c>
      <c r="E23" s="540">
        <v>14207033</v>
      </c>
      <c r="F23" s="534">
        <f t="shared" si="2"/>
        <v>1.4126957168680767</v>
      </c>
      <c r="G23" s="540">
        <v>1811433</v>
      </c>
      <c r="H23" s="540">
        <v>223704770</v>
      </c>
      <c r="I23" s="534">
        <f t="shared" si="3"/>
        <v>22.244389129099524</v>
      </c>
    </row>
    <row r="24" spans="1:11" x14ac:dyDescent="0.25">
      <c r="A24" s="517"/>
      <c r="B24" s="532" t="s">
        <v>1725</v>
      </c>
      <c r="C24" s="533"/>
      <c r="D24" s="533"/>
      <c r="E24" s="533"/>
      <c r="F24" s="533"/>
      <c r="G24" s="533"/>
      <c r="H24" s="533"/>
      <c r="I24" s="542"/>
    </row>
    <row r="25" spans="1:11" x14ac:dyDescent="0.25">
      <c r="A25" s="118"/>
      <c r="B25" s="588" t="s">
        <v>1732</v>
      </c>
      <c r="C25" s="589"/>
      <c r="D25" s="589"/>
      <c r="E25" s="589"/>
      <c r="F25" s="589"/>
      <c r="G25" s="589"/>
      <c r="H25" s="589"/>
      <c r="I25" s="590"/>
    </row>
    <row r="26" spans="1:11" x14ac:dyDescent="0.25">
      <c r="A26" s="118"/>
      <c r="B26" s="518"/>
      <c r="C26" s="519" t="s">
        <v>1589</v>
      </c>
      <c r="D26" s="520" t="s">
        <v>1589</v>
      </c>
      <c r="E26" s="519" t="s">
        <v>1717</v>
      </c>
      <c r="F26" s="520" t="s">
        <v>1717</v>
      </c>
      <c r="G26" s="519" t="s">
        <v>469</v>
      </c>
      <c r="H26" s="521" t="s">
        <v>469</v>
      </c>
      <c r="I26" s="522" t="s">
        <v>1462</v>
      </c>
    </row>
    <row r="27" spans="1:11" x14ac:dyDescent="0.25">
      <c r="A27" s="118"/>
      <c r="B27" s="528" t="s">
        <v>1477</v>
      </c>
      <c r="C27" s="543" t="s">
        <v>1733</v>
      </c>
      <c r="D27" s="544" t="s">
        <v>1729</v>
      </c>
      <c r="E27" s="543" t="s">
        <v>1733</v>
      </c>
      <c r="F27" s="544" t="s">
        <v>1729</v>
      </c>
      <c r="G27" s="543" t="s">
        <v>1733</v>
      </c>
      <c r="H27" s="530" t="s">
        <v>1729</v>
      </c>
      <c r="I27" s="531" t="s">
        <v>1729</v>
      </c>
    </row>
    <row r="28" spans="1:11" x14ac:dyDescent="0.25">
      <c r="A28" s="118"/>
      <c r="B28" s="532" t="s">
        <v>1956</v>
      </c>
      <c r="C28" s="533">
        <v>135235039</v>
      </c>
      <c r="D28" s="534">
        <f>C28/10056683</f>
        <v>13.447280678927635</v>
      </c>
      <c r="E28" s="545">
        <v>20081347</v>
      </c>
      <c r="F28" s="534">
        <f>E28/10056683</f>
        <v>1.9968161470337684</v>
      </c>
      <c r="G28" s="533">
        <v>36883792</v>
      </c>
      <c r="H28" s="534">
        <f>G28/10056683</f>
        <v>3.6675901984779675</v>
      </c>
      <c r="I28" s="546">
        <v>19.11168702443937</v>
      </c>
      <c r="K28" s="1"/>
    </row>
    <row r="29" spans="1:11" x14ac:dyDescent="0.25">
      <c r="A29" s="118"/>
      <c r="B29" s="532" t="s">
        <v>1721</v>
      </c>
      <c r="C29" s="540">
        <v>137651547</v>
      </c>
      <c r="D29" s="534">
        <f t="shared" ref="D29:D32" si="4">C29/10056683</f>
        <v>13.687569450086077</v>
      </c>
      <c r="E29" s="540">
        <v>20902474</v>
      </c>
      <c r="F29" s="534">
        <f t="shared" ref="F29:F32" si="5">E29/10056683</f>
        <v>2.0784660309965024</v>
      </c>
      <c r="G29" s="540">
        <v>36340875</v>
      </c>
      <c r="H29" s="534">
        <f t="shared" ref="H29:H32" si="6">G29/10056683</f>
        <v>3.6136045055810153</v>
      </c>
      <c r="I29" s="546">
        <v>19.379639986663594</v>
      </c>
      <c r="K29" s="1"/>
    </row>
    <row r="30" spans="1:11" x14ac:dyDescent="0.25">
      <c r="A30" s="118"/>
      <c r="B30" s="536" t="s">
        <v>1722</v>
      </c>
      <c r="C30" s="547">
        <v>142247644</v>
      </c>
      <c r="D30" s="534">
        <f t="shared" si="4"/>
        <v>14.14458862827833</v>
      </c>
      <c r="E30" s="548">
        <v>21679327</v>
      </c>
      <c r="F30" s="534">
        <f t="shared" si="5"/>
        <v>2.1557134693417304</v>
      </c>
      <c r="G30" s="547">
        <v>38479511</v>
      </c>
      <c r="H30" s="534">
        <f t="shared" si="6"/>
        <v>3.8262626951649961</v>
      </c>
      <c r="I30" s="546">
        <v>20.126564792785057</v>
      </c>
      <c r="K30" s="1"/>
    </row>
    <row r="31" spans="1:11" x14ac:dyDescent="0.25">
      <c r="A31" s="118"/>
      <c r="B31" s="532" t="s">
        <v>1723</v>
      </c>
      <c r="C31" s="540">
        <v>148060276</v>
      </c>
      <c r="D31" s="534">
        <f t="shared" si="4"/>
        <v>14.722575624587153</v>
      </c>
      <c r="E31" s="540">
        <v>22816663</v>
      </c>
      <c r="F31" s="534">
        <f t="shared" si="5"/>
        <v>2.2688060267982992</v>
      </c>
      <c r="G31" s="540">
        <v>39498035</v>
      </c>
      <c r="H31" s="534">
        <f t="shared" si="6"/>
        <v>3.9275410192406381</v>
      </c>
      <c r="I31" s="546">
        <v>20.918922670626092</v>
      </c>
      <c r="K31" s="1"/>
    </row>
    <row r="32" spans="1:11" x14ac:dyDescent="0.25">
      <c r="A32" s="517"/>
      <c r="B32" s="532" t="s">
        <v>1724</v>
      </c>
      <c r="C32" s="540">
        <v>151564562</v>
      </c>
      <c r="D32" s="534">
        <f t="shared" si="4"/>
        <v>15.071029085832775</v>
      </c>
      <c r="E32" s="540">
        <v>23318997</v>
      </c>
      <c r="F32" s="534">
        <f t="shared" si="5"/>
        <v>2.3187562937004178</v>
      </c>
      <c r="G32" s="540">
        <v>41407747</v>
      </c>
      <c r="H32" s="534">
        <f t="shared" si="6"/>
        <v>4.1174358384369878</v>
      </c>
      <c r="I32" s="546">
        <v>21.50722121797018</v>
      </c>
      <c r="K32" s="1"/>
    </row>
    <row r="33" spans="1:9" x14ac:dyDescent="0.25">
      <c r="A33" s="118"/>
      <c r="B33" s="532" t="s">
        <v>1725</v>
      </c>
      <c r="C33" s="533"/>
      <c r="D33" s="533"/>
      <c r="E33" s="533"/>
      <c r="F33" s="533"/>
      <c r="G33" s="533"/>
      <c r="H33" s="533"/>
      <c r="I33" s="542"/>
    </row>
    <row r="34" spans="1:9" x14ac:dyDescent="0.25">
      <c r="A34" s="118"/>
      <c r="B34" s="588" t="s">
        <v>1734</v>
      </c>
      <c r="C34" s="589"/>
      <c r="D34" s="589"/>
      <c r="E34" s="589"/>
      <c r="F34" s="589"/>
      <c r="G34" s="589"/>
      <c r="H34" s="589"/>
      <c r="I34" s="590"/>
    </row>
    <row r="35" spans="1:9" x14ac:dyDescent="0.25">
      <c r="A35" s="118"/>
      <c r="B35" s="518"/>
      <c r="C35" s="519"/>
      <c r="D35" s="520" t="s">
        <v>1655</v>
      </c>
      <c r="E35" s="519"/>
      <c r="F35" s="520" t="s">
        <v>1735</v>
      </c>
      <c r="G35" s="519"/>
      <c r="H35" s="521" t="s">
        <v>1736</v>
      </c>
      <c r="I35" s="522"/>
    </row>
    <row r="36" spans="1:9" x14ac:dyDescent="0.25">
      <c r="A36" s="118"/>
      <c r="B36" s="523"/>
      <c r="C36" s="524" t="s">
        <v>1655</v>
      </c>
      <c r="D36" s="525" t="s">
        <v>1737</v>
      </c>
      <c r="E36" s="524" t="s">
        <v>1654</v>
      </c>
      <c r="F36" s="525" t="s">
        <v>1659</v>
      </c>
      <c r="G36" s="524" t="s">
        <v>1700</v>
      </c>
      <c r="H36" s="526" t="s">
        <v>1738</v>
      </c>
      <c r="I36" s="527" t="s">
        <v>1739</v>
      </c>
    </row>
    <row r="37" spans="1:9" x14ac:dyDescent="0.25">
      <c r="A37" s="118"/>
      <c r="B37" s="528" t="s">
        <v>1477</v>
      </c>
      <c r="C37" s="543" t="s">
        <v>1737</v>
      </c>
      <c r="D37" s="544" t="s">
        <v>1624</v>
      </c>
      <c r="E37" s="543" t="s">
        <v>1659</v>
      </c>
      <c r="F37" s="544" t="s">
        <v>1624</v>
      </c>
      <c r="G37" s="543" t="s">
        <v>1740</v>
      </c>
      <c r="H37" s="530" t="s">
        <v>1741</v>
      </c>
      <c r="I37" s="531" t="s">
        <v>1742</v>
      </c>
    </row>
    <row r="38" spans="1:9" x14ac:dyDescent="0.25">
      <c r="A38" s="118"/>
      <c r="B38" s="532" t="s">
        <v>1956</v>
      </c>
      <c r="C38" s="533">
        <v>9062999</v>
      </c>
      <c r="D38" s="534">
        <f>C38/10056683</f>
        <v>0.90119167522730903</v>
      </c>
      <c r="E38" s="545">
        <v>36786662</v>
      </c>
      <c r="F38" s="534">
        <f>E38/10056683</f>
        <v>3.6579319443597855</v>
      </c>
      <c r="G38" s="533">
        <v>5573568</v>
      </c>
      <c r="H38" s="549">
        <v>9324569</v>
      </c>
      <c r="I38" s="535">
        <v>905229</v>
      </c>
    </row>
    <row r="39" spans="1:9" x14ac:dyDescent="0.25">
      <c r="A39" s="118"/>
      <c r="B39" s="532" t="s">
        <v>1721</v>
      </c>
      <c r="C39" s="533">
        <v>9103160</v>
      </c>
      <c r="D39" s="534">
        <f t="shared" ref="D39:D42" si="7">C39/10056683</f>
        <v>0.90518513907617448</v>
      </c>
      <c r="E39" s="545">
        <v>35655287</v>
      </c>
      <c r="F39" s="534">
        <f t="shared" ref="F39:F42" si="8">E39/10056683</f>
        <v>3.5454321270741058</v>
      </c>
      <c r="G39" s="533">
        <v>5441968</v>
      </c>
      <c r="H39" s="549">
        <v>8582110</v>
      </c>
      <c r="I39" s="535">
        <v>919597</v>
      </c>
    </row>
    <row r="40" spans="1:9" x14ac:dyDescent="0.25">
      <c r="A40" s="118"/>
      <c r="B40" s="584" t="s">
        <v>1722</v>
      </c>
      <c r="C40" s="550">
        <v>6723220</v>
      </c>
      <c r="D40" s="534">
        <f t="shared" si="7"/>
        <v>0.66853255690768021</v>
      </c>
      <c r="E40" s="551">
        <v>35106249</v>
      </c>
      <c r="F40" s="534">
        <f t="shared" si="8"/>
        <v>3.4908377841878879</v>
      </c>
      <c r="G40" s="538">
        <v>5059879</v>
      </c>
      <c r="H40" s="538">
        <v>7806189</v>
      </c>
      <c r="I40" s="539">
        <v>920240</v>
      </c>
    </row>
    <row r="41" spans="1:9" x14ac:dyDescent="0.25">
      <c r="A41" s="517"/>
      <c r="B41" s="532" t="s">
        <v>1723</v>
      </c>
      <c r="C41" s="540">
        <v>6718938</v>
      </c>
      <c r="D41" s="534">
        <f t="shared" si="7"/>
        <v>0.66810677039337918</v>
      </c>
      <c r="E41" s="540">
        <v>35523633</v>
      </c>
      <c r="F41" s="534">
        <f t="shared" si="8"/>
        <v>3.5323409318957353</v>
      </c>
      <c r="G41" s="540">
        <v>5128357</v>
      </c>
      <c r="H41" s="552">
        <v>7340714</v>
      </c>
      <c r="I41" s="542">
        <v>928242</v>
      </c>
    </row>
    <row r="42" spans="1:9" x14ac:dyDescent="0.25">
      <c r="A42" s="118"/>
      <c r="B42" s="532" t="s">
        <v>1724</v>
      </c>
      <c r="C42" s="540">
        <v>6421224</v>
      </c>
      <c r="D42" s="534">
        <f t="shared" si="7"/>
        <v>0.63850317246750243</v>
      </c>
      <c r="E42" s="540">
        <v>33462021</v>
      </c>
      <c r="F42" s="534">
        <f t="shared" si="8"/>
        <v>3.3273417288781997</v>
      </c>
      <c r="G42" s="540">
        <v>5497023</v>
      </c>
      <c r="H42" s="552">
        <v>6576183</v>
      </c>
      <c r="I42" s="542">
        <v>943313</v>
      </c>
    </row>
    <row r="43" spans="1:9" x14ac:dyDescent="0.25">
      <c r="A43" s="118"/>
      <c r="B43" s="532" t="s">
        <v>1725</v>
      </c>
      <c r="C43" s="533"/>
      <c r="D43" s="533"/>
      <c r="E43" s="533"/>
      <c r="F43" s="533"/>
      <c r="G43" s="533"/>
      <c r="H43" s="533"/>
      <c r="I43" s="542"/>
    </row>
    <row r="44" spans="1:9" x14ac:dyDescent="0.25">
      <c r="A44" s="118"/>
      <c r="B44" s="588" t="s">
        <v>1743</v>
      </c>
      <c r="C44" s="589"/>
      <c r="D44" s="589"/>
      <c r="E44" s="589"/>
      <c r="F44" s="589"/>
      <c r="G44" s="589"/>
      <c r="H44" s="589"/>
      <c r="I44" s="590"/>
    </row>
    <row r="45" spans="1:9" x14ac:dyDescent="0.25">
      <c r="A45" s="118"/>
      <c r="B45" s="518"/>
      <c r="C45" s="519" t="s">
        <v>1462</v>
      </c>
      <c r="D45" s="520" t="s">
        <v>1744</v>
      </c>
      <c r="E45" s="519" t="s">
        <v>1676</v>
      </c>
      <c r="F45" s="520" t="s">
        <v>1462</v>
      </c>
      <c r="G45" s="519" t="s">
        <v>1462</v>
      </c>
      <c r="H45" s="521" t="s">
        <v>1745</v>
      </c>
      <c r="I45" s="522" t="s">
        <v>1746</v>
      </c>
    </row>
    <row r="46" spans="1:9" x14ac:dyDescent="0.25">
      <c r="A46" s="118"/>
      <c r="B46" s="528" t="s">
        <v>1477</v>
      </c>
      <c r="C46" s="543" t="s">
        <v>1747</v>
      </c>
      <c r="D46" s="544" t="s">
        <v>1676</v>
      </c>
      <c r="E46" s="543" t="s">
        <v>1624</v>
      </c>
      <c r="F46" s="544" t="s">
        <v>1748</v>
      </c>
      <c r="G46" s="543" t="s">
        <v>3</v>
      </c>
      <c r="H46" s="530" t="s">
        <v>1749</v>
      </c>
      <c r="I46" s="531" t="s">
        <v>1750</v>
      </c>
    </row>
    <row r="47" spans="1:9" x14ac:dyDescent="0.25">
      <c r="A47" s="118"/>
      <c r="B47" s="532" t="s">
        <v>1956</v>
      </c>
      <c r="C47" s="533">
        <v>101624</v>
      </c>
      <c r="D47" s="545">
        <v>2426516</v>
      </c>
      <c r="E47" s="534">
        <f>D47/10056683</f>
        <v>0.24128393029789247</v>
      </c>
      <c r="F47" s="545">
        <v>700.30000000000007</v>
      </c>
      <c r="G47" s="545">
        <v>2859.4300000000012</v>
      </c>
      <c r="H47" s="553">
        <f>G47/(10056683/25000)</f>
        <v>7.108283118797722</v>
      </c>
      <c r="I47" s="585">
        <v>0.24490895038521657</v>
      </c>
    </row>
    <row r="48" spans="1:9" x14ac:dyDescent="0.25">
      <c r="A48" s="118"/>
      <c r="B48" s="586" t="s">
        <v>1721</v>
      </c>
      <c r="C48" s="554">
        <v>111799</v>
      </c>
      <c r="D48" s="555">
        <v>2592184</v>
      </c>
      <c r="E48" s="534">
        <f t="shared" ref="E48:E51" si="9">D48/10056683</f>
        <v>0.25775735399037636</v>
      </c>
      <c r="F48" s="555">
        <v>717.02999999999986</v>
      </c>
      <c r="G48" s="555">
        <v>2881.07</v>
      </c>
      <c r="H48" s="553">
        <f t="shared" ref="H48:H51" si="10">G48/(10056683/25000)</f>
        <v>7.1620781921832481</v>
      </c>
      <c r="I48" s="556">
        <v>0.2488762855466892</v>
      </c>
    </row>
    <row r="49" spans="2:9" x14ac:dyDescent="0.25">
      <c r="B49" s="587" t="s">
        <v>1722</v>
      </c>
      <c r="C49" s="537">
        <v>120019</v>
      </c>
      <c r="D49" s="537">
        <v>2605492</v>
      </c>
      <c r="E49" s="534">
        <f t="shared" si="9"/>
        <v>0.25908065313384143</v>
      </c>
      <c r="F49" s="557">
        <v>718.87999999999988</v>
      </c>
      <c r="G49" s="558">
        <v>2906.83</v>
      </c>
      <c r="H49" s="553">
        <f t="shared" si="10"/>
        <v>7.2261152111486462</v>
      </c>
      <c r="I49" s="559">
        <v>0.2473072040676613</v>
      </c>
    </row>
    <row r="50" spans="2:9" x14ac:dyDescent="0.25">
      <c r="B50" s="532" t="s">
        <v>1723</v>
      </c>
      <c r="C50" s="560">
        <v>126622</v>
      </c>
      <c r="D50" s="560">
        <v>2697782</v>
      </c>
      <c r="E50" s="534">
        <f t="shared" si="9"/>
        <v>0.26825763524613433</v>
      </c>
      <c r="F50" s="560">
        <v>743.64</v>
      </c>
      <c r="G50" s="560">
        <v>2966.3499999999995</v>
      </c>
      <c r="H50" s="553">
        <f t="shared" si="10"/>
        <v>7.3740765220500624</v>
      </c>
      <c r="I50" s="561">
        <v>0.20174361498595209</v>
      </c>
    </row>
    <row r="51" spans="2:9" x14ac:dyDescent="0.25">
      <c r="B51" s="532" t="s">
        <v>1724</v>
      </c>
      <c r="C51" s="560">
        <v>141704</v>
      </c>
      <c r="D51" s="560">
        <v>2969203</v>
      </c>
      <c r="E51" s="534">
        <f t="shared" si="9"/>
        <v>0.29524675283092844</v>
      </c>
      <c r="F51" s="560">
        <v>763.56</v>
      </c>
      <c r="G51" s="560">
        <v>3038.36</v>
      </c>
      <c r="H51" s="553">
        <f t="shared" si="10"/>
        <v>7.5530868378768634</v>
      </c>
      <c r="I51" s="561">
        <v>0.25130000000000002</v>
      </c>
    </row>
    <row r="52" spans="2:9" ht="15.75" thickBot="1" x14ac:dyDescent="0.3">
      <c r="B52" s="562" t="s">
        <v>1725</v>
      </c>
      <c r="C52" s="563"/>
      <c r="D52" s="563"/>
      <c r="E52" s="563"/>
      <c r="F52" s="563"/>
      <c r="G52" s="563"/>
      <c r="H52" s="563"/>
      <c r="I52" s="564"/>
    </row>
    <row r="53" spans="2:9" ht="15.75" thickTop="1" x14ac:dyDescent="0.25"/>
    <row r="54" spans="2:9" x14ac:dyDescent="0.25">
      <c r="B54" s="565"/>
    </row>
    <row r="55" spans="2:9" x14ac:dyDescent="0.25">
      <c r="B55" s="566" t="s">
        <v>1751</v>
      </c>
    </row>
    <row r="56" spans="2:9" x14ac:dyDescent="0.25">
      <c r="B56" s="567" t="s">
        <v>1752</v>
      </c>
    </row>
  </sheetData>
  <mergeCells count="10">
    <mergeCell ref="B16:I16"/>
    <mergeCell ref="B25:I25"/>
    <mergeCell ref="B34:I34"/>
    <mergeCell ref="B44:I44"/>
    <mergeCell ref="B1:I1"/>
    <mergeCell ref="A2:I2"/>
    <mergeCell ref="A3:I3"/>
    <mergeCell ref="B4:I4"/>
    <mergeCell ref="B5:I5"/>
    <mergeCell ref="B6:I6"/>
  </mergeCell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 xr2:uid="{00000000-0003-0000-0000-000004000000}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Summary!C19:C23</xm:f>
              <xm:sqref>C24</xm:sqref>
            </x14:sparkline>
            <x14:sparkline>
              <xm:f>Summary!D19:D23</xm:f>
              <xm:sqref>D24</xm:sqref>
            </x14:sparkline>
            <x14:sparkline>
              <xm:f>Summary!E19:E23</xm:f>
              <xm:sqref>E24</xm:sqref>
            </x14:sparkline>
            <x14:sparkline>
              <xm:f>Summary!F19:F23</xm:f>
              <xm:sqref>F24</xm:sqref>
            </x14:sparkline>
            <x14:sparkline>
              <xm:f>Summary!G19:G23</xm:f>
              <xm:sqref>G24</xm:sqref>
            </x14:sparkline>
            <x14:sparkline>
              <xm:f>Summary!H19:H23</xm:f>
              <xm:sqref>H24</xm:sqref>
            </x14:sparkline>
            <x14:sparkline>
              <xm:f>Summary!I19:I23</xm:f>
              <xm:sqref>I24</xm:sqref>
            </x14:sparkline>
          </x14:sparklines>
        </x14:sparklineGroup>
        <x14:sparklineGroup manualMax="0" manualMin="0" displayEmptyCellsAs="gap" xr2:uid="{00000000-0003-0000-0000-000003000000}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Summary!C28:C32</xm:f>
              <xm:sqref>C33</xm:sqref>
            </x14:sparkline>
            <x14:sparkline>
              <xm:f>Summary!D28:D32</xm:f>
              <xm:sqref>D33</xm:sqref>
            </x14:sparkline>
            <x14:sparkline>
              <xm:f>Summary!E28:E32</xm:f>
              <xm:sqref>E33</xm:sqref>
            </x14:sparkline>
            <x14:sparkline>
              <xm:f>Summary!F28:F32</xm:f>
              <xm:sqref>F33</xm:sqref>
            </x14:sparkline>
            <x14:sparkline>
              <xm:f>Summary!G28:G32</xm:f>
              <xm:sqref>G33</xm:sqref>
            </x14:sparkline>
            <x14:sparkline>
              <xm:f>Summary!H28:H32</xm:f>
              <xm:sqref>H33</xm:sqref>
            </x14:sparkline>
            <x14:sparkline>
              <xm:f>Summary!I28:I32</xm:f>
              <xm:sqref>I33</xm:sqref>
            </x14:sparkline>
          </x14:sparklines>
        </x14:sparklineGroup>
        <x14:sparklineGroup manualMax="0" manualMin="0" displayEmptyCellsAs="gap" xr2:uid="{00000000-0003-0000-0000-000002000000}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Summary!C38:C42</xm:f>
              <xm:sqref>C43</xm:sqref>
            </x14:sparkline>
            <x14:sparkline>
              <xm:f>Summary!D38:D42</xm:f>
              <xm:sqref>D43</xm:sqref>
            </x14:sparkline>
            <x14:sparkline>
              <xm:f>Summary!E38:E42</xm:f>
              <xm:sqref>E43</xm:sqref>
            </x14:sparkline>
            <x14:sparkline>
              <xm:f>Summary!F38:F42</xm:f>
              <xm:sqref>F43</xm:sqref>
            </x14:sparkline>
            <x14:sparkline>
              <xm:f>Summary!G38:G42</xm:f>
              <xm:sqref>G43</xm:sqref>
            </x14:sparkline>
            <x14:sparkline>
              <xm:f>Summary!H38:H42</xm:f>
              <xm:sqref>H43</xm:sqref>
            </x14:sparkline>
            <x14:sparkline>
              <xm:f>Summary!I38:I42</xm:f>
              <xm:sqref>I43</xm:sqref>
            </x14:sparkline>
          </x14:sparklines>
        </x14:sparklineGroup>
        <x14:sparklineGroup manualMax="0" manualMin="0" displayEmptyCellsAs="gap" xr2:uid="{00000000-0003-0000-0000-000001000000}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Summary!C47:C51</xm:f>
              <xm:sqref>C52</xm:sqref>
            </x14:sparkline>
            <x14:sparkline>
              <xm:f>Summary!D47:D51</xm:f>
              <xm:sqref>D52</xm:sqref>
            </x14:sparkline>
            <x14:sparkline>
              <xm:f>Summary!E47:E51</xm:f>
              <xm:sqref>E52</xm:sqref>
            </x14:sparkline>
            <x14:sparkline>
              <xm:f>Summary!F47:F51</xm:f>
              <xm:sqref>F52</xm:sqref>
            </x14:sparkline>
            <x14:sparkline>
              <xm:f>Summary!G47:G51</xm:f>
              <xm:sqref>G52</xm:sqref>
            </x14:sparkline>
            <x14:sparkline>
              <xm:f>Summary!H47:H51</xm:f>
              <xm:sqref>H52</xm:sqref>
            </x14:sparkline>
            <x14:sparkline>
              <xm:f>Summary!I47:I51</xm:f>
              <xm:sqref>I52</xm:sqref>
            </x14:sparkline>
          </x14:sparklines>
        </x14:sparklineGroup>
        <x14:sparklineGroup manualMax="0" manualMin="0" displayEmptyCellsAs="gap" negative="1" xr2:uid="{00000000-0003-0000-0000-000000000000}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Summary!C10:C14</xm:f>
              <xm:sqref>C15</xm:sqref>
            </x14:sparkline>
            <x14:sparkline>
              <xm:f>Summary!D10:D14</xm:f>
              <xm:sqref>D15</xm:sqref>
            </x14:sparkline>
            <x14:sparkline>
              <xm:f>Summary!E10:E14</xm:f>
              <xm:sqref>E15</xm:sqref>
            </x14:sparkline>
            <x14:sparkline>
              <xm:f>Summary!F10:F14</xm:f>
              <xm:sqref>F15</xm:sqref>
            </x14:sparkline>
            <x14:sparkline>
              <xm:f>Summary!G10:G14</xm:f>
              <xm:sqref>G15</xm:sqref>
            </x14:sparkline>
            <x14:sparkline>
              <xm:f>Summary!H10:H14</xm:f>
              <xm:sqref>H15</xm:sqref>
            </x14:sparkline>
            <x14:sparkline>
              <xm:f>Summary!I10:I14</xm:f>
              <xm:sqref>I15</xm:sqref>
            </x14:sparkline>
          </x14:sparklines>
        </x14:sparklineGroup>
      </x14:sparklineGroup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97"/>
  <sheetViews>
    <sheetView topLeftCell="A50" workbookViewId="0">
      <selection activeCell="C64" sqref="C64"/>
    </sheetView>
  </sheetViews>
  <sheetFormatPr defaultColWidth="8.85546875" defaultRowHeight="15" x14ac:dyDescent="0.25"/>
  <cols>
    <col min="1" max="1" width="7.140625" style="369" customWidth="1"/>
    <col min="2" max="2" width="21.28515625" style="369" customWidth="1"/>
    <col min="3" max="3" width="10.85546875" style="72" customWidth="1"/>
    <col min="4" max="4" width="11.28515625" style="72" customWidth="1"/>
    <col min="5" max="5" width="10.28515625" style="72" customWidth="1"/>
    <col min="6" max="6" width="10" style="72" customWidth="1"/>
    <col min="7" max="7" width="11.42578125" style="72" customWidth="1"/>
    <col min="8" max="8" width="11" style="72" customWidth="1"/>
    <col min="9" max="12" width="11.42578125" style="72" customWidth="1"/>
    <col min="13" max="13" width="13.140625" style="72" customWidth="1"/>
    <col min="14" max="14" width="13.7109375" customWidth="1"/>
    <col min="15" max="16" width="8.85546875" style="369"/>
    <col min="17" max="18" width="11.5703125" style="369" bestFit="1" customWidth="1"/>
    <col min="19" max="16384" width="8.85546875" style="369"/>
  </cols>
  <sheetData>
    <row r="1" spans="1:18" x14ac:dyDescent="0.25">
      <c r="A1" s="12"/>
      <c r="B1" s="12"/>
      <c r="M1" s="11" t="s">
        <v>1758</v>
      </c>
    </row>
    <row r="2" spans="1:18" ht="15.75" x14ac:dyDescent="0.25">
      <c r="A2" s="171" t="s">
        <v>1627</v>
      </c>
      <c r="B2" s="335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18" t="s">
        <v>1759</v>
      </c>
    </row>
    <row r="3" spans="1:18" ht="15.75" thickBot="1" x14ac:dyDescent="0.3">
      <c r="A3" s="335"/>
      <c r="B3" s="335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1"/>
    </row>
    <row r="4" spans="1:18" ht="15.75" customHeight="1" thickTop="1" x14ac:dyDescent="0.2">
      <c r="A4" s="92"/>
      <c r="B4" s="612"/>
      <c r="C4" s="649" t="s">
        <v>1628</v>
      </c>
      <c r="D4" s="650"/>
      <c r="E4" s="650"/>
      <c r="F4" s="650"/>
      <c r="G4" s="651"/>
      <c r="H4" s="649" t="s">
        <v>1629</v>
      </c>
      <c r="I4" s="650"/>
      <c r="J4" s="650"/>
      <c r="K4" s="650"/>
      <c r="L4" s="22"/>
      <c r="M4" s="618" t="s">
        <v>1630</v>
      </c>
      <c r="N4" s="652" t="s">
        <v>2</v>
      </c>
    </row>
    <row r="5" spans="1:18" ht="15" customHeight="1" x14ac:dyDescent="0.2">
      <c r="A5" s="95"/>
      <c r="B5" s="647"/>
      <c r="C5" s="372" t="s">
        <v>1602</v>
      </c>
      <c r="D5" s="373" t="s">
        <v>1631</v>
      </c>
      <c r="E5" s="373" t="s">
        <v>1604</v>
      </c>
      <c r="F5" s="374"/>
      <c r="G5" s="372" t="s">
        <v>1632</v>
      </c>
      <c r="H5" s="372" t="s">
        <v>1607</v>
      </c>
      <c r="I5" s="373" t="s">
        <v>1608</v>
      </c>
      <c r="J5" s="375"/>
      <c r="K5" s="376"/>
      <c r="L5" s="377"/>
      <c r="M5" s="607"/>
      <c r="N5" s="653"/>
    </row>
    <row r="6" spans="1:18" ht="15.75" customHeight="1" thickBot="1" x14ac:dyDescent="0.25">
      <c r="A6" s="99"/>
      <c r="B6" s="648"/>
      <c r="C6" s="26" t="s">
        <v>1610</v>
      </c>
      <c r="D6" s="26" t="s">
        <v>1610</v>
      </c>
      <c r="E6" s="26" t="s">
        <v>1610</v>
      </c>
      <c r="F6" s="378" t="s">
        <v>1633</v>
      </c>
      <c r="G6" s="379" t="s">
        <v>1486</v>
      </c>
      <c r="H6" s="26" t="s">
        <v>1613</v>
      </c>
      <c r="I6" s="26" t="s">
        <v>1614</v>
      </c>
      <c r="J6" s="26" t="s">
        <v>1615</v>
      </c>
      <c r="K6" s="379" t="s">
        <v>1634</v>
      </c>
      <c r="L6" s="380" t="s">
        <v>1635</v>
      </c>
      <c r="M6" s="608"/>
      <c r="N6" s="654"/>
    </row>
    <row r="7" spans="1:18" ht="15.75" thickTop="1" thickBot="1" x14ac:dyDescent="0.25">
      <c r="A7" s="30"/>
      <c r="B7" s="45" t="s">
        <v>1452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5"/>
      <c r="N7" s="381"/>
    </row>
    <row r="8" spans="1:18" thickTop="1" x14ac:dyDescent="0.2">
      <c r="A8" s="36" t="s">
        <v>340</v>
      </c>
      <c r="B8" s="36" t="s">
        <v>1506</v>
      </c>
      <c r="C8" s="322">
        <f>VLOOKUP($A8,[0]!Data,209,FALSE)</f>
        <v>233379</v>
      </c>
      <c r="D8" s="322">
        <f>VLOOKUP($A8,[0]!Data,210,FALSE)</f>
        <v>22859</v>
      </c>
      <c r="E8" s="322">
        <f>VLOOKUP($A8,[0]!Data,211,FALSE)</f>
        <v>200708</v>
      </c>
      <c r="F8" s="322">
        <f>VLOOKUP($A8,[0]!Data,213,FALSE)</f>
        <v>6418</v>
      </c>
      <c r="G8" s="322">
        <f>VLOOKUP($A8,[0]!Data,214,FALSE)</f>
        <v>470473</v>
      </c>
      <c r="H8" s="322">
        <f>VLOOKUP($A8,[0]!Data,215,FALSE)+VLOOKUP($A8,[0]!Data,226,FALSE)</f>
        <v>59191</v>
      </c>
      <c r="I8" s="322">
        <f>VLOOKUP($A8,[0]!Data,216,FALSE)+VLOOKUP($A8,[0]!Data,229,FALSE)</f>
        <v>285299</v>
      </c>
      <c r="J8" s="322">
        <f>VLOOKUP($A8,[0]!Data,223,FALSE)</f>
        <v>5212</v>
      </c>
      <c r="K8" s="322">
        <f>VLOOKUP($A8,[0]!Data,230,FALSE)</f>
        <v>3765</v>
      </c>
      <c r="L8" s="322">
        <f>VLOOKUP($A8,[0]!Data,234,FALSE)</f>
        <v>106184</v>
      </c>
      <c r="M8" s="322">
        <f>VLOOKUP($A8,[0]!Data,235,FALSE)</f>
        <v>119802</v>
      </c>
      <c r="N8" s="388">
        <f>VLOOKUP($A8,[0]!Data,240,FALSE)</f>
        <v>937098</v>
      </c>
    </row>
    <row r="9" spans="1:18" ht="14.25" x14ac:dyDescent="0.2">
      <c r="A9" s="36" t="s">
        <v>381</v>
      </c>
      <c r="B9" s="36" t="s">
        <v>1507</v>
      </c>
      <c r="C9" s="322">
        <f>VLOOKUP($A9,[0]!Data,209,FALSE)</f>
        <v>34500</v>
      </c>
      <c r="D9" s="322">
        <f>VLOOKUP($A9,[0]!Data,210,FALSE)</f>
        <v>7404</v>
      </c>
      <c r="E9" s="322">
        <f>VLOOKUP($A9,[0]!Data,211,FALSE)</f>
        <v>42978</v>
      </c>
      <c r="F9" s="322">
        <f>VLOOKUP($A9,[0]!Data,213,FALSE)</f>
        <v>558</v>
      </c>
      <c r="G9" s="322">
        <f>VLOOKUP($A9,[0]!Data,214,FALSE)</f>
        <v>85500</v>
      </c>
      <c r="H9" s="322">
        <f>VLOOKUP($A9,[0]!Data,215,FALSE)+VLOOKUP($A9,[0]!Data,226,FALSE)</f>
        <v>6384</v>
      </c>
      <c r="I9" s="322">
        <f>VLOOKUP($A9,[0]!Data,216,FALSE)+VLOOKUP($A9,[0]!Data,229,FALSE)</f>
        <v>19926</v>
      </c>
      <c r="J9" s="322">
        <f>VLOOKUP($A9,[0]!Data,223,FALSE)</f>
        <v>300</v>
      </c>
      <c r="K9" s="322">
        <f>VLOOKUP($A9,[0]!Data,230,FALSE)</f>
        <v>0</v>
      </c>
      <c r="L9" s="322">
        <f>VLOOKUP($A9,[0]!Data,234,FALSE)</f>
        <v>1312</v>
      </c>
      <c r="M9" s="322">
        <f>VLOOKUP($A9,[0]!Data,235,FALSE)</f>
        <v>2044</v>
      </c>
      <c r="N9" s="324">
        <f>VLOOKUP($A9,[0]!Data,240,FALSE)</f>
        <v>113422</v>
      </c>
    </row>
    <row r="10" spans="1:18" ht="14.25" x14ac:dyDescent="0.2">
      <c r="A10" s="36" t="s">
        <v>442</v>
      </c>
      <c r="B10" s="36" t="s">
        <v>1508</v>
      </c>
      <c r="C10" s="322">
        <f>VLOOKUP($A10,[0]!Data,209,FALSE)</f>
        <v>14310</v>
      </c>
      <c r="D10" s="322">
        <f>VLOOKUP($A10,[0]!Data,210,FALSE)</f>
        <v>0</v>
      </c>
      <c r="E10" s="322">
        <f>VLOOKUP($A10,[0]!Data,211,FALSE)</f>
        <v>12985</v>
      </c>
      <c r="F10" s="322">
        <f>VLOOKUP($A10,[0]!Data,213,FALSE)</f>
        <v>17</v>
      </c>
      <c r="G10" s="322">
        <f>VLOOKUP($A10,[0]!Data,214,FALSE)</f>
        <v>27312</v>
      </c>
      <c r="H10" s="322">
        <f>VLOOKUP($A10,[0]!Data,215,FALSE)+VLOOKUP($A10,[0]!Data,226,FALSE)</f>
        <v>1735</v>
      </c>
      <c r="I10" s="322">
        <f>VLOOKUP($A10,[0]!Data,216,FALSE)+VLOOKUP($A10,[0]!Data,229,FALSE)</f>
        <v>3374</v>
      </c>
      <c r="J10" s="322">
        <f>VLOOKUP($A10,[0]!Data,223,FALSE)</f>
        <v>114</v>
      </c>
      <c r="K10" s="322">
        <f>VLOOKUP($A10,[0]!Data,230,FALSE)</f>
        <v>0</v>
      </c>
      <c r="L10" s="322">
        <f>VLOOKUP($A10,[0]!Data,234,FALSE)</f>
        <v>4491</v>
      </c>
      <c r="M10" s="322">
        <f>VLOOKUP($A10,[0]!Data,235,FALSE)</f>
        <v>4978</v>
      </c>
      <c r="N10" s="324">
        <f>VLOOKUP($A10,[0]!Data,240,FALSE)</f>
        <v>37026</v>
      </c>
    </row>
    <row r="11" spans="1:18" ht="14.25" x14ac:dyDescent="0.2">
      <c r="A11" s="36" t="s">
        <v>470</v>
      </c>
      <c r="B11" s="36" t="s">
        <v>1509</v>
      </c>
      <c r="C11" s="322">
        <f>VLOOKUP($A11,[0]!Data,209,FALSE)</f>
        <v>227822</v>
      </c>
      <c r="D11" s="322">
        <f>VLOOKUP($A11,[0]!Data,210,FALSE)</f>
        <v>0</v>
      </c>
      <c r="E11" s="322">
        <f>VLOOKUP($A11,[0]!Data,211,FALSE)</f>
        <v>84862</v>
      </c>
      <c r="F11" s="322">
        <f>VLOOKUP($A11,[0]!Data,213,FALSE)</f>
        <v>750</v>
      </c>
      <c r="G11" s="322">
        <f>VLOOKUP($A11,[0]!Data,214,FALSE)</f>
        <v>313434</v>
      </c>
      <c r="H11" s="322">
        <f>VLOOKUP($A11,[0]!Data,215,FALSE)+VLOOKUP($A11,[0]!Data,226,FALSE)</f>
        <v>18377</v>
      </c>
      <c r="I11" s="322">
        <f>VLOOKUP($A11,[0]!Data,216,FALSE)+VLOOKUP($A11,[0]!Data,229,FALSE)</f>
        <v>36859</v>
      </c>
      <c r="J11" s="322">
        <f>VLOOKUP($A11,[0]!Data,223,FALSE)</f>
        <v>12938</v>
      </c>
      <c r="K11" s="322">
        <f>VLOOKUP($A11,[0]!Data,230,FALSE)</f>
        <v>0</v>
      </c>
      <c r="L11" s="322">
        <f>VLOOKUP($A11,[0]!Data,234,FALSE)</f>
        <v>29018</v>
      </c>
      <c r="M11" s="322">
        <f>VLOOKUP($A11,[0]!Data,235,FALSE)</f>
        <v>43293</v>
      </c>
      <c r="N11" s="324">
        <f>VLOOKUP($A11,[0]!Data,240,FALSE)</f>
        <v>410626</v>
      </c>
    </row>
    <row r="12" spans="1:18" ht="14.25" x14ac:dyDescent="0.2">
      <c r="A12" s="36" t="s">
        <v>484</v>
      </c>
      <c r="B12" s="36" t="s">
        <v>1510</v>
      </c>
      <c r="C12" s="322">
        <f>VLOOKUP($A12,[0]!Data,209,FALSE)</f>
        <v>597246</v>
      </c>
      <c r="D12" s="322">
        <f>VLOOKUP($A12,[0]!Data,210,FALSE)</f>
        <v>41826</v>
      </c>
      <c r="E12" s="322">
        <f>VLOOKUP($A12,[0]!Data,211,FALSE)</f>
        <v>511441</v>
      </c>
      <c r="F12" s="322">
        <f>VLOOKUP($A12,[0]!Data,213,FALSE)</f>
        <v>3</v>
      </c>
      <c r="G12" s="322">
        <f>VLOOKUP($A12,[0]!Data,214,FALSE)</f>
        <v>1153203</v>
      </c>
      <c r="H12" s="322">
        <f>VLOOKUP($A12,[0]!Data,215,FALSE)+VLOOKUP($A12,[0]!Data,226,FALSE)</f>
        <v>278932</v>
      </c>
      <c r="I12" s="322">
        <f>VLOOKUP($A12,[0]!Data,216,FALSE)+VLOOKUP($A12,[0]!Data,229,FALSE)</f>
        <v>166028</v>
      </c>
      <c r="J12" s="322">
        <f>VLOOKUP($A12,[0]!Data,223,FALSE)</f>
        <v>148361</v>
      </c>
      <c r="K12" s="322">
        <f>VLOOKUP($A12,[0]!Data,230,FALSE)</f>
        <v>9099</v>
      </c>
      <c r="L12" s="322">
        <f>VLOOKUP($A12,[0]!Data,234,FALSE)</f>
        <v>156384</v>
      </c>
      <c r="M12" s="322">
        <f>VLOOKUP($A12,[0]!Data,235,FALSE)</f>
        <v>416713</v>
      </c>
      <c r="N12" s="324">
        <f>VLOOKUP($A12,[0]!Data,240,FALSE)</f>
        <v>1913541</v>
      </c>
      <c r="Q12" s="470"/>
      <c r="R12" s="470"/>
    </row>
    <row r="13" spans="1:18" ht="14.25" x14ac:dyDescent="0.2">
      <c r="A13" s="36" t="s">
        <v>497</v>
      </c>
      <c r="B13" s="36" t="s">
        <v>1511</v>
      </c>
      <c r="C13" s="322">
        <f>VLOOKUP($A13,[0]!Data,209,FALSE)</f>
        <v>83467</v>
      </c>
      <c r="D13" s="322">
        <f>VLOOKUP($A13,[0]!Data,210,FALSE)</f>
        <v>12277</v>
      </c>
      <c r="E13" s="322">
        <f>VLOOKUP($A13,[0]!Data,211,FALSE)</f>
        <v>61356</v>
      </c>
      <c r="F13" s="322">
        <f>VLOOKUP($A13,[0]!Data,213,FALSE)</f>
        <v>219</v>
      </c>
      <c r="G13" s="322">
        <f>VLOOKUP($A13,[0]!Data,214,FALSE)</f>
        <v>157342</v>
      </c>
      <c r="H13" s="322">
        <f>VLOOKUP($A13,[0]!Data,215,FALSE)+VLOOKUP($A13,[0]!Data,226,FALSE)</f>
        <v>8251</v>
      </c>
      <c r="I13" s="322">
        <f>VLOOKUP($A13,[0]!Data,216,FALSE)+VLOOKUP($A13,[0]!Data,229,FALSE)</f>
        <v>1421</v>
      </c>
      <c r="J13" s="322">
        <f>VLOOKUP($A13,[0]!Data,223,FALSE)</f>
        <v>15585</v>
      </c>
      <c r="K13" s="322">
        <f>VLOOKUP($A13,[0]!Data,230,FALSE)</f>
        <v>0</v>
      </c>
      <c r="L13" s="322">
        <f>VLOOKUP($A13,[0]!Data,234,FALSE)</f>
        <v>18879</v>
      </c>
      <c r="M13" s="322">
        <f>VLOOKUP($A13,[0]!Data,235,FALSE)</f>
        <v>37093</v>
      </c>
      <c r="N13" s="324">
        <f>VLOOKUP($A13,[0]!Data,240,FALSE)</f>
        <v>207678</v>
      </c>
      <c r="Q13" s="470"/>
    </row>
    <row r="14" spans="1:18" ht="14.25" x14ac:dyDescent="0.2">
      <c r="A14" s="36" t="s">
        <v>509</v>
      </c>
      <c r="B14" s="36" t="s">
        <v>1512</v>
      </c>
      <c r="C14" s="322">
        <f>VLOOKUP($A14,[0]!Data,209,FALSE)</f>
        <v>253376</v>
      </c>
      <c r="D14" s="322">
        <f>VLOOKUP($A14,[0]!Data,210,FALSE)</f>
        <v>19457</v>
      </c>
      <c r="E14" s="322">
        <f>VLOOKUP($A14,[0]!Data,211,FALSE)</f>
        <v>358786</v>
      </c>
      <c r="F14" s="322">
        <f>VLOOKUP($A14,[0]!Data,213,FALSE)</f>
        <v>1004</v>
      </c>
      <c r="G14" s="322">
        <f>VLOOKUP($A14,[0]!Data,214,FALSE)</f>
        <v>632623</v>
      </c>
      <c r="H14" s="322">
        <f>VLOOKUP($A14,[0]!Data,215,FALSE)+VLOOKUP($A14,[0]!Data,226,FALSE)</f>
        <v>41373</v>
      </c>
      <c r="I14" s="322">
        <f>VLOOKUP($A14,[0]!Data,216,FALSE)+VLOOKUP($A14,[0]!Data,229,FALSE)</f>
        <v>52854</v>
      </c>
      <c r="J14" s="322">
        <f>VLOOKUP($A14,[0]!Data,223,FALSE)</f>
        <v>11421</v>
      </c>
      <c r="K14" s="322">
        <f>VLOOKUP($A14,[0]!Data,230,FALSE)</f>
        <v>3970</v>
      </c>
      <c r="L14" s="322">
        <f>VLOOKUP($A14,[0]!Data,234,FALSE)</f>
        <v>50391</v>
      </c>
      <c r="M14" s="322">
        <f>VLOOKUP($A14,[0]!Data,235,FALSE)</f>
        <v>80404</v>
      </c>
      <c r="N14" s="324">
        <f>VLOOKUP($A14,[0]!Data,240,FALSE)</f>
        <v>815965</v>
      </c>
    </row>
    <row r="15" spans="1:18" ht="14.25" x14ac:dyDescent="0.2">
      <c r="A15" s="36" t="s">
        <v>521</v>
      </c>
      <c r="B15" s="36" t="s">
        <v>1513</v>
      </c>
      <c r="C15" s="322">
        <f>VLOOKUP($A15,[0]!Data,209,FALSE)</f>
        <v>97180</v>
      </c>
      <c r="D15" s="322">
        <f>VLOOKUP($A15,[0]!Data,210,FALSE)</f>
        <v>10971</v>
      </c>
      <c r="E15" s="322">
        <f>VLOOKUP($A15,[0]!Data,211,FALSE)</f>
        <v>63104</v>
      </c>
      <c r="F15" s="322">
        <f>VLOOKUP($A15,[0]!Data,213,FALSE)</f>
        <v>3830</v>
      </c>
      <c r="G15" s="322">
        <f>VLOOKUP($A15,[0]!Data,214,FALSE)</f>
        <v>175293</v>
      </c>
      <c r="H15" s="322">
        <f>VLOOKUP($A15,[0]!Data,215,FALSE)+VLOOKUP($A15,[0]!Data,226,FALSE)</f>
        <v>19306</v>
      </c>
      <c r="I15" s="322">
        <f>VLOOKUP($A15,[0]!Data,216,FALSE)+VLOOKUP($A15,[0]!Data,229,FALSE)</f>
        <v>53348</v>
      </c>
      <c r="J15" s="322">
        <f>VLOOKUP($A15,[0]!Data,223,FALSE)</f>
        <v>16086</v>
      </c>
      <c r="K15" s="322">
        <f>VLOOKUP($A15,[0]!Data,230,FALSE)</f>
        <v>425</v>
      </c>
      <c r="L15" s="322">
        <f>VLOOKUP($A15,[0]!Data,234,FALSE)</f>
        <v>22249</v>
      </c>
      <c r="M15" s="322">
        <f>VLOOKUP($A15,[0]!Data,235,FALSE)</f>
        <v>48697</v>
      </c>
      <c r="N15" s="324">
        <f>VLOOKUP($A15,[0]!Data,240,FALSE)</f>
        <v>286709</v>
      </c>
    </row>
    <row r="16" spans="1:18" ht="14.25" x14ac:dyDescent="0.2">
      <c r="A16" s="36" t="s">
        <v>531</v>
      </c>
      <c r="B16" s="36" t="s">
        <v>1514</v>
      </c>
      <c r="C16" s="322">
        <f>VLOOKUP($A16,[0]!Data,209,FALSE)</f>
        <v>17535</v>
      </c>
      <c r="D16" s="322">
        <f>VLOOKUP($A16,[0]!Data,210,FALSE)</f>
        <v>3849</v>
      </c>
      <c r="E16" s="322">
        <f>VLOOKUP($A16,[0]!Data,211,FALSE)</f>
        <v>16089</v>
      </c>
      <c r="F16" s="322">
        <f>VLOOKUP($A16,[0]!Data,213,FALSE)</f>
        <v>600</v>
      </c>
      <c r="G16" s="322">
        <f>VLOOKUP($A16,[0]!Data,214,FALSE)</f>
        <v>41578</v>
      </c>
      <c r="H16" s="322">
        <f>VLOOKUP($A16,[0]!Data,215,FALSE)+VLOOKUP($A16,[0]!Data,226,FALSE)</f>
        <v>1647</v>
      </c>
      <c r="I16" s="322">
        <f>VLOOKUP($A16,[0]!Data,216,FALSE)+VLOOKUP($A16,[0]!Data,229,FALSE)</f>
        <v>8925</v>
      </c>
      <c r="J16" s="322">
        <f>VLOOKUP($A16,[0]!Data,223,FALSE)</f>
        <v>1963</v>
      </c>
      <c r="K16" s="322">
        <f>VLOOKUP($A16,[0]!Data,230,FALSE)</f>
        <v>-1</v>
      </c>
      <c r="L16" s="322">
        <f>VLOOKUP($A16,[0]!Data,234,FALSE)</f>
        <v>76</v>
      </c>
      <c r="M16" s="322">
        <f>VLOOKUP($A16,[0]!Data,235,FALSE)</f>
        <v>2465</v>
      </c>
      <c r="N16" s="324">
        <f>VLOOKUP($A16,[0]!Data,240,FALSE)</f>
        <v>54190</v>
      </c>
    </row>
    <row r="17" spans="1:14" ht="14.25" x14ac:dyDescent="0.2">
      <c r="A17" s="36" t="s">
        <v>544</v>
      </c>
      <c r="B17" s="36" t="s">
        <v>1515</v>
      </c>
      <c r="C17" s="322">
        <f>VLOOKUP($A17,[0]!Data,209,FALSE)</f>
        <v>156320</v>
      </c>
      <c r="D17" s="322">
        <f>VLOOKUP($A17,[0]!Data,210,FALSE)</f>
        <v>19926</v>
      </c>
      <c r="E17" s="322">
        <f>VLOOKUP($A17,[0]!Data,211,FALSE)</f>
        <v>139382</v>
      </c>
      <c r="F17" s="322">
        <f>VLOOKUP($A17,[0]!Data,213,FALSE)</f>
        <v>5014</v>
      </c>
      <c r="G17" s="322">
        <f>VLOOKUP($A17,[0]!Data,214,FALSE)</f>
        <v>320642</v>
      </c>
      <c r="H17" s="322">
        <f>VLOOKUP($A17,[0]!Data,215,FALSE)+VLOOKUP($A17,[0]!Data,226,FALSE)</f>
        <v>45064</v>
      </c>
      <c r="I17" s="322">
        <f>VLOOKUP($A17,[0]!Data,216,FALSE)+VLOOKUP($A17,[0]!Data,229,FALSE)</f>
        <v>164837</v>
      </c>
      <c r="J17" s="322">
        <f>VLOOKUP($A17,[0]!Data,223,FALSE)</f>
        <v>23793</v>
      </c>
      <c r="K17" s="322">
        <f>VLOOKUP($A17,[0]!Data,230,FALSE)</f>
        <v>518</v>
      </c>
      <c r="L17" s="322">
        <f>VLOOKUP($A17,[0]!Data,234,FALSE)</f>
        <v>111132</v>
      </c>
      <c r="M17" s="322">
        <f>VLOOKUP($A17,[0]!Data,235,FALSE)</f>
        <v>161433</v>
      </c>
      <c r="N17" s="324">
        <f>VLOOKUP($A17,[0]!Data,240,FALSE)</f>
        <v>665986</v>
      </c>
    </row>
    <row r="18" spans="1:14" ht="14.25" x14ac:dyDescent="0.2">
      <c r="A18" s="36" t="s">
        <v>590</v>
      </c>
      <c r="B18" s="36" t="s">
        <v>1516</v>
      </c>
      <c r="C18" s="322">
        <f>VLOOKUP($A18,[0]!Data,209,FALSE)</f>
        <v>82568</v>
      </c>
      <c r="D18" s="322">
        <f>VLOOKUP($A18,[0]!Data,210,FALSE)</f>
        <v>8557</v>
      </c>
      <c r="E18" s="322">
        <f>VLOOKUP($A18,[0]!Data,211,FALSE)</f>
        <v>89240</v>
      </c>
      <c r="F18" s="322">
        <f>VLOOKUP($A18,[0]!Data,213,FALSE)</f>
        <v>2225</v>
      </c>
      <c r="G18" s="322">
        <f>VLOOKUP($A18,[0]!Data,214,FALSE)</f>
        <v>182590</v>
      </c>
      <c r="H18" s="322">
        <f>VLOOKUP($A18,[0]!Data,215,FALSE)+VLOOKUP($A18,[0]!Data,226,FALSE)</f>
        <v>16313</v>
      </c>
      <c r="I18" s="322">
        <f>VLOOKUP($A18,[0]!Data,216,FALSE)+VLOOKUP($A18,[0]!Data,229,FALSE)</f>
        <v>38153</v>
      </c>
      <c r="J18" s="322">
        <f>VLOOKUP($A18,[0]!Data,223,FALSE)</f>
        <v>29316</v>
      </c>
      <c r="K18" s="322">
        <f>VLOOKUP($A18,[0]!Data,230,FALSE)</f>
        <v>1275</v>
      </c>
      <c r="L18" s="322">
        <f>VLOOKUP($A18,[0]!Data,234,FALSE)</f>
        <v>8013</v>
      </c>
      <c r="M18" s="322">
        <f>VLOOKUP($A18,[0]!Data,235,FALSE)</f>
        <v>42953</v>
      </c>
      <c r="N18" s="324">
        <f>VLOOKUP($A18,[0]!Data,240,FALSE)</f>
        <v>275659</v>
      </c>
    </row>
    <row r="19" spans="1:14" ht="14.25" x14ac:dyDescent="0.2">
      <c r="A19" s="36" t="s">
        <v>604</v>
      </c>
      <c r="B19" s="36" t="s">
        <v>1517</v>
      </c>
      <c r="C19" s="322">
        <f>VLOOKUP($A19,[0]!Data,209,FALSE)</f>
        <v>76580</v>
      </c>
      <c r="D19" s="322">
        <f>VLOOKUP($A19,[0]!Data,210,FALSE)</f>
        <v>6737</v>
      </c>
      <c r="E19" s="322">
        <f>VLOOKUP($A19,[0]!Data,211,FALSE)</f>
        <v>60429</v>
      </c>
      <c r="F19" s="322">
        <f>VLOOKUP($A19,[0]!Data,213,FALSE)</f>
        <v>8</v>
      </c>
      <c r="G19" s="322">
        <f>VLOOKUP($A19,[0]!Data,214,FALSE)</f>
        <v>144141</v>
      </c>
      <c r="H19" s="322">
        <f>VLOOKUP($A19,[0]!Data,215,FALSE)+VLOOKUP($A19,[0]!Data,226,FALSE)</f>
        <v>26724</v>
      </c>
      <c r="I19" s="322">
        <f>VLOOKUP($A19,[0]!Data,216,FALSE)+VLOOKUP($A19,[0]!Data,229,FALSE)</f>
        <v>19028</v>
      </c>
      <c r="J19" s="322">
        <f>VLOOKUP($A19,[0]!Data,223,FALSE)</f>
        <v>12170</v>
      </c>
      <c r="K19" s="322">
        <f>VLOOKUP($A19,[0]!Data,230,FALSE)</f>
        <v>0</v>
      </c>
      <c r="L19" s="322">
        <f>VLOOKUP($A19,[0]!Data,234,FALSE)</f>
        <v>22493</v>
      </c>
      <c r="M19" s="322">
        <f>VLOOKUP($A19,[0]!Data,235,FALSE)</f>
        <v>36360</v>
      </c>
      <c r="N19" s="324">
        <f>VLOOKUP($A19,[0]!Data,240,FALSE)</f>
        <v>229934</v>
      </c>
    </row>
    <row r="20" spans="1:14" ht="14.25" x14ac:dyDescent="0.2">
      <c r="A20" s="36" t="s">
        <v>617</v>
      </c>
      <c r="B20" s="36" t="s">
        <v>1518</v>
      </c>
      <c r="C20" s="322">
        <f>VLOOKUP($A20,[0]!Data,209,FALSE)</f>
        <v>64983</v>
      </c>
      <c r="D20" s="322">
        <f>VLOOKUP($A20,[0]!Data,210,FALSE)</f>
        <v>0</v>
      </c>
      <c r="E20" s="322">
        <f>VLOOKUP($A20,[0]!Data,211,FALSE)</f>
        <v>24012</v>
      </c>
      <c r="F20" s="322">
        <f>VLOOKUP($A20,[0]!Data,213,FALSE)</f>
        <v>1810</v>
      </c>
      <c r="G20" s="322">
        <f>VLOOKUP($A20,[0]!Data,214,FALSE)</f>
        <v>90805</v>
      </c>
      <c r="H20" s="322">
        <f>VLOOKUP($A20,[0]!Data,215,FALSE)+VLOOKUP($A20,[0]!Data,226,FALSE)</f>
        <v>2475</v>
      </c>
      <c r="I20" s="322">
        <f>VLOOKUP($A20,[0]!Data,216,FALSE)+VLOOKUP($A20,[0]!Data,229,FALSE)</f>
        <v>11777</v>
      </c>
      <c r="J20" s="322">
        <f>VLOOKUP($A20,[0]!Data,223,FALSE)</f>
        <v>2537</v>
      </c>
      <c r="K20" s="322">
        <f>VLOOKUP($A20,[0]!Data,230,FALSE)</f>
        <v>0</v>
      </c>
      <c r="L20" s="322">
        <f>VLOOKUP($A20,[0]!Data,234,FALSE)</f>
        <v>3641</v>
      </c>
      <c r="M20" s="322">
        <f>VLOOKUP($A20,[0]!Data,235,FALSE)</f>
        <v>6658</v>
      </c>
      <c r="N20" s="324">
        <f>VLOOKUP($A20,[0]!Data,240,FALSE)</f>
        <v>111235</v>
      </c>
    </row>
    <row r="21" spans="1:14" ht="14.25" x14ac:dyDescent="0.2">
      <c r="A21" s="36" t="s">
        <v>645</v>
      </c>
      <c r="B21" s="36" t="s">
        <v>1519</v>
      </c>
      <c r="C21" s="322">
        <f>VLOOKUP($A21,[0]!Data,209,FALSE)</f>
        <v>464595</v>
      </c>
      <c r="D21" s="322">
        <f>VLOOKUP($A21,[0]!Data,210,FALSE)</f>
        <v>87741</v>
      </c>
      <c r="E21" s="322">
        <f>VLOOKUP($A21,[0]!Data,211,FALSE)</f>
        <v>589174</v>
      </c>
      <c r="F21" s="322">
        <f>VLOOKUP($A21,[0]!Data,213,FALSE)</f>
        <v>13488</v>
      </c>
      <c r="G21" s="322">
        <f>VLOOKUP($A21,[0]!Data,214,FALSE)</f>
        <v>1161038</v>
      </c>
      <c r="H21" s="322">
        <f>VLOOKUP($A21,[0]!Data,215,FALSE)+VLOOKUP($A21,[0]!Data,226,FALSE)</f>
        <v>117448</v>
      </c>
      <c r="I21" s="322">
        <f>VLOOKUP($A21,[0]!Data,216,FALSE)+VLOOKUP($A21,[0]!Data,229,FALSE)</f>
        <v>253441</v>
      </c>
      <c r="J21" s="322">
        <f>VLOOKUP($A21,[0]!Data,223,FALSE)</f>
        <v>91437</v>
      </c>
      <c r="K21" s="322">
        <f>VLOOKUP($A21,[0]!Data,230,FALSE)</f>
        <v>5129</v>
      </c>
      <c r="L21" s="322">
        <f>VLOOKUP($A21,[0]!Data,234,FALSE)</f>
        <v>295235</v>
      </c>
      <c r="M21" s="322">
        <f>VLOOKUP($A21,[0]!Data,235,FALSE)</f>
        <v>427483</v>
      </c>
      <c r="N21" s="324">
        <f>VLOOKUP($A21,[0]!Data,240,FALSE)</f>
        <v>1923728</v>
      </c>
    </row>
    <row r="22" spans="1:14" ht="14.25" x14ac:dyDescent="0.2">
      <c r="A22" s="36" t="s">
        <v>658</v>
      </c>
      <c r="B22" s="36" t="s">
        <v>1520</v>
      </c>
      <c r="C22" s="322">
        <f>VLOOKUP($A22,[0]!Data,209,FALSE)</f>
        <v>191829</v>
      </c>
      <c r="D22" s="322">
        <f>VLOOKUP($A22,[0]!Data,210,FALSE)</f>
        <v>18581</v>
      </c>
      <c r="E22" s="322">
        <f>VLOOKUP($A22,[0]!Data,211,FALSE)</f>
        <v>131755</v>
      </c>
      <c r="F22" s="322">
        <f>VLOOKUP($A22,[0]!Data,213,FALSE)</f>
        <v>819</v>
      </c>
      <c r="G22" s="322">
        <f>VLOOKUP($A22,[0]!Data,214,FALSE)</f>
        <v>345957</v>
      </c>
      <c r="H22" s="322">
        <f>VLOOKUP($A22,[0]!Data,215,FALSE)+VLOOKUP($A22,[0]!Data,226,FALSE)</f>
        <v>31470</v>
      </c>
      <c r="I22" s="322">
        <f>VLOOKUP($A22,[0]!Data,216,FALSE)+VLOOKUP($A22,[0]!Data,229,FALSE)</f>
        <v>105020</v>
      </c>
      <c r="J22" s="322">
        <f>VLOOKUP($A22,[0]!Data,223,FALSE)</f>
        <v>59477</v>
      </c>
      <c r="K22" s="322">
        <f>VLOOKUP($A22,[0]!Data,230,FALSE)</f>
        <v>2522</v>
      </c>
      <c r="L22" s="322">
        <f>VLOOKUP($A22,[0]!Data,234,FALSE)</f>
        <v>31371</v>
      </c>
      <c r="M22" s="322">
        <f>VLOOKUP($A22,[0]!Data,235,FALSE)</f>
        <v>107304</v>
      </c>
      <c r="N22" s="324">
        <f>VLOOKUP($A22,[0]!Data,240,FALSE)</f>
        <v>575881</v>
      </c>
    </row>
    <row r="23" spans="1:14" ht="14.25" x14ac:dyDescent="0.2">
      <c r="A23" s="36" t="s">
        <v>674</v>
      </c>
      <c r="B23" s="36" t="s">
        <v>1521</v>
      </c>
      <c r="C23" s="322">
        <f>VLOOKUP($A23,[0]!Data,209,FALSE)</f>
        <v>32489</v>
      </c>
      <c r="D23" s="322">
        <f>VLOOKUP($A23,[0]!Data,210,FALSE)</f>
        <v>3296</v>
      </c>
      <c r="E23" s="322">
        <f>VLOOKUP($A23,[0]!Data,211,FALSE)</f>
        <v>32421</v>
      </c>
      <c r="F23" s="322">
        <f>VLOOKUP($A23,[0]!Data,213,FALSE)</f>
        <v>292</v>
      </c>
      <c r="G23" s="322">
        <f>VLOOKUP($A23,[0]!Data,214,FALSE)</f>
        <v>69658</v>
      </c>
      <c r="H23" s="322">
        <f>VLOOKUP($A23,[0]!Data,215,FALSE)+VLOOKUP($A23,[0]!Data,226,FALSE)</f>
        <v>5751</v>
      </c>
      <c r="I23" s="322">
        <f>VLOOKUP($A23,[0]!Data,216,FALSE)+VLOOKUP($A23,[0]!Data,229,FALSE)</f>
        <v>7635</v>
      </c>
      <c r="J23" s="322">
        <f>VLOOKUP($A23,[0]!Data,223,FALSE)</f>
        <v>9372</v>
      </c>
      <c r="K23" s="322">
        <f>VLOOKUP($A23,[0]!Data,230,FALSE)</f>
        <v>0</v>
      </c>
      <c r="L23" s="322">
        <f>VLOOKUP($A23,[0]!Data,234,FALSE)</f>
        <v>17076</v>
      </c>
      <c r="M23" s="322">
        <f>VLOOKUP($A23,[0]!Data,235,FALSE)</f>
        <v>27261</v>
      </c>
      <c r="N23" s="324">
        <f>VLOOKUP($A23,[0]!Data,240,FALSE)</f>
        <v>110993</v>
      </c>
    </row>
    <row r="24" spans="1:14" ht="14.25" x14ac:dyDescent="0.2">
      <c r="A24" s="36" t="s">
        <v>686</v>
      </c>
      <c r="B24" s="36" t="s">
        <v>1522</v>
      </c>
      <c r="C24" s="322">
        <f>VLOOKUP($A24,[0]!Data,209,FALSE)</f>
        <v>27056</v>
      </c>
      <c r="D24" s="322">
        <f>VLOOKUP($A24,[0]!Data,210,FALSE)</f>
        <v>791</v>
      </c>
      <c r="E24" s="322">
        <f>VLOOKUP($A24,[0]!Data,211,FALSE)</f>
        <v>16215</v>
      </c>
      <c r="F24" s="322">
        <f>VLOOKUP($A24,[0]!Data,213,FALSE)</f>
        <v>148</v>
      </c>
      <c r="G24" s="322">
        <f>VLOOKUP($A24,[0]!Data,214,FALSE)</f>
        <v>44210</v>
      </c>
      <c r="H24" s="322">
        <f>VLOOKUP($A24,[0]!Data,215,FALSE)+VLOOKUP($A24,[0]!Data,226,FALSE)</f>
        <v>2239</v>
      </c>
      <c r="I24" s="322">
        <f>VLOOKUP($A24,[0]!Data,216,FALSE)+VLOOKUP($A24,[0]!Data,229,FALSE)</f>
        <v>8594</v>
      </c>
      <c r="J24" s="322">
        <f>VLOOKUP($A24,[0]!Data,223,FALSE)</f>
        <v>3699</v>
      </c>
      <c r="K24" s="322">
        <f>VLOOKUP($A24,[0]!Data,230,FALSE)</f>
        <v>0</v>
      </c>
      <c r="L24" s="322">
        <f>VLOOKUP($A24,[0]!Data,234,FALSE)</f>
        <v>1971</v>
      </c>
      <c r="M24" s="322">
        <f>VLOOKUP($A24,[0]!Data,235,FALSE)</f>
        <v>5857</v>
      </c>
      <c r="N24" s="324">
        <f>VLOOKUP($A24,[0]!Data,240,FALSE)</f>
        <v>60713</v>
      </c>
    </row>
    <row r="25" spans="1:14" ht="14.25" x14ac:dyDescent="0.2">
      <c r="A25" s="36" t="s">
        <v>699</v>
      </c>
      <c r="B25" s="36" t="s">
        <v>1523</v>
      </c>
      <c r="C25" s="322">
        <f>VLOOKUP($A25,[0]!Data,209,FALSE)</f>
        <v>811764</v>
      </c>
      <c r="D25" s="322">
        <f>VLOOKUP($A25,[0]!Data,210,FALSE)</f>
        <v>79980</v>
      </c>
      <c r="E25" s="322">
        <f>VLOOKUP($A25,[0]!Data,211,FALSE)</f>
        <v>1029035</v>
      </c>
      <c r="F25" s="322">
        <f>VLOOKUP($A25,[0]!Data,213,FALSE)</f>
        <v>0</v>
      </c>
      <c r="G25" s="322">
        <f>VLOOKUP($A25,[0]!Data,214,FALSE)</f>
        <v>1920779</v>
      </c>
      <c r="H25" s="322">
        <f>VLOOKUP($A25,[0]!Data,215,FALSE)+VLOOKUP($A25,[0]!Data,226,FALSE)</f>
        <v>225961</v>
      </c>
      <c r="I25" s="322">
        <f>VLOOKUP($A25,[0]!Data,216,FALSE)+VLOOKUP($A25,[0]!Data,229,FALSE)</f>
        <v>589035</v>
      </c>
      <c r="J25" s="322">
        <f>VLOOKUP($A25,[0]!Data,223,FALSE)</f>
        <v>107910</v>
      </c>
      <c r="K25" s="322">
        <f>VLOOKUP($A25,[0]!Data,230,FALSE)</f>
        <v>16771</v>
      </c>
      <c r="L25" s="322">
        <f>VLOOKUP($A25,[0]!Data,234,FALSE)</f>
        <v>221288</v>
      </c>
      <c r="M25" s="322">
        <f>VLOOKUP($A25,[0]!Data,235,FALSE)</f>
        <v>418675</v>
      </c>
      <c r="N25" s="324">
        <f>VLOOKUP($A25,[0]!Data,240,FALSE)</f>
        <v>3102878</v>
      </c>
    </row>
    <row r="26" spans="1:14" ht="14.25" x14ac:dyDescent="0.2">
      <c r="A26" s="36" t="s">
        <v>729</v>
      </c>
      <c r="B26" s="36" t="s">
        <v>1524</v>
      </c>
      <c r="C26" s="322">
        <f>VLOOKUP($A26,[0]!Data,209,FALSE)</f>
        <v>34059</v>
      </c>
      <c r="D26" s="322">
        <f>VLOOKUP($A26,[0]!Data,210,FALSE)</f>
        <v>2264</v>
      </c>
      <c r="E26" s="322">
        <f>VLOOKUP($A26,[0]!Data,211,FALSE)</f>
        <v>20199</v>
      </c>
      <c r="F26" s="322">
        <f>VLOOKUP($A26,[0]!Data,213,FALSE)</f>
        <v>119</v>
      </c>
      <c r="G26" s="322">
        <f>VLOOKUP($A26,[0]!Data,214,FALSE)</f>
        <v>56641</v>
      </c>
      <c r="H26" s="322">
        <f>VLOOKUP($A26,[0]!Data,215,FALSE)+VLOOKUP($A26,[0]!Data,226,FALSE)</f>
        <v>1171</v>
      </c>
      <c r="I26" s="322">
        <f>VLOOKUP($A26,[0]!Data,216,FALSE)+VLOOKUP($A26,[0]!Data,229,FALSE)</f>
        <v>807</v>
      </c>
      <c r="J26" s="322">
        <f>VLOOKUP($A26,[0]!Data,223,FALSE)</f>
        <v>328</v>
      </c>
      <c r="K26" s="322">
        <f>VLOOKUP($A26,[0]!Data,230,FALSE)</f>
        <v>0</v>
      </c>
      <c r="L26" s="322">
        <f>VLOOKUP($A26,[0]!Data,234,FALSE)</f>
        <v>15266</v>
      </c>
      <c r="M26" s="322">
        <f>VLOOKUP($A26,[0]!Data,235,FALSE)</f>
        <v>15731</v>
      </c>
      <c r="N26" s="324">
        <f>VLOOKUP($A26,[0]!Data,240,FALSE)</f>
        <v>74213</v>
      </c>
    </row>
    <row r="27" spans="1:14" ht="14.25" x14ac:dyDescent="0.2">
      <c r="A27" s="36" t="s">
        <v>774</v>
      </c>
      <c r="B27" s="36" t="s">
        <v>1525</v>
      </c>
      <c r="C27" s="322">
        <f>VLOOKUP($A27,[0]!Data,209,FALSE)</f>
        <v>509785</v>
      </c>
      <c r="D27" s="322">
        <f>VLOOKUP($A27,[0]!Data,210,FALSE)</f>
        <v>39725</v>
      </c>
      <c r="E27" s="322">
        <f>VLOOKUP($A27,[0]!Data,211,FALSE)</f>
        <v>414467</v>
      </c>
      <c r="F27" s="322">
        <f>VLOOKUP($A27,[0]!Data,213,FALSE)</f>
        <v>18149</v>
      </c>
      <c r="G27" s="322">
        <f>VLOOKUP($A27,[0]!Data,214,FALSE)</f>
        <v>1082936</v>
      </c>
      <c r="H27" s="322">
        <f>VLOOKUP($A27,[0]!Data,215,FALSE)+VLOOKUP($A27,[0]!Data,226,FALSE)</f>
        <v>140765</v>
      </c>
      <c r="I27" s="322">
        <f>VLOOKUP($A27,[0]!Data,216,FALSE)+VLOOKUP($A27,[0]!Data,229,FALSE)</f>
        <v>196005</v>
      </c>
      <c r="J27" s="322">
        <f>VLOOKUP($A27,[0]!Data,223,FALSE)</f>
        <v>113073</v>
      </c>
      <c r="K27" s="322">
        <f>VLOOKUP($A27,[0]!Data,230,FALSE)</f>
        <v>2070</v>
      </c>
      <c r="L27" s="322">
        <f>VLOOKUP($A27,[0]!Data,234,FALSE)</f>
        <v>456325</v>
      </c>
      <c r="M27" s="322">
        <f>VLOOKUP($A27,[0]!Data,235,FALSE)</f>
        <v>631081</v>
      </c>
      <c r="N27" s="324">
        <f>VLOOKUP($A27,[0]!Data,240,FALSE)</f>
        <v>1991202</v>
      </c>
    </row>
    <row r="28" spans="1:14" ht="14.25" x14ac:dyDescent="0.2">
      <c r="A28" s="36" t="s">
        <v>788</v>
      </c>
      <c r="B28" s="36" t="s">
        <v>1526</v>
      </c>
      <c r="C28" s="322">
        <f>VLOOKUP($A28,[0]!Data,209,FALSE)</f>
        <v>48474</v>
      </c>
      <c r="D28" s="322">
        <f>VLOOKUP($A28,[0]!Data,210,FALSE)</f>
        <v>5118</v>
      </c>
      <c r="E28" s="322">
        <f>VLOOKUP($A28,[0]!Data,211,FALSE)</f>
        <v>50864</v>
      </c>
      <c r="F28" s="322">
        <f>VLOOKUP($A28,[0]!Data,213,FALSE)</f>
        <v>1821</v>
      </c>
      <c r="G28" s="322">
        <f>VLOOKUP($A28,[0]!Data,214,FALSE)</f>
        <v>106780</v>
      </c>
      <c r="H28" s="322">
        <f>VLOOKUP($A28,[0]!Data,215,FALSE)+VLOOKUP($A28,[0]!Data,226,FALSE)</f>
        <v>15749</v>
      </c>
      <c r="I28" s="322">
        <f>VLOOKUP($A28,[0]!Data,216,FALSE)+VLOOKUP($A28,[0]!Data,229,FALSE)</f>
        <v>15564</v>
      </c>
      <c r="J28" s="322">
        <f>VLOOKUP($A28,[0]!Data,223,FALSE)</f>
        <v>6462</v>
      </c>
      <c r="K28" s="322">
        <f>VLOOKUP($A28,[0]!Data,230,FALSE)</f>
        <v>0</v>
      </c>
      <c r="L28" s="322">
        <f>VLOOKUP($A28,[0]!Data,234,FALSE)</f>
        <v>7324</v>
      </c>
      <c r="M28" s="322">
        <f>VLOOKUP($A28,[0]!Data,235,FALSE)</f>
        <v>14856</v>
      </c>
      <c r="N28" s="324">
        <f>VLOOKUP($A28,[0]!Data,240,FALSE)</f>
        <v>179603</v>
      </c>
    </row>
    <row r="29" spans="1:14" ht="14.25" x14ac:dyDescent="0.2">
      <c r="A29" s="36" t="s">
        <v>802</v>
      </c>
      <c r="B29" s="36" t="s">
        <v>817</v>
      </c>
      <c r="C29" s="322">
        <f>VLOOKUP($A29,[0]!Data,209,FALSE)</f>
        <v>350358</v>
      </c>
      <c r="D29" s="322">
        <f>VLOOKUP($A29,[0]!Data,210,FALSE)</f>
        <v>43516</v>
      </c>
      <c r="E29" s="322">
        <f>VLOOKUP($A29,[0]!Data,211,FALSE)</f>
        <v>356613</v>
      </c>
      <c r="F29" s="322">
        <f>VLOOKUP($A29,[0]!Data,213,FALSE)</f>
        <v>0</v>
      </c>
      <c r="G29" s="322">
        <f>VLOOKUP($A29,[0]!Data,214,FALSE)</f>
        <v>750487</v>
      </c>
      <c r="H29" s="322">
        <f>VLOOKUP($A29,[0]!Data,215,FALSE)+VLOOKUP($A29,[0]!Data,226,FALSE)</f>
        <v>64791</v>
      </c>
      <c r="I29" s="322">
        <f>VLOOKUP($A29,[0]!Data,216,FALSE)+VLOOKUP($A29,[0]!Data,229,FALSE)</f>
        <v>192849</v>
      </c>
      <c r="J29" s="322">
        <f>VLOOKUP($A29,[0]!Data,223,FALSE)</f>
        <v>48469</v>
      </c>
      <c r="K29" s="322">
        <f>VLOOKUP($A29,[0]!Data,230,FALSE)</f>
        <v>2556</v>
      </c>
      <c r="L29" s="322">
        <f>VLOOKUP($A29,[0]!Data,234,FALSE)</f>
        <v>134200</v>
      </c>
      <c r="M29" s="322">
        <f>VLOOKUP($A29,[0]!Data,235,FALSE)</f>
        <v>208310</v>
      </c>
      <c r="N29" s="324">
        <f>VLOOKUP($A29,[0]!Data,240,FALSE)</f>
        <v>1196374</v>
      </c>
    </row>
    <row r="30" spans="1:14" ht="14.25" x14ac:dyDescent="0.2">
      <c r="A30" s="36" t="s">
        <v>828</v>
      </c>
      <c r="B30" s="36" t="s">
        <v>1527</v>
      </c>
      <c r="C30" s="322">
        <f>VLOOKUP($A30,[0]!Data,209,FALSE)</f>
        <v>53120</v>
      </c>
      <c r="D30" s="322">
        <f>VLOOKUP($A30,[0]!Data,210,FALSE)</f>
        <v>6436</v>
      </c>
      <c r="E30" s="322">
        <f>VLOOKUP($A30,[0]!Data,211,FALSE)</f>
        <v>48211</v>
      </c>
      <c r="F30" s="322">
        <f>VLOOKUP($A30,[0]!Data,213,FALSE)</f>
        <v>1286</v>
      </c>
      <c r="G30" s="322">
        <f>VLOOKUP($A30,[0]!Data,214,FALSE)</f>
        <v>109053</v>
      </c>
      <c r="H30" s="322">
        <f>VLOOKUP($A30,[0]!Data,215,FALSE)+VLOOKUP($A30,[0]!Data,226,FALSE)</f>
        <v>4864</v>
      </c>
      <c r="I30" s="322">
        <f>VLOOKUP($A30,[0]!Data,216,FALSE)+VLOOKUP($A30,[0]!Data,229,FALSE)</f>
        <v>23001</v>
      </c>
      <c r="J30" s="322">
        <f>VLOOKUP($A30,[0]!Data,223,FALSE)</f>
        <v>10908</v>
      </c>
      <c r="K30" s="322">
        <f>VLOOKUP($A30,[0]!Data,230,FALSE)</f>
        <v>0</v>
      </c>
      <c r="L30" s="322">
        <f>VLOOKUP($A30,[0]!Data,234,FALSE)</f>
        <v>12791</v>
      </c>
      <c r="M30" s="322">
        <f>VLOOKUP($A30,[0]!Data,235,FALSE)</f>
        <v>24807</v>
      </c>
      <c r="N30" s="324">
        <f>VLOOKUP($A30,[0]!Data,240,FALSE)</f>
        <v>161651</v>
      </c>
    </row>
    <row r="31" spans="1:14" ht="14.25" x14ac:dyDescent="0.2">
      <c r="A31" s="36" t="s">
        <v>842</v>
      </c>
      <c r="B31" s="36" t="s">
        <v>1528</v>
      </c>
      <c r="C31" s="322">
        <f>VLOOKUP($A31,[0]!Data,209,FALSE)</f>
        <v>375357</v>
      </c>
      <c r="D31" s="322">
        <f>VLOOKUP($A31,[0]!Data,210,FALSE)</f>
        <v>63810</v>
      </c>
      <c r="E31" s="322">
        <f>VLOOKUP($A31,[0]!Data,211,FALSE)</f>
        <v>658763</v>
      </c>
      <c r="F31" s="322">
        <f>VLOOKUP($A31,[0]!Data,213,FALSE)</f>
        <v>0</v>
      </c>
      <c r="G31" s="322">
        <f>VLOOKUP($A31,[0]!Data,214,FALSE)</f>
        <v>1097930</v>
      </c>
      <c r="H31" s="322">
        <f>VLOOKUP($A31,[0]!Data,215,FALSE)+VLOOKUP($A31,[0]!Data,226,FALSE)</f>
        <v>147051</v>
      </c>
      <c r="I31" s="322">
        <f>VLOOKUP($A31,[0]!Data,216,FALSE)+VLOOKUP($A31,[0]!Data,229,FALSE)</f>
        <v>301423</v>
      </c>
      <c r="J31" s="322">
        <f>VLOOKUP($A31,[0]!Data,223,FALSE)</f>
        <v>201514</v>
      </c>
      <c r="K31" s="322">
        <f>VLOOKUP($A31,[0]!Data,230,FALSE)</f>
        <v>3308</v>
      </c>
      <c r="L31" s="322">
        <f>VLOOKUP($A31,[0]!Data,234,FALSE)</f>
        <v>425923</v>
      </c>
      <c r="M31" s="322">
        <f>VLOOKUP($A31,[0]!Data,235,FALSE)</f>
        <v>725174</v>
      </c>
      <c r="N31" s="324">
        <f>VLOOKUP($A31,[0]!Data,240,FALSE)</f>
        <v>2181118</v>
      </c>
    </row>
    <row r="32" spans="1:14" ht="14.25" x14ac:dyDescent="0.2">
      <c r="A32" s="36" t="s">
        <v>857</v>
      </c>
      <c r="B32" s="36" t="s">
        <v>1529</v>
      </c>
      <c r="C32" s="322">
        <f>VLOOKUP($A32,[0]!Data,209,FALSE)</f>
        <v>90088</v>
      </c>
      <c r="D32" s="322">
        <f>VLOOKUP($A32,[0]!Data,210,FALSE)</f>
        <v>527</v>
      </c>
      <c r="E32" s="322">
        <f>VLOOKUP($A32,[0]!Data,211,FALSE)</f>
        <v>9761</v>
      </c>
      <c r="F32" s="322">
        <f>VLOOKUP($A32,[0]!Data,213,FALSE)</f>
        <v>357</v>
      </c>
      <c r="G32" s="322">
        <f>VLOOKUP($A32,[0]!Data,214,FALSE)</f>
        <v>100733</v>
      </c>
      <c r="H32" s="322">
        <f>VLOOKUP($A32,[0]!Data,215,FALSE)+VLOOKUP($A32,[0]!Data,226,FALSE)</f>
        <v>981</v>
      </c>
      <c r="I32" s="322">
        <f>VLOOKUP($A32,[0]!Data,216,FALSE)+VLOOKUP($A32,[0]!Data,229,FALSE)</f>
        <v>202</v>
      </c>
      <c r="J32" s="322">
        <f>VLOOKUP($A32,[0]!Data,223,FALSE)</f>
        <v>38</v>
      </c>
      <c r="K32" s="322">
        <f>VLOOKUP($A32,[0]!Data,230,FALSE)</f>
        <v>0</v>
      </c>
      <c r="L32" s="322">
        <f>VLOOKUP($A32,[0]!Data,234,FALSE)</f>
        <v>5276</v>
      </c>
      <c r="M32" s="322">
        <f>VLOOKUP($A32,[0]!Data,235,FALSE)</f>
        <v>5314</v>
      </c>
      <c r="N32" s="324">
        <f>VLOOKUP($A32,[0]!Data,240,FALSE)</f>
        <v>107230</v>
      </c>
    </row>
    <row r="33" spans="1:14" ht="14.25" x14ac:dyDescent="0.2">
      <c r="A33" s="36" t="s">
        <v>871</v>
      </c>
      <c r="B33" s="36" t="s">
        <v>1530</v>
      </c>
      <c r="C33" s="322">
        <f>VLOOKUP($A33,[0]!Data,209,FALSE)</f>
        <v>78903</v>
      </c>
      <c r="D33" s="322">
        <f>VLOOKUP($A33,[0]!Data,210,FALSE)</f>
        <v>7131</v>
      </c>
      <c r="E33" s="322">
        <f>VLOOKUP($A33,[0]!Data,211,FALSE)</f>
        <v>130151</v>
      </c>
      <c r="F33" s="322">
        <f>VLOOKUP($A33,[0]!Data,213,FALSE)</f>
        <v>963</v>
      </c>
      <c r="G33" s="322">
        <f>VLOOKUP($A33,[0]!Data,214,FALSE)</f>
        <v>218075</v>
      </c>
      <c r="H33" s="322">
        <f>VLOOKUP($A33,[0]!Data,215,FALSE)+VLOOKUP($A33,[0]!Data,226,FALSE)</f>
        <v>13545</v>
      </c>
      <c r="I33" s="322">
        <f>VLOOKUP($A33,[0]!Data,216,FALSE)+VLOOKUP($A33,[0]!Data,229,FALSE)</f>
        <v>31224</v>
      </c>
      <c r="J33" s="322">
        <f>VLOOKUP($A33,[0]!Data,223,FALSE)</f>
        <v>12570</v>
      </c>
      <c r="K33" s="322">
        <f>VLOOKUP($A33,[0]!Data,230,FALSE)</f>
        <v>0</v>
      </c>
      <c r="L33" s="322">
        <f>VLOOKUP($A33,[0]!Data,234,FALSE)</f>
        <v>62380</v>
      </c>
      <c r="M33" s="322">
        <f>VLOOKUP($A33,[0]!Data,235,FALSE)</f>
        <v>80337</v>
      </c>
      <c r="N33" s="324">
        <f>VLOOKUP($A33,[0]!Data,240,FALSE)</f>
        <v>338350</v>
      </c>
    </row>
    <row r="34" spans="1:14" ht="14.25" x14ac:dyDescent="0.2">
      <c r="A34" s="36" t="s">
        <v>893</v>
      </c>
      <c r="B34" s="36" t="s">
        <v>1531</v>
      </c>
      <c r="C34" s="322">
        <f>VLOOKUP($A34,[0]!Data,209,FALSE)</f>
        <v>139324</v>
      </c>
      <c r="D34" s="322">
        <f>VLOOKUP($A34,[0]!Data,210,FALSE)</f>
        <v>5029</v>
      </c>
      <c r="E34" s="322">
        <f>VLOOKUP($A34,[0]!Data,211,FALSE)</f>
        <v>62021</v>
      </c>
      <c r="F34" s="322">
        <f>VLOOKUP($A34,[0]!Data,213,FALSE)</f>
        <v>4692</v>
      </c>
      <c r="G34" s="322">
        <f>VLOOKUP($A34,[0]!Data,214,FALSE)</f>
        <v>211585</v>
      </c>
      <c r="H34" s="322">
        <f>VLOOKUP($A34,[0]!Data,215,FALSE)+VLOOKUP($A34,[0]!Data,226,FALSE)</f>
        <v>35356</v>
      </c>
      <c r="I34" s="322">
        <f>VLOOKUP($A34,[0]!Data,216,FALSE)+VLOOKUP($A34,[0]!Data,229,FALSE)</f>
        <v>56207</v>
      </c>
      <c r="J34" s="322">
        <f>VLOOKUP($A34,[0]!Data,223,FALSE)</f>
        <v>19262</v>
      </c>
      <c r="K34" s="322">
        <f>VLOOKUP($A34,[0]!Data,230,FALSE)</f>
        <v>434</v>
      </c>
      <c r="L34" s="322">
        <f>VLOOKUP($A34,[0]!Data,234,FALSE)</f>
        <v>21271</v>
      </c>
      <c r="M34" s="322">
        <f>VLOOKUP($A34,[0]!Data,235,FALSE)</f>
        <v>51457</v>
      </c>
      <c r="N34" s="324">
        <f>VLOOKUP($A34,[0]!Data,240,FALSE)</f>
        <v>344360</v>
      </c>
    </row>
    <row r="35" spans="1:14" ht="14.25" x14ac:dyDescent="0.2">
      <c r="A35" s="36" t="s">
        <v>905</v>
      </c>
      <c r="B35" s="36" t="s">
        <v>1532</v>
      </c>
      <c r="C35" s="322">
        <f>VLOOKUP($A35,[0]!Data,209,FALSE)</f>
        <v>349986</v>
      </c>
      <c r="D35" s="322">
        <f>VLOOKUP($A35,[0]!Data,210,FALSE)</f>
        <v>22144</v>
      </c>
      <c r="E35" s="322">
        <f>VLOOKUP($A35,[0]!Data,211,FALSE)</f>
        <v>202720</v>
      </c>
      <c r="F35" s="322">
        <f>VLOOKUP($A35,[0]!Data,213,FALSE)</f>
        <v>3631</v>
      </c>
      <c r="G35" s="322">
        <f>VLOOKUP($A35,[0]!Data,214,FALSE)</f>
        <v>578481</v>
      </c>
      <c r="H35" s="322">
        <f>VLOOKUP($A35,[0]!Data,215,FALSE)+VLOOKUP($A35,[0]!Data,226,FALSE)</f>
        <v>84504</v>
      </c>
      <c r="I35" s="322">
        <f>VLOOKUP($A35,[0]!Data,216,FALSE)+VLOOKUP($A35,[0]!Data,229,FALSE)</f>
        <v>211877</v>
      </c>
      <c r="J35" s="322">
        <f>VLOOKUP($A35,[0]!Data,223,FALSE)</f>
        <v>51511</v>
      </c>
      <c r="K35" s="322">
        <f>VLOOKUP($A35,[0]!Data,230,FALSE)</f>
        <v>673</v>
      </c>
      <c r="L35" s="322">
        <f>VLOOKUP($A35,[0]!Data,234,FALSE)</f>
        <v>83508</v>
      </c>
      <c r="M35" s="322">
        <f>VLOOKUP($A35,[0]!Data,235,FALSE)</f>
        <v>163618</v>
      </c>
      <c r="N35" s="324">
        <f>VLOOKUP($A35,[0]!Data,240,FALSE)</f>
        <v>1010554</v>
      </c>
    </row>
    <row r="36" spans="1:14" ht="14.25" x14ac:dyDescent="0.2">
      <c r="A36" s="36" t="s">
        <v>957</v>
      </c>
      <c r="B36" s="36" t="s">
        <v>1533</v>
      </c>
      <c r="C36" s="322">
        <f>VLOOKUP($A36,[0]!Data,209,FALSE)</f>
        <v>194103</v>
      </c>
      <c r="D36" s="322">
        <f>VLOOKUP($A36,[0]!Data,210,FALSE)</f>
        <v>17659</v>
      </c>
      <c r="E36" s="322">
        <f>VLOOKUP($A36,[0]!Data,211,FALSE)</f>
        <v>141560</v>
      </c>
      <c r="F36" s="322">
        <f>VLOOKUP($A36,[0]!Data,213,FALSE)</f>
        <v>0</v>
      </c>
      <c r="G36" s="322">
        <f>VLOOKUP($A36,[0]!Data,214,FALSE)</f>
        <v>354244</v>
      </c>
      <c r="H36" s="322">
        <f>VLOOKUP($A36,[0]!Data,215,FALSE)+VLOOKUP($A36,[0]!Data,226,FALSE)</f>
        <v>25057</v>
      </c>
      <c r="I36" s="322">
        <f>VLOOKUP($A36,[0]!Data,216,FALSE)+VLOOKUP($A36,[0]!Data,229,FALSE)</f>
        <v>53</v>
      </c>
      <c r="J36" s="322">
        <f>VLOOKUP($A36,[0]!Data,223,FALSE)</f>
        <v>23843</v>
      </c>
      <c r="K36" s="322">
        <f>VLOOKUP($A36,[0]!Data,230,FALSE)</f>
        <v>23801</v>
      </c>
      <c r="L36" s="322">
        <f>VLOOKUP($A36,[0]!Data,234,FALSE)</f>
        <v>42762</v>
      </c>
      <c r="M36" s="322">
        <f>VLOOKUP($A36,[0]!Data,235,FALSE)</f>
        <v>95605</v>
      </c>
      <c r="N36" s="324">
        <f>VLOOKUP($A36,[0]!Data,240,FALSE)</f>
        <v>469760</v>
      </c>
    </row>
    <row r="37" spans="1:14" ht="14.25" x14ac:dyDescent="0.2">
      <c r="A37" s="36" t="s">
        <v>1198</v>
      </c>
      <c r="B37" s="36" t="s">
        <v>950</v>
      </c>
      <c r="C37" s="322">
        <f>VLOOKUP($A37,[0]!Data,209,FALSE)</f>
        <v>111042</v>
      </c>
      <c r="D37" s="322">
        <f>VLOOKUP($A37,[0]!Data,210,FALSE)</f>
        <v>18311</v>
      </c>
      <c r="E37" s="322">
        <f>VLOOKUP($A37,[0]!Data,211,FALSE)</f>
        <v>110420</v>
      </c>
      <c r="F37" s="322">
        <f>VLOOKUP($A37,[0]!Data,213,FALSE)</f>
        <v>0</v>
      </c>
      <c r="G37" s="322">
        <f>VLOOKUP($A37,[0]!Data,214,FALSE)</f>
        <v>242009</v>
      </c>
      <c r="H37" s="322">
        <f>VLOOKUP($A37,[0]!Data,215,FALSE)+VLOOKUP($A37,[0]!Data,226,FALSE)</f>
        <v>14108</v>
      </c>
      <c r="I37" s="322">
        <f>VLOOKUP($A37,[0]!Data,216,FALSE)+VLOOKUP($A37,[0]!Data,229,FALSE)</f>
        <v>15068</v>
      </c>
      <c r="J37" s="322">
        <f>VLOOKUP($A37,[0]!Data,223,FALSE)</f>
        <v>5504</v>
      </c>
      <c r="K37" s="322">
        <f>VLOOKUP($A37,[0]!Data,230,FALSE)</f>
        <v>0</v>
      </c>
      <c r="L37" s="322">
        <f>VLOOKUP($A37,[0]!Data,234,FALSE)</f>
        <v>34929</v>
      </c>
      <c r="M37" s="322">
        <f>VLOOKUP($A37,[0]!Data,235,FALSE)</f>
        <v>41379</v>
      </c>
      <c r="N37" s="324">
        <f>VLOOKUP($A37,[0]!Data,240,FALSE)</f>
        <v>311619</v>
      </c>
    </row>
    <row r="38" spans="1:14" ht="14.25" x14ac:dyDescent="0.2">
      <c r="A38" s="36" t="s">
        <v>981</v>
      </c>
      <c r="B38" s="36" t="s">
        <v>1534</v>
      </c>
      <c r="C38" s="322">
        <f>VLOOKUP($A38,[0]!Data,209,FALSE)</f>
        <v>52291</v>
      </c>
      <c r="D38" s="322">
        <f>VLOOKUP($A38,[0]!Data,210,FALSE)</f>
        <v>308</v>
      </c>
      <c r="E38" s="322">
        <f>VLOOKUP($A38,[0]!Data,211,FALSE)</f>
        <v>28993</v>
      </c>
      <c r="F38" s="322">
        <f>VLOOKUP($A38,[0]!Data,213,FALSE)</f>
        <v>478</v>
      </c>
      <c r="G38" s="322">
        <f>VLOOKUP($A38,[0]!Data,214,FALSE)</f>
        <v>82420</v>
      </c>
      <c r="H38" s="322">
        <f>VLOOKUP($A38,[0]!Data,215,FALSE)+VLOOKUP($A38,[0]!Data,226,FALSE)</f>
        <v>7033</v>
      </c>
      <c r="I38" s="322">
        <f>VLOOKUP($A38,[0]!Data,216,FALSE)+VLOOKUP($A38,[0]!Data,229,FALSE)</f>
        <v>19491</v>
      </c>
      <c r="J38" s="322">
        <f>VLOOKUP($A38,[0]!Data,223,FALSE)</f>
        <v>10962</v>
      </c>
      <c r="K38" s="322">
        <f>VLOOKUP($A38,[0]!Data,230,FALSE)</f>
        <v>20</v>
      </c>
      <c r="L38" s="322">
        <f>VLOOKUP($A38,[0]!Data,234,FALSE)</f>
        <v>7955</v>
      </c>
      <c r="M38" s="322">
        <f>VLOOKUP($A38,[0]!Data,235,FALSE)</f>
        <v>20431</v>
      </c>
      <c r="N38" s="324">
        <f>VLOOKUP($A38,[0]!Data,240,FALSE)</f>
        <v>128043</v>
      </c>
    </row>
    <row r="39" spans="1:14" ht="14.25" x14ac:dyDescent="0.2">
      <c r="A39" s="36" t="s">
        <v>992</v>
      </c>
      <c r="B39" s="36" t="s">
        <v>1535</v>
      </c>
      <c r="C39" s="322">
        <f>VLOOKUP($A39,[0]!Data,209,FALSE)</f>
        <v>84599</v>
      </c>
      <c r="D39" s="322">
        <f>VLOOKUP($A39,[0]!Data,210,FALSE)</f>
        <v>7779</v>
      </c>
      <c r="E39" s="322">
        <f>VLOOKUP($A39,[0]!Data,211,FALSE)</f>
        <v>87001</v>
      </c>
      <c r="F39" s="322">
        <f>VLOOKUP($A39,[0]!Data,213,FALSE)</f>
        <v>0</v>
      </c>
      <c r="G39" s="322">
        <f>VLOOKUP($A39,[0]!Data,214,FALSE)</f>
        <v>179379</v>
      </c>
      <c r="H39" s="322">
        <f>VLOOKUP($A39,[0]!Data,215,FALSE)+VLOOKUP($A39,[0]!Data,226,FALSE)</f>
        <v>18708</v>
      </c>
      <c r="I39" s="322">
        <f>VLOOKUP($A39,[0]!Data,216,FALSE)+VLOOKUP($A39,[0]!Data,229,FALSE)</f>
        <v>38475</v>
      </c>
      <c r="J39" s="322">
        <f>VLOOKUP($A39,[0]!Data,223,FALSE)</f>
        <v>15274</v>
      </c>
      <c r="K39" s="322">
        <f>VLOOKUP($A39,[0]!Data,230,FALSE)</f>
        <v>1373</v>
      </c>
      <c r="L39" s="322">
        <f>VLOOKUP($A39,[0]!Data,234,FALSE)</f>
        <v>29548</v>
      </c>
      <c r="M39" s="322">
        <f>VLOOKUP($A39,[0]!Data,235,FALSE)</f>
        <v>53858</v>
      </c>
      <c r="N39" s="324">
        <f>VLOOKUP($A39,[0]!Data,240,FALSE)</f>
        <v>282757</v>
      </c>
    </row>
    <row r="40" spans="1:14" ht="14.25" x14ac:dyDescent="0.2">
      <c r="A40" s="36" t="s">
        <v>1009</v>
      </c>
      <c r="B40" s="36" t="s">
        <v>1536</v>
      </c>
      <c r="C40" s="322">
        <f>VLOOKUP($A40,[0]!Data,209,FALSE)</f>
        <v>38364</v>
      </c>
      <c r="D40" s="322">
        <f>VLOOKUP($A40,[0]!Data,210,FALSE)</f>
        <v>3033</v>
      </c>
      <c r="E40" s="322">
        <f>VLOOKUP($A40,[0]!Data,211,FALSE)</f>
        <v>21171</v>
      </c>
      <c r="F40" s="322">
        <f>VLOOKUP($A40,[0]!Data,213,FALSE)</f>
        <v>2391</v>
      </c>
      <c r="G40" s="322">
        <f>VLOOKUP($A40,[0]!Data,214,FALSE)</f>
        <v>64959</v>
      </c>
      <c r="H40" s="322">
        <f>VLOOKUP($A40,[0]!Data,215,FALSE)+VLOOKUP($A40,[0]!Data,226,FALSE)</f>
        <v>7379</v>
      </c>
      <c r="I40" s="322">
        <f>VLOOKUP($A40,[0]!Data,216,FALSE)+VLOOKUP($A40,[0]!Data,229,FALSE)</f>
        <v>24992</v>
      </c>
      <c r="J40" s="322">
        <f>VLOOKUP($A40,[0]!Data,223,FALSE)</f>
        <v>5940</v>
      </c>
      <c r="K40" s="322">
        <f>VLOOKUP($A40,[0]!Data,230,FALSE)</f>
        <v>0</v>
      </c>
      <c r="L40" s="322">
        <f>VLOOKUP($A40,[0]!Data,234,FALSE)</f>
        <v>3129</v>
      </c>
      <c r="M40" s="322">
        <f>VLOOKUP($A40,[0]!Data,235,FALSE)</f>
        <v>10560</v>
      </c>
      <c r="N40" s="324">
        <f>VLOOKUP($A40,[0]!Data,240,FALSE)</f>
        <v>106424</v>
      </c>
    </row>
    <row r="41" spans="1:14" ht="14.25" x14ac:dyDescent="0.2">
      <c r="A41" s="36" t="s">
        <v>1021</v>
      </c>
      <c r="B41" s="36" t="s">
        <v>1537</v>
      </c>
      <c r="C41" s="322">
        <f>VLOOKUP($A41,[0]!Data,209,FALSE)</f>
        <v>63720</v>
      </c>
      <c r="D41" s="322">
        <f>VLOOKUP($A41,[0]!Data,210,FALSE)</f>
        <v>5600</v>
      </c>
      <c r="E41" s="322">
        <f>VLOOKUP($A41,[0]!Data,211,FALSE)</f>
        <v>28635</v>
      </c>
      <c r="F41" s="322">
        <f>VLOOKUP($A41,[0]!Data,213,FALSE)</f>
        <v>2392</v>
      </c>
      <c r="G41" s="322">
        <f>VLOOKUP($A41,[0]!Data,214,FALSE)</f>
        <v>100589</v>
      </c>
      <c r="H41" s="322">
        <f>VLOOKUP($A41,[0]!Data,215,FALSE)+VLOOKUP($A41,[0]!Data,226,FALSE)</f>
        <v>11543</v>
      </c>
      <c r="I41" s="322">
        <f>VLOOKUP($A41,[0]!Data,216,FALSE)+VLOOKUP($A41,[0]!Data,229,FALSE)</f>
        <v>36272</v>
      </c>
      <c r="J41" s="322">
        <f>VLOOKUP($A41,[0]!Data,223,FALSE)</f>
        <v>12178</v>
      </c>
      <c r="K41" s="322">
        <f>VLOOKUP($A41,[0]!Data,230,FALSE)</f>
        <v>0</v>
      </c>
      <c r="L41" s="322">
        <f>VLOOKUP($A41,[0]!Data,234,FALSE)</f>
        <v>628</v>
      </c>
      <c r="M41" s="322">
        <f>VLOOKUP($A41,[0]!Data,235,FALSE)</f>
        <v>13833</v>
      </c>
      <c r="N41" s="324">
        <f>VLOOKUP($A41,[0]!Data,240,FALSE)</f>
        <v>161234</v>
      </c>
    </row>
    <row r="42" spans="1:14" ht="14.25" x14ac:dyDescent="0.2">
      <c r="A42" s="36" t="s">
        <v>574</v>
      </c>
      <c r="B42" s="36" t="s">
        <v>1538</v>
      </c>
      <c r="C42" s="322">
        <f>VLOOKUP($A42,[0]!Data,209,FALSE)</f>
        <v>1648288</v>
      </c>
      <c r="D42" s="322">
        <f>VLOOKUP($A42,[0]!Data,210,FALSE)</f>
        <v>254177</v>
      </c>
      <c r="E42" s="322">
        <f>VLOOKUP($A42,[0]!Data,211,FALSE)</f>
        <v>2569265</v>
      </c>
      <c r="F42" s="322">
        <f>VLOOKUP($A42,[0]!Data,213,FALSE)</f>
        <v>0</v>
      </c>
      <c r="G42" s="322">
        <f>VLOOKUP($A42,[0]!Data,214,FALSE)</f>
        <v>4471730</v>
      </c>
      <c r="H42" s="322">
        <f>VLOOKUP($A42,[0]!Data,215,FALSE)+VLOOKUP($A42,[0]!Data,226,FALSE)</f>
        <v>544482</v>
      </c>
      <c r="I42" s="322">
        <f>VLOOKUP($A42,[0]!Data,216,FALSE)+VLOOKUP($A42,[0]!Data,229,FALSE)</f>
        <v>593124</v>
      </c>
      <c r="J42" s="322">
        <f>VLOOKUP($A42,[0]!Data,223,FALSE)</f>
        <v>648188</v>
      </c>
      <c r="K42" s="322">
        <f>VLOOKUP($A42,[0]!Data,230,FALSE)</f>
        <v>49503</v>
      </c>
      <c r="L42" s="322">
        <f>VLOOKUP($A42,[0]!Data,234,FALSE)</f>
        <v>1820141</v>
      </c>
      <c r="M42" s="322">
        <f>VLOOKUP($A42,[0]!Data,235,FALSE)</f>
        <v>2703230</v>
      </c>
      <c r="N42" s="324">
        <f>VLOOKUP($A42,[0]!Data,240,FALSE)</f>
        <v>8127168</v>
      </c>
    </row>
    <row r="43" spans="1:14" ht="14.25" x14ac:dyDescent="0.2">
      <c r="A43" s="36" t="s">
        <v>455</v>
      </c>
      <c r="B43" s="36" t="s">
        <v>1539</v>
      </c>
      <c r="C43" s="322">
        <f>VLOOKUP($A43,[0]!Data,209,FALSE)</f>
        <v>80103</v>
      </c>
      <c r="D43" s="322">
        <f>VLOOKUP($A43,[0]!Data,210,FALSE)</f>
        <v>11733</v>
      </c>
      <c r="E43" s="322">
        <f>VLOOKUP($A43,[0]!Data,211,FALSE)</f>
        <v>94693</v>
      </c>
      <c r="F43" s="322">
        <f>VLOOKUP($A43,[0]!Data,213,FALSE)</f>
        <v>797</v>
      </c>
      <c r="G43" s="322">
        <f>VLOOKUP($A43,[0]!Data,214,FALSE)</f>
        <v>187326</v>
      </c>
      <c r="H43" s="322">
        <f>VLOOKUP($A43,[0]!Data,215,FALSE)+VLOOKUP($A43,[0]!Data,226,FALSE)</f>
        <v>10337</v>
      </c>
      <c r="I43" s="322">
        <f>VLOOKUP($A43,[0]!Data,216,FALSE)+VLOOKUP($A43,[0]!Data,229,FALSE)</f>
        <v>29316</v>
      </c>
      <c r="J43" s="322">
        <f>VLOOKUP($A43,[0]!Data,223,FALSE)</f>
        <v>17944</v>
      </c>
      <c r="K43" s="322">
        <f>VLOOKUP($A43,[0]!Data,230,FALSE)</f>
        <v>0</v>
      </c>
      <c r="L43" s="322">
        <f>VLOOKUP($A43,[0]!Data,234,FALSE)</f>
        <v>23059</v>
      </c>
      <c r="M43" s="322">
        <f>VLOOKUP($A43,[0]!Data,235,FALSE)</f>
        <v>42586</v>
      </c>
      <c r="N43" s="324">
        <f>VLOOKUP($A43,[0]!Data,240,FALSE)</f>
        <v>268323</v>
      </c>
    </row>
    <row r="44" spans="1:14" ht="14.25" x14ac:dyDescent="0.2">
      <c r="A44" s="36" t="s">
        <v>1078</v>
      </c>
      <c r="B44" s="36" t="s">
        <v>1540</v>
      </c>
      <c r="C44" s="322">
        <f>VLOOKUP($A44,[0]!Data,209,FALSE)</f>
        <v>454287</v>
      </c>
      <c r="D44" s="322">
        <f>VLOOKUP($A44,[0]!Data,210,FALSE)</f>
        <v>31907</v>
      </c>
      <c r="E44" s="322">
        <f>VLOOKUP($A44,[0]!Data,211,FALSE)</f>
        <v>394988</v>
      </c>
      <c r="F44" s="322">
        <f>VLOOKUP($A44,[0]!Data,213,FALSE)</f>
        <v>8789</v>
      </c>
      <c r="G44" s="322">
        <f>VLOOKUP($A44,[0]!Data,214,FALSE)</f>
        <v>890700</v>
      </c>
      <c r="H44" s="322">
        <f>VLOOKUP($A44,[0]!Data,215,FALSE)+VLOOKUP($A44,[0]!Data,226,FALSE)</f>
        <v>114853</v>
      </c>
      <c r="I44" s="322">
        <f>VLOOKUP($A44,[0]!Data,216,FALSE)+VLOOKUP($A44,[0]!Data,229,FALSE)</f>
        <v>232877</v>
      </c>
      <c r="J44" s="322">
        <f>VLOOKUP($A44,[0]!Data,223,FALSE)</f>
        <v>73857</v>
      </c>
      <c r="K44" s="322">
        <f>VLOOKUP($A44,[0]!Data,230,FALSE)</f>
        <v>1259</v>
      </c>
      <c r="L44" s="322">
        <f>VLOOKUP($A44,[0]!Data,234,FALSE)</f>
        <v>333851</v>
      </c>
      <c r="M44" s="322">
        <f>VLOOKUP($A44,[0]!Data,235,FALSE)</f>
        <v>446938</v>
      </c>
      <c r="N44" s="324">
        <f>VLOOKUP($A44,[0]!Data,240,FALSE)</f>
        <v>1647947</v>
      </c>
    </row>
    <row r="45" spans="1:14" ht="14.25" x14ac:dyDescent="0.2">
      <c r="A45" s="36" t="s">
        <v>1108</v>
      </c>
      <c r="B45" s="36" t="s">
        <v>1541</v>
      </c>
      <c r="C45" s="322">
        <f>VLOOKUP($A45,[0]!Data,209,FALSE)</f>
        <v>145855</v>
      </c>
      <c r="D45" s="322">
        <f>VLOOKUP($A45,[0]!Data,210,FALSE)</f>
        <v>24181</v>
      </c>
      <c r="E45" s="322">
        <f>VLOOKUP($A45,[0]!Data,211,FALSE)</f>
        <v>212190</v>
      </c>
      <c r="F45" s="322">
        <f>VLOOKUP($A45,[0]!Data,213,FALSE)</f>
        <v>796</v>
      </c>
      <c r="G45" s="322">
        <f>VLOOKUP($A45,[0]!Data,214,FALSE)</f>
        <v>384092</v>
      </c>
      <c r="H45" s="322">
        <f>VLOOKUP($A45,[0]!Data,215,FALSE)+VLOOKUP($A45,[0]!Data,226,FALSE)</f>
        <v>22013</v>
      </c>
      <c r="I45" s="322">
        <f>VLOOKUP($A45,[0]!Data,216,FALSE)+VLOOKUP($A45,[0]!Data,229,FALSE)</f>
        <v>114999</v>
      </c>
      <c r="J45" s="322">
        <f>VLOOKUP($A45,[0]!Data,223,FALSE)</f>
        <v>32948</v>
      </c>
      <c r="K45" s="322">
        <f>VLOOKUP($A45,[0]!Data,230,FALSE)</f>
        <v>3636</v>
      </c>
      <c r="L45" s="322">
        <f>VLOOKUP($A45,[0]!Data,234,FALSE)</f>
        <v>239704</v>
      </c>
      <c r="M45" s="322">
        <f>VLOOKUP($A45,[0]!Data,235,FALSE)</f>
        <v>294352</v>
      </c>
      <c r="N45" s="324">
        <f>VLOOKUP($A45,[0]!Data,240,FALSE)</f>
        <v>797392</v>
      </c>
    </row>
    <row r="46" spans="1:14" ht="14.25" x14ac:dyDescent="0.2">
      <c r="A46" s="36" t="s">
        <v>1117</v>
      </c>
      <c r="B46" s="36" t="s">
        <v>1131</v>
      </c>
      <c r="C46" s="322">
        <f>VLOOKUP($A46,[0]!Data,209,FALSE)</f>
        <v>106605</v>
      </c>
      <c r="D46" s="322">
        <f>VLOOKUP($A46,[0]!Data,210,FALSE)</f>
        <v>17680</v>
      </c>
      <c r="E46" s="322">
        <f>VLOOKUP($A46,[0]!Data,211,FALSE)</f>
        <v>214644</v>
      </c>
      <c r="F46" s="322">
        <f>VLOOKUP($A46,[0]!Data,213,FALSE)</f>
        <v>3697</v>
      </c>
      <c r="G46" s="322">
        <f>VLOOKUP($A46,[0]!Data,214,FALSE)</f>
        <v>342626</v>
      </c>
      <c r="H46" s="322">
        <f>VLOOKUP($A46,[0]!Data,215,FALSE)+VLOOKUP($A46,[0]!Data,226,FALSE)</f>
        <v>26858</v>
      </c>
      <c r="I46" s="322">
        <f>VLOOKUP($A46,[0]!Data,216,FALSE)+VLOOKUP($A46,[0]!Data,229,FALSE)</f>
        <v>66438</v>
      </c>
      <c r="J46" s="322">
        <f>VLOOKUP($A46,[0]!Data,223,FALSE)</f>
        <v>8279</v>
      </c>
      <c r="K46" s="322">
        <f>VLOOKUP($A46,[0]!Data,230,FALSE)</f>
        <v>0</v>
      </c>
      <c r="L46" s="322">
        <f>VLOOKUP($A46,[0]!Data,234,FALSE)</f>
        <v>3585</v>
      </c>
      <c r="M46" s="322">
        <f>VLOOKUP($A46,[0]!Data,235,FALSE)</f>
        <v>14807</v>
      </c>
      <c r="N46" s="324">
        <f>VLOOKUP($A46,[0]!Data,240,FALSE)</f>
        <v>450372</v>
      </c>
    </row>
    <row r="47" spans="1:14" ht="14.25" x14ac:dyDescent="0.2">
      <c r="A47" s="36" t="s">
        <v>1133</v>
      </c>
      <c r="B47" s="36" t="s">
        <v>1542</v>
      </c>
      <c r="C47" s="322">
        <f>VLOOKUP($A47,[0]!Data,209,FALSE)</f>
        <v>88309</v>
      </c>
      <c r="D47" s="322">
        <f>VLOOKUP($A47,[0]!Data,210,FALSE)</f>
        <v>9625</v>
      </c>
      <c r="E47" s="322">
        <f>VLOOKUP($A47,[0]!Data,211,FALSE)</f>
        <v>78307</v>
      </c>
      <c r="F47" s="322">
        <f>VLOOKUP($A47,[0]!Data,213,FALSE)</f>
        <v>571</v>
      </c>
      <c r="G47" s="322">
        <f>VLOOKUP($A47,[0]!Data,214,FALSE)</f>
        <v>176842</v>
      </c>
      <c r="H47" s="322">
        <f>VLOOKUP($A47,[0]!Data,215,FALSE)+VLOOKUP($A47,[0]!Data,226,FALSE)</f>
        <v>11720</v>
      </c>
      <c r="I47" s="322">
        <f>VLOOKUP($A47,[0]!Data,216,FALSE)+VLOOKUP($A47,[0]!Data,229,FALSE)</f>
        <v>22877</v>
      </c>
      <c r="J47" s="322">
        <f>VLOOKUP($A47,[0]!Data,223,FALSE)</f>
        <v>15186</v>
      </c>
      <c r="K47" s="322">
        <f>VLOOKUP($A47,[0]!Data,230,FALSE)</f>
        <v>1349</v>
      </c>
      <c r="L47" s="322">
        <f>VLOOKUP($A47,[0]!Data,234,FALSE)</f>
        <v>35833</v>
      </c>
      <c r="M47" s="322">
        <f>VLOOKUP($A47,[0]!Data,235,FALSE)</f>
        <v>53626</v>
      </c>
      <c r="N47" s="324">
        <f>VLOOKUP($A47,[0]!Data,240,FALSE)</f>
        <v>264025</v>
      </c>
    </row>
    <row r="48" spans="1:14" ht="14.25" x14ac:dyDescent="0.2">
      <c r="A48" s="36" t="s">
        <v>1159</v>
      </c>
      <c r="B48" s="36" t="s">
        <v>1543</v>
      </c>
      <c r="C48" s="322">
        <f>VLOOKUP($A48,[0]!Data,209,FALSE)</f>
        <v>51974</v>
      </c>
      <c r="D48" s="322">
        <f>VLOOKUP($A48,[0]!Data,210,FALSE)</f>
        <v>2801</v>
      </c>
      <c r="E48" s="322">
        <f>VLOOKUP($A48,[0]!Data,211,FALSE)</f>
        <v>82628</v>
      </c>
      <c r="F48" s="322">
        <f>VLOOKUP($A48,[0]!Data,213,FALSE)</f>
        <v>3307</v>
      </c>
      <c r="G48" s="322">
        <f>VLOOKUP($A48,[0]!Data,214,FALSE)</f>
        <v>146190</v>
      </c>
      <c r="H48" s="322">
        <f>VLOOKUP($A48,[0]!Data,215,FALSE)+VLOOKUP($A48,[0]!Data,226,FALSE)</f>
        <v>6321</v>
      </c>
      <c r="I48" s="322">
        <f>VLOOKUP($A48,[0]!Data,216,FALSE)+VLOOKUP($A48,[0]!Data,229,FALSE)</f>
        <v>10839</v>
      </c>
      <c r="J48" s="322">
        <f>VLOOKUP($A48,[0]!Data,223,FALSE)</f>
        <v>6511</v>
      </c>
      <c r="K48" s="322">
        <f>VLOOKUP($A48,[0]!Data,230,FALSE)</f>
        <v>194</v>
      </c>
      <c r="L48" s="322">
        <f>VLOOKUP($A48,[0]!Data,234,FALSE)</f>
        <v>2073</v>
      </c>
      <c r="M48" s="322">
        <f>VLOOKUP($A48,[0]!Data,235,FALSE)</f>
        <v>10075</v>
      </c>
      <c r="N48" s="324">
        <f>VLOOKUP($A48,[0]!Data,240,FALSE)</f>
        <v>190637</v>
      </c>
    </row>
    <row r="49" spans="1:14" ht="14.25" x14ac:dyDescent="0.2">
      <c r="A49" s="36" t="s">
        <v>1335</v>
      </c>
      <c r="B49" s="36" t="s">
        <v>1544</v>
      </c>
      <c r="C49" s="322">
        <f>VLOOKUP($A49,[0]!Data,209,FALSE)</f>
        <v>178211</v>
      </c>
      <c r="D49" s="322">
        <f>VLOOKUP($A49,[0]!Data,210,FALSE)</f>
        <v>20457</v>
      </c>
      <c r="E49" s="322">
        <f>VLOOKUP($A49,[0]!Data,211,FALSE)</f>
        <v>226207</v>
      </c>
      <c r="F49" s="322">
        <f>VLOOKUP($A49,[0]!Data,213,FALSE)</f>
        <v>1147</v>
      </c>
      <c r="G49" s="322">
        <f>VLOOKUP($A49,[0]!Data,214,FALSE)</f>
        <v>426022</v>
      </c>
      <c r="H49" s="322">
        <f>VLOOKUP($A49,[0]!Data,215,FALSE)+VLOOKUP($A49,[0]!Data,226,FALSE)</f>
        <v>32064</v>
      </c>
      <c r="I49" s="322">
        <f>VLOOKUP($A49,[0]!Data,216,FALSE)+VLOOKUP($A49,[0]!Data,229,FALSE)</f>
        <v>18873</v>
      </c>
      <c r="J49" s="322">
        <f>VLOOKUP($A49,[0]!Data,223,FALSE)</f>
        <v>12557</v>
      </c>
      <c r="K49" s="322">
        <f>VLOOKUP($A49,[0]!Data,230,FALSE)</f>
        <v>2032</v>
      </c>
      <c r="L49" s="322">
        <f>VLOOKUP($A49,[0]!Data,234,FALSE)</f>
        <v>93943</v>
      </c>
      <c r="M49" s="322">
        <f>VLOOKUP($A49,[0]!Data,235,FALSE)</f>
        <v>115499</v>
      </c>
      <c r="N49" s="324">
        <f>VLOOKUP($A49,[0]!Data,240,FALSE)</f>
        <v>585491</v>
      </c>
    </row>
    <row r="50" spans="1:14" ht="14.25" x14ac:dyDescent="0.2">
      <c r="A50" s="36" t="s">
        <v>1187</v>
      </c>
      <c r="B50" s="36" t="s">
        <v>1545</v>
      </c>
      <c r="C50" s="322">
        <f>VLOOKUP($A50,[0]!Data,209,FALSE)</f>
        <v>55989</v>
      </c>
      <c r="D50" s="322">
        <f>VLOOKUP($A50,[0]!Data,210,FALSE)</f>
        <v>3837</v>
      </c>
      <c r="E50" s="322">
        <f>VLOOKUP($A50,[0]!Data,211,FALSE)</f>
        <v>25940</v>
      </c>
      <c r="F50" s="322">
        <f>VLOOKUP($A50,[0]!Data,213,FALSE)</f>
        <v>1031</v>
      </c>
      <c r="G50" s="322">
        <f>VLOOKUP($A50,[0]!Data,214,FALSE)</f>
        <v>86797</v>
      </c>
      <c r="H50" s="322">
        <f>VLOOKUP($A50,[0]!Data,215,FALSE)+VLOOKUP($A50,[0]!Data,226,FALSE)</f>
        <v>10097</v>
      </c>
      <c r="I50" s="322">
        <f>VLOOKUP($A50,[0]!Data,216,FALSE)+VLOOKUP($A50,[0]!Data,229,FALSE)</f>
        <v>55322</v>
      </c>
      <c r="J50" s="322">
        <f>VLOOKUP($A50,[0]!Data,223,FALSE)</f>
        <v>5532</v>
      </c>
      <c r="K50" s="322">
        <f>VLOOKUP($A50,[0]!Data,230,FALSE)</f>
        <v>85</v>
      </c>
      <c r="L50" s="322">
        <f>VLOOKUP($A50,[0]!Data,234,FALSE)</f>
        <v>5802</v>
      </c>
      <c r="M50" s="322">
        <f>VLOOKUP($A50,[0]!Data,235,FALSE)</f>
        <v>14915</v>
      </c>
      <c r="N50" s="324">
        <f>VLOOKUP($A50,[0]!Data,240,FALSE)</f>
        <v>163635</v>
      </c>
    </row>
    <row r="51" spans="1:14" ht="14.25" x14ac:dyDescent="0.2">
      <c r="A51" s="36" t="s">
        <v>1210</v>
      </c>
      <c r="B51" s="36" t="s">
        <v>1546</v>
      </c>
      <c r="C51" s="322">
        <f>VLOOKUP($A51,[0]!Data,209,FALSE)</f>
        <v>191922</v>
      </c>
      <c r="D51" s="322">
        <f>VLOOKUP($A51,[0]!Data,210,FALSE)</f>
        <v>23272</v>
      </c>
      <c r="E51" s="322">
        <f>VLOOKUP($A51,[0]!Data,211,FALSE)</f>
        <v>155773</v>
      </c>
      <c r="F51" s="322">
        <f>VLOOKUP($A51,[0]!Data,213,FALSE)</f>
        <v>1711</v>
      </c>
      <c r="G51" s="322">
        <f>VLOOKUP($A51,[0]!Data,214,FALSE)</f>
        <v>372678</v>
      </c>
      <c r="H51" s="322">
        <f>VLOOKUP($A51,[0]!Data,215,FALSE)+VLOOKUP($A51,[0]!Data,226,FALSE)</f>
        <v>18953</v>
      </c>
      <c r="I51" s="322">
        <f>VLOOKUP($A51,[0]!Data,216,FALSE)+VLOOKUP($A51,[0]!Data,229,FALSE)</f>
        <v>143134</v>
      </c>
      <c r="J51" s="322">
        <f>VLOOKUP($A51,[0]!Data,223,FALSE)</f>
        <v>18632</v>
      </c>
      <c r="K51" s="322">
        <f>VLOOKUP($A51,[0]!Data,230,FALSE)</f>
        <v>1822</v>
      </c>
      <c r="L51" s="322">
        <f>VLOOKUP($A51,[0]!Data,234,FALSE)</f>
        <v>51603</v>
      </c>
      <c r="M51" s="322">
        <f>VLOOKUP($A51,[0]!Data,235,FALSE)</f>
        <v>78530</v>
      </c>
      <c r="N51" s="324">
        <f>VLOOKUP($A51,[0]!Data,240,FALSE)</f>
        <v>606822</v>
      </c>
    </row>
    <row r="52" spans="1:14" ht="14.25" x14ac:dyDescent="0.2">
      <c r="A52" s="36" t="s">
        <v>1236</v>
      </c>
      <c r="B52" s="36" t="s">
        <v>1547</v>
      </c>
      <c r="C52" s="322">
        <f>VLOOKUP($A52,[0]!Data,209,FALSE)</f>
        <v>56383</v>
      </c>
      <c r="D52" s="322">
        <f>VLOOKUP($A52,[0]!Data,210,FALSE)</f>
        <v>6387</v>
      </c>
      <c r="E52" s="322">
        <f>VLOOKUP($A52,[0]!Data,211,FALSE)</f>
        <v>50731</v>
      </c>
      <c r="F52" s="322">
        <f>VLOOKUP($A52,[0]!Data,213,FALSE)</f>
        <v>0</v>
      </c>
      <c r="G52" s="322">
        <f>VLOOKUP($A52,[0]!Data,214,FALSE)</f>
        <v>113501</v>
      </c>
      <c r="H52" s="322">
        <f>VLOOKUP($A52,[0]!Data,215,FALSE)+VLOOKUP($A52,[0]!Data,226,FALSE)</f>
        <v>1158</v>
      </c>
      <c r="I52" s="322">
        <f>VLOOKUP($A52,[0]!Data,216,FALSE)+VLOOKUP($A52,[0]!Data,229,FALSE)</f>
        <v>21200</v>
      </c>
      <c r="J52" s="322">
        <f>VLOOKUP($A52,[0]!Data,223,FALSE)</f>
        <v>37</v>
      </c>
      <c r="K52" s="322">
        <f>VLOOKUP($A52,[0]!Data,230,FALSE)</f>
        <v>0</v>
      </c>
      <c r="L52" s="322">
        <f>VLOOKUP($A52,[0]!Data,234,FALSE)</f>
        <v>677</v>
      </c>
      <c r="M52" s="322">
        <f>VLOOKUP($A52,[0]!Data,235,FALSE)</f>
        <v>885</v>
      </c>
      <c r="N52" s="324">
        <f>VLOOKUP($A52,[0]!Data,240,FALSE)</f>
        <v>136573</v>
      </c>
    </row>
    <row r="53" spans="1:14" ht="14.25" x14ac:dyDescent="0.2">
      <c r="A53" s="36" t="s">
        <v>1249</v>
      </c>
      <c r="B53" s="36" t="s">
        <v>1548</v>
      </c>
      <c r="C53" s="322">
        <f>VLOOKUP($A53,[0]!Data,209,FALSE)</f>
        <v>171762</v>
      </c>
      <c r="D53" s="322">
        <f>VLOOKUP($A53,[0]!Data,210,FALSE)</f>
        <v>13652</v>
      </c>
      <c r="E53" s="322">
        <f>VLOOKUP($A53,[0]!Data,211,FALSE)</f>
        <v>76109</v>
      </c>
      <c r="F53" s="322">
        <f>VLOOKUP($A53,[0]!Data,213,FALSE)</f>
        <v>4216</v>
      </c>
      <c r="G53" s="322">
        <f>VLOOKUP($A53,[0]!Data,214,FALSE)</f>
        <v>268284</v>
      </c>
      <c r="H53" s="322">
        <f>VLOOKUP($A53,[0]!Data,215,FALSE)+VLOOKUP($A53,[0]!Data,226,FALSE)</f>
        <v>11913</v>
      </c>
      <c r="I53" s="322">
        <f>VLOOKUP($A53,[0]!Data,216,FALSE)+VLOOKUP($A53,[0]!Data,229,FALSE)</f>
        <v>62274</v>
      </c>
      <c r="J53" s="322">
        <f>VLOOKUP($A53,[0]!Data,223,FALSE)</f>
        <v>2419</v>
      </c>
      <c r="K53" s="322">
        <f>VLOOKUP($A53,[0]!Data,230,FALSE)</f>
        <v>529</v>
      </c>
      <c r="L53" s="322">
        <f>VLOOKUP($A53,[0]!Data,234,FALSE)</f>
        <v>55507</v>
      </c>
      <c r="M53" s="322">
        <f>VLOOKUP($A53,[0]!Data,235,FALSE)</f>
        <v>58528</v>
      </c>
      <c r="N53" s="324">
        <f>VLOOKUP($A53,[0]!Data,240,FALSE)</f>
        <v>401124</v>
      </c>
    </row>
    <row r="54" spans="1:14" ht="14.25" x14ac:dyDescent="0.2">
      <c r="A54" s="36" t="s">
        <v>1265</v>
      </c>
      <c r="B54" s="36" t="s">
        <v>1549</v>
      </c>
      <c r="C54" s="322">
        <f>VLOOKUP($A54,[0]!Data,209,FALSE)</f>
        <v>220291</v>
      </c>
      <c r="D54" s="322">
        <f>VLOOKUP($A54,[0]!Data,210,FALSE)</f>
        <v>21231</v>
      </c>
      <c r="E54" s="322">
        <f>VLOOKUP($A54,[0]!Data,211,FALSE)</f>
        <v>176085</v>
      </c>
      <c r="F54" s="322">
        <f>VLOOKUP($A54,[0]!Data,213,FALSE)</f>
        <v>0</v>
      </c>
      <c r="G54" s="322">
        <f>VLOOKUP($A54,[0]!Data,214,FALSE)</f>
        <v>417607</v>
      </c>
      <c r="H54" s="322">
        <f>VLOOKUP($A54,[0]!Data,215,FALSE)+VLOOKUP($A54,[0]!Data,226,FALSE)</f>
        <v>27963</v>
      </c>
      <c r="I54" s="322">
        <f>VLOOKUP($A54,[0]!Data,216,FALSE)+VLOOKUP($A54,[0]!Data,229,FALSE)</f>
        <v>92930</v>
      </c>
      <c r="J54" s="322">
        <f>VLOOKUP($A54,[0]!Data,223,FALSE)</f>
        <v>26500</v>
      </c>
      <c r="K54" s="322">
        <f>VLOOKUP($A54,[0]!Data,230,FALSE)</f>
        <v>880</v>
      </c>
      <c r="L54" s="322">
        <f>VLOOKUP($A54,[0]!Data,234,FALSE)</f>
        <v>115912</v>
      </c>
      <c r="M54" s="322">
        <f>VLOOKUP($A54,[0]!Data,235,FALSE)</f>
        <v>154304</v>
      </c>
      <c r="N54" s="324">
        <f>VLOOKUP($A54,[0]!Data,240,FALSE)</f>
        <v>681855</v>
      </c>
    </row>
    <row r="55" spans="1:14" ht="14.25" x14ac:dyDescent="0.2">
      <c r="A55" s="36" t="s">
        <v>1280</v>
      </c>
      <c r="B55" s="36" t="s">
        <v>1550</v>
      </c>
      <c r="C55" s="322">
        <f>VLOOKUP($A55,[0]!Data,209,FALSE)</f>
        <v>70471</v>
      </c>
      <c r="D55" s="322">
        <f>VLOOKUP($A55,[0]!Data,210,FALSE)</f>
        <v>5981</v>
      </c>
      <c r="E55" s="322">
        <f>VLOOKUP($A55,[0]!Data,211,FALSE)</f>
        <v>46428</v>
      </c>
      <c r="F55" s="322">
        <f>VLOOKUP($A55,[0]!Data,213,FALSE)</f>
        <v>11254</v>
      </c>
      <c r="G55" s="322">
        <f>VLOOKUP($A55,[0]!Data,214,FALSE)</f>
        <v>134134</v>
      </c>
      <c r="H55" s="322">
        <f>VLOOKUP($A55,[0]!Data,215,FALSE)+VLOOKUP($A55,[0]!Data,226,FALSE)</f>
        <v>12078</v>
      </c>
      <c r="I55" s="322">
        <f>VLOOKUP($A55,[0]!Data,216,FALSE)+VLOOKUP($A55,[0]!Data,229,FALSE)</f>
        <v>58415</v>
      </c>
      <c r="J55" s="322">
        <f>VLOOKUP($A55,[0]!Data,223,FALSE)</f>
        <v>9230</v>
      </c>
      <c r="K55" s="322">
        <f>VLOOKUP($A55,[0]!Data,230,FALSE)</f>
        <v>86</v>
      </c>
      <c r="L55" s="322">
        <f>VLOOKUP($A55,[0]!Data,234,FALSE)</f>
        <v>14027</v>
      </c>
      <c r="M55" s="322">
        <f>VLOOKUP($A55,[0]!Data,235,FALSE)</f>
        <v>26396</v>
      </c>
      <c r="N55" s="324">
        <f>VLOOKUP($A55,[0]!Data,240,FALSE)</f>
        <v>227970</v>
      </c>
    </row>
    <row r="56" spans="1:14" ht="14.25" x14ac:dyDescent="0.2">
      <c r="A56" s="36" t="s">
        <v>1292</v>
      </c>
      <c r="B56" s="36" t="s">
        <v>1551</v>
      </c>
      <c r="C56" s="322">
        <f>VLOOKUP($A56,[0]!Data,209,FALSE)</f>
        <v>32218</v>
      </c>
      <c r="D56" s="322">
        <f>VLOOKUP($A56,[0]!Data,210,FALSE)</f>
        <v>1711</v>
      </c>
      <c r="E56" s="322">
        <f>VLOOKUP($A56,[0]!Data,211,FALSE)</f>
        <v>31294</v>
      </c>
      <c r="F56" s="322">
        <f>VLOOKUP($A56,[0]!Data,213,FALSE)</f>
        <v>406</v>
      </c>
      <c r="G56" s="322">
        <f>VLOOKUP($A56,[0]!Data,214,FALSE)</f>
        <v>68897</v>
      </c>
      <c r="H56" s="322">
        <f>VLOOKUP($A56,[0]!Data,215,FALSE)+VLOOKUP($A56,[0]!Data,226,FALSE)</f>
        <v>756</v>
      </c>
      <c r="I56" s="322">
        <f>VLOOKUP($A56,[0]!Data,216,FALSE)+VLOOKUP($A56,[0]!Data,229,FALSE)</f>
        <v>12805</v>
      </c>
      <c r="J56" s="322">
        <f>VLOOKUP($A56,[0]!Data,223,FALSE)</f>
        <v>2352</v>
      </c>
      <c r="K56" s="322">
        <f>VLOOKUP($A56,[0]!Data,230,FALSE)</f>
        <v>0</v>
      </c>
      <c r="L56" s="322">
        <f>VLOOKUP($A56,[0]!Data,234,FALSE)</f>
        <v>7185</v>
      </c>
      <c r="M56" s="322">
        <f>VLOOKUP($A56,[0]!Data,235,FALSE)</f>
        <v>9750</v>
      </c>
      <c r="N56" s="324">
        <f>VLOOKUP($A56,[0]!Data,240,FALSE)</f>
        <v>91995</v>
      </c>
    </row>
    <row r="57" spans="1:14" ht="14.25" x14ac:dyDescent="0.2">
      <c r="A57" s="36" t="s">
        <v>1323</v>
      </c>
      <c r="B57" s="36" t="s">
        <v>1552</v>
      </c>
      <c r="C57" s="322">
        <f>VLOOKUP($A57,[0]!Data,209,FALSE)</f>
        <v>21552</v>
      </c>
      <c r="D57" s="322">
        <f>VLOOKUP($A57,[0]!Data,210,FALSE)</f>
        <v>3379</v>
      </c>
      <c r="E57" s="322">
        <f>VLOOKUP($A57,[0]!Data,211,FALSE)</f>
        <v>13849</v>
      </c>
      <c r="F57" s="322">
        <f>VLOOKUP($A57,[0]!Data,213,FALSE)</f>
        <v>0</v>
      </c>
      <c r="G57" s="322">
        <f>VLOOKUP($A57,[0]!Data,214,FALSE)</f>
        <v>38780</v>
      </c>
      <c r="H57" s="322">
        <f>VLOOKUP($A57,[0]!Data,215,FALSE)+VLOOKUP($A57,[0]!Data,226,FALSE)</f>
        <v>2505</v>
      </c>
      <c r="I57" s="322">
        <f>VLOOKUP($A57,[0]!Data,216,FALSE)+VLOOKUP($A57,[0]!Data,229,FALSE)</f>
        <v>16118</v>
      </c>
      <c r="J57" s="322">
        <f>VLOOKUP($A57,[0]!Data,223,FALSE)</f>
        <v>1467</v>
      </c>
      <c r="K57" s="322">
        <f>VLOOKUP($A57,[0]!Data,230,FALSE)</f>
        <v>0</v>
      </c>
      <c r="L57" s="322">
        <f>VLOOKUP($A57,[0]!Data,234,FALSE)</f>
        <v>4757</v>
      </c>
      <c r="M57" s="322">
        <f>VLOOKUP($A57,[0]!Data,235,FALSE)</f>
        <v>6368</v>
      </c>
      <c r="N57" s="324">
        <f>VLOOKUP($A57,[0]!Data,240,FALSE)</f>
        <v>63627</v>
      </c>
    </row>
    <row r="58" spans="1:14" ht="14.25" x14ac:dyDescent="0.2">
      <c r="A58" s="36" t="s">
        <v>1360</v>
      </c>
      <c r="B58" s="36" t="s">
        <v>1553</v>
      </c>
      <c r="C58" s="322">
        <f>VLOOKUP($A58,[0]!Data,209,FALSE)</f>
        <v>79147</v>
      </c>
      <c r="D58" s="322">
        <f>VLOOKUP($A58,[0]!Data,210,FALSE)</f>
        <v>3898</v>
      </c>
      <c r="E58" s="322">
        <f>VLOOKUP($A58,[0]!Data,211,FALSE)</f>
        <v>51062</v>
      </c>
      <c r="F58" s="322">
        <f>VLOOKUP($A58,[0]!Data,213,FALSE)</f>
        <v>1151</v>
      </c>
      <c r="G58" s="322">
        <f>VLOOKUP($A58,[0]!Data,214,FALSE)</f>
        <v>135258</v>
      </c>
      <c r="H58" s="322">
        <f>VLOOKUP($A58,[0]!Data,215,FALSE)+VLOOKUP($A58,[0]!Data,226,FALSE)</f>
        <v>8800</v>
      </c>
      <c r="I58" s="322">
        <f>VLOOKUP($A58,[0]!Data,216,FALSE)+VLOOKUP($A58,[0]!Data,229,FALSE)</f>
        <v>17028</v>
      </c>
      <c r="J58" s="322">
        <f>VLOOKUP($A58,[0]!Data,223,FALSE)</f>
        <v>10195</v>
      </c>
      <c r="K58" s="322">
        <f>VLOOKUP($A58,[0]!Data,230,FALSE)</f>
        <v>0</v>
      </c>
      <c r="L58" s="322">
        <f>VLOOKUP($A58,[0]!Data,234,FALSE)</f>
        <v>5244</v>
      </c>
      <c r="M58" s="322">
        <f>VLOOKUP($A58,[0]!Data,235,FALSE)</f>
        <v>17149</v>
      </c>
      <c r="N58" s="324">
        <f>VLOOKUP($A58,[0]!Data,240,FALSE)</f>
        <v>177481</v>
      </c>
    </row>
    <row r="59" spans="1:14" ht="14.25" x14ac:dyDescent="0.2">
      <c r="A59" s="36" t="s">
        <v>1371</v>
      </c>
      <c r="B59" s="36" t="s">
        <v>1554</v>
      </c>
      <c r="C59" s="322">
        <f>VLOOKUP($A59,[0]!Data,209,FALSE)</f>
        <v>124401</v>
      </c>
      <c r="D59" s="322">
        <f>VLOOKUP($A59,[0]!Data,210,FALSE)</f>
        <v>9536</v>
      </c>
      <c r="E59" s="322">
        <f>VLOOKUP($A59,[0]!Data,211,FALSE)</f>
        <v>79229</v>
      </c>
      <c r="F59" s="322">
        <f>VLOOKUP($A59,[0]!Data,213,FALSE)</f>
        <v>0</v>
      </c>
      <c r="G59" s="322">
        <f>VLOOKUP($A59,[0]!Data,214,FALSE)</f>
        <v>213166</v>
      </c>
      <c r="H59" s="322">
        <f>VLOOKUP($A59,[0]!Data,215,FALSE)+VLOOKUP($A59,[0]!Data,226,FALSE)</f>
        <v>27143</v>
      </c>
      <c r="I59" s="322">
        <f>VLOOKUP($A59,[0]!Data,216,FALSE)+VLOOKUP($A59,[0]!Data,229,FALSE)</f>
        <v>56342</v>
      </c>
      <c r="J59" s="322">
        <f>VLOOKUP($A59,[0]!Data,223,FALSE)</f>
        <v>29604</v>
      </c>
      <c r="K59" s="322">
        <f>VLOOKUP($A59,[0]!Data,230,FALSE)</f>
        <v>3186</v>
      </c>
      <c r="L59" s="322">
        <f>VLOOKUP($A59,[0]!Data,234,FALSE)</f>
        <v>45374</v>
      </c>
      <c r="M59" s="322">
        <f>VLOOKUP($A59,[0]!Data,235,FALSE)</f>
        <v>85278</v>
      </c>
      <c r="N59" s="324">
        <f>VLOOKUP($A59,[0]!Data,240,FALSE)</f>
        <v>374815</v>
      </c>
    </row>
    <row r="60" spans="1:14" ht="14.25" x14ac:dyDescent="0.2">
      <c r="A60" s="36" t="s">
        <v>1383</v>
      </c>
      <c r="B60" s="36" t="s">
        <v>1555</v>
      </c>
      <c r="C60" s="322">
        <f>VLOOKUP($A60,[0]!Data,209,FALSE)</f>
        <v>238335</v>
      </c>
      <c r="D60" s="322">
        <f>VLOOKUP($A60,[0]!Data,210,FALSE)</f>
        <v>39991</v>
      </c>
      <c r="E60" s="322">
        <f>VLOOKUP($A60,[0]!Data,211,FALSE)</f>
        <v>378982</v>
      </c>
      <c r="F60" s="322">
        <f>VLOOKUP($A60,[0]!Data,213,FALSE)</f>
        <v>4574</v>
      </c>
      <c r="G60" s="322">
        <f>VLOOKUP($A60,[0]!Data,214,FALSE)</f>
        <v>663709</v>
      </c>
      <c r="H60" s="322">
        <f>VLOOKUP($A60,[0]!Data,215,FALSE)+VLOOKUP($A60,[0]!Data,226,FALSE)</f>
        <v>51858</v>
      </c>
      <c r="I60" s="322">
        <f>VLOOKUP($A60,[0]!Data,216,FALSE)+VLOOKUP($A60,[0]!Data,229,FALSE)</f>
        <v>161382</v>
      </c>
      <c r="J60" s="322">
        <f>VLOOKUP($A60,[0]!Data,223,FALSE)</f>
        <v>49659</v>
      </c>
      <c r="K60" s="322">
        <f>VLOOKUP($A60,[0]!Data,230,FALSE)</f>
        <v>2263</v>
      </c>
      <c r="L60" s="322">
        <f>VLOOKUP($A60,[0]!Data,234,FALSE)</f>
        <v>276108</v>
      </c>
      <c r="M60" s="322">
        <f>VLOOKUP($A60,[0]!Data,235,FALSE)</f>
        <v>338553</v>
      </c>
      <c r="N60" s="324">
        <f>VLOOKUP($A60,[0]!Data,240,FALSE)</f>
        <v>1205226</v>
      </c>
    </row>
    <row r="61" spans="1:14" ht="14.25" x14ac:dyDescent="0.2">
      <c r="A61" s="36" t="s">
        <v>1146</v>
      </c>
      <c r="B61" s="36" t="s">
        <v>1556</v>
      </c>
      <c r="C61" s="322">
        <f>VLOOKUP($A61,[0]!Data,209,FALSE)</f>
        <v>33869</v>
      </c>
      <c r="D61" s="322">
        <f>VLOOKUP($A61,[0]!Data,210,FALSE)</f>
        <v>5126</v>
      </c>
      <c r="E61" s="322">
        <f>VLOOKUP($A61,[0]!Data,211,FALSE)</f>
        <v>39609</v>
      </c>
      <c r="F61" s="322">
        <f>VLOOKUP($A61,[0]!Data,213,FALSE)</f>
        <v>722</v>
      </c>
      <c r="G61" s="322">
        <f>VLOOKUP($A61,[0]!Data,214,FALSE)</f>
        <v>79326</v>
      </c>
      <c r="H61" s="322">
        <f>VLOOKUP($A61,[0]!Data,215,FALSE)+VLOOKUP($A61,[0]!Data,226,FALSE)</f>
        <v>4693</v>
      </c>
      <c r="I61" s="322">
        <f>VLOOKUP($A61,[0]!Data,216,FALSE)+VLOOKUP($A61,[0]!Data,229,FALSE)</f>
        <v>4808</v>
      </c>
      <c r="J61" s="322">
        <f>VLOOKUP($A61,[0]!Data,223,FALSE)</f>
        <v>3136</v>
      </c>
      <c r="K61" s="322">
        <f>VLOOKUP($A61,[0]!Data,230,FALSE)</f>
        <v>95</v>
      </c>
      <c r="L61" s="322">
        <f>VLOOKUP($A61,[0]!Data,234,FALSE)</f>
        <v>2962</v>
      </c>
      <c r="M61" s="322">
        <f>VLOOKUP($A61,[0]!Data,235,FALSE)</f>
        <v>6829</v>
      </c>
      <c r="N61" s="324">
        <f>VLOOKUP($A61,[0]!Data,240,FALSE)</f>
        <v>95020</v>
      </c>
    </row>
    <row r="62" spans="1:14" ht="14.25" x14ac:dyDescent="0.2">
      <c r="A62" s="36" t="s">
        <v>1394</v>
      </c>
      <c r="B62" s="36" t="s">
        <v>1557</v>
      </c>
      <c r="C62" s="322">
        <f>VLOOKUP($A62,All!A$3:RC$87,209,FALSE)</f>
        <v>3017164</v>
      </c>
      <c r="D62" s="322">
        <f>VLOOKUP($A62,All!A$3:RC$87,210,FALSE)</f>
        <v>422150</v>
      </c>
      <c r="E62" s="322">
        <f>VLOOKUP($A62,All!A$3:RC$87,211,FALSE)</f>
        <v>5717566</v>
      </c>
      <c r="F62" s="322">
        <f>VLOOKUP($A62,All!A$3:RC$87,213,FALSE)</f>
        <v>53920</v>
      </c>
      <c r="G62" s="322">
        <f>VLOOKUP($A62,All!A$3:RC$87,214,FALSE)</f>
        <v>9210800</v>
      </c>
      <c r="H62" s="322">
        <f>VLOOKUP($A62,All!A$3:RC$87,215,FALSE)+VLOOKUP($A62,All!A$3:RC$87,226,FALSE)</f>
        <v>534735</v>
      </c>
      <c r="I62" s="322">
        <f>VLOOKUP($A62,All!A$3:RC$87,216,FALSE)+VLOOKUP($A62,All!A$3:RC$87,229,FALSE)</f>
        <v>0</v>
      </c>
      <c r="J62" s="322">
        <f>VLOOKUP($A62,All!A$3:RC$87,223,FALSE)</f>
        <v>590156</v>
      </c>
      <c r="K62" s="322">
        <f>VLOOKUP($A62,All!A$3:RC$87,230,FALSE)</f>
        <v>0</v>
      </c>
      <c r="L62" s="322">
        <f>VLOOKUP($A62,All!A$3:RC$87,234,FALSE)</f>
        <v>551642</v>
      </c>
      <c r="M62" s="322">
        <f>VLOOKUP($A62,All!A$3:RC$87,235,FALSE)</f>
        <v>1398512</v>
      </c>
      <c r="N62" s="324">
        <f>VLOOKUP($A62,All!A$3:RC$87,240,FALSE)</f>
        <v>10887333</v>
      </c>
    </row>
    <row r="63" spans="1:14" ht="14.25" x14ac:dyDescent="0.2">
      <c r="A63" s="36" t="s">
        <v>1408</v>
      </c>
      <c r="B63" s="36" t="s">
        <v>1558</v>
      </c>
      <c r="C63" s="322">
        <f>VLOOKUP($A63,All!A$3:RC$87,209,FALSE)</f>
        <v>18364</v>
      </c>
      <c r="D63" s="322">
        <f>VLOOKUP($A63,All!A$3:RC$87,210,FALSE)</f>
        <v>0</v>
      </c>
      <c r="E63" s="322">
        <f>VLOOKUP($A63,All!A$3:RC$87,211,FALSE)</f>
        <v>13055</v>
      </c>
      <c r="F63" s="322">
        <f>VLOOKUP($A63,All!A$3:RC$87,213,FALSE)</f>
        <v>3646</v>
      </c>
      <c r="G63" s="322">
        <f>VLOOKUP($A63,All!A$3:RC$87,214,FALSE)</f>
        <v>35065</v>
      </c>
      <c r="H63" s="322">
        <f>VLOOKUP($A63,All!A$3:RC$87,215,FALSE)+VLOOKUP($A63,All!A$3:RC$87,226,FALSE)</f>
        <v>1923</v>
      </c>
      <c r="I63" s="322">
        <f>VLOOKUP($A63,All!A$3:RC$87,216,FALSE)+VLOOKUP($A63,All!A$3:RC$87,229,FALSE)</f>
        <v>8328</v>
      </c>
      <c r="J63" s="322">
        <f>VLOOKUP($A63,All!A$3:RC$87,223,FALSE)</f>
        <v>73</v>
      </c>
      <c r="K63" s="322">
        <f>VLOOKUP($A63,All!A$3:RC$87,230,FALSE)</f>
        <v>0</v>
      </c>
      <c r="L63" s="322">
        <f>VLOOKUP($A63,All!A$3:RC$87,234,FALSE)</f>
        <v>625</v>
      </c>
      <c r="M63" s="322">
        <f>VLOOKUP($A63,All!A$3:RC$87,235,FALSE)</f>
        <v>841</v>
      </c>
      <c r="N63" s="324">
        <f>VLOOKUP($A63,All!A$3:RC$87,240,FALSE)</f>
        <v>47643</v>
      </c>
    </row>
    <row r="64" spans="1:14" ht="14.25" x14ac:dyDescent="0.2">
      <c r="A64" s="36" t="s">
        <v>1420</v>
      </c>
      <c r="B64" s="36" t="s">
        <v>1559</v>
      </c>
      <c r="C64" s="322">
        <f>VLOOKUP($A64,All!A$3:RC$87,209,FALSE)</f>
        <v>103559</v>
      </c>
      <c r="D64" s="322">
        <f>VLOOKUP($A64,All!A$3:RC$87,210,FALSE)</f>
        <v>13679</v>
      </c>
      <c r="E64" s="322">
        <f>VLOOKUP($A64,All!A$3:RC$87,211,FALSE)</f>
        <v>98627</v>
      </c>
      <c r="F64" s="322">
        <f>VLOOKUP($A64,All!A$3:RC$87,213,FALSE)</f>
        <v>2633</v>
      </c>
      <c r="G64" s="322">
        <f>VLOOKUP($A64,All!A$3:RC$87,214,FALSE)</f>
        <v>218647</v>
      </c>
      <c r="H64" s="322">
        <f>VLOOKUP($A64,All!A$3:RC$87,215,FALSE)+VLOOKUP($A64,All!A$3:RC$87,226,FALSE)</f>
        <v>12793</v>
      </c>
      <c r="I64" s="322">
        <f>VLOOKUP($A64,All!A$3:RC$87,216,FALSE)+VLOOKUP($A64,All!A$3:RC$87,229,FALSE)</f>
        <v>35505</v>
      </c>
      <c r="J64" s="322">
        <f>VLOOKUP($A64,All!A$3:RC$87,223,FALSE)</f>
        <v>21277</v>
      </c>
      <c r="K64" s="322">
        <f>VLOOKUP($A64,All!A$3:RC$87,230,FALSE)</f>
        <v>511</v>
      </c>
      <c r="L64" s="322">
        <f>VLOOKUP($A64,All!A$3:RC$87,234,FALSE)</f>
        <v>89257</v>
      </c>
      <c r="M64" s="322">
        <f>VLOOKUP($A64,All!A$3:RC$87,235,FALSE)</f>
        <v>113443</v>
      </c>
      <c r="N64" s="324">
        <f>VLOOKUP($A64,All!A$3:RC$87,240,FALSE)</f>
        <v>377999</v>
      </c>
    </row>
    <row r="65" spans="1:14" ht="14.25" x14ac:dyDescent="0.2">
      <c r="A65" s="36" t="s">
        <v>1432</v>
      </c>
      <c r="B65" s="36" t="s">
        <v>1560</v>
      </c>
      <c r="C65" s="322">
        <f>VLOOKUP($A65,All!A$3:RC$87,209,FALSE)</f>
        <v>98531</v>
      </c>
      <c r="D65" s="322">
        <f>VLOOKUP($A65,All!A$3:RC$87,210,FALSE)</f>
        <v>10917</v>
      </c>
      <c r="E65" s="322">
        <f>VLOOKUP($A65,All!A$3:RC$87,211,FALSE)</f>
        <v>100535</v>
      </c>
      <c r="F65" s="322">
        <f>VLOOKUP($A65,All!A$3:RC$87,213,FALSE)</f>
        <v>5111</v>
      </c>
      <c r="G65" s="322">
        <f>VLOOKUP($A65,All!A$3:RC$87,214,FALSE)</f>
        <v>215094</v>
      </c>
      <c r="H65" s="322">
        <f>VLOOKUP($A65,All!A$3:RC$87,215,FALSE)+VLOOKUP($A65,All!A$3:RC$87,226,FALSE)</f>
        <v>12874</v>
      </c>
      <c r="I65" s="322">
        <f>VLOOKUP($A65,All!A$3:RC$87,216,FALSE)+VLOOKUP($A65,All!A$3:RC$87,229,FALSE)</f>
        <v>34114</v>
      </c>
      <c r="J65" s="322">
        <f>VLOOKUP($A65,All!A$3:RC$87,223,FALSE)</f>
        <v>7117</v>
      </c>
      <c r="K65" s="322">
        <f>VLOOKUP($A65,All!A$3:RC$87,230,FALSE)</f>
        <v>0</v>
      </c>
      <c r="L65" s="322">
        <f>VLOOKUP($A65,All!A$3:RC$87,234,FALSE)</f>
        <v>73322</v>
      </c>
      <c r="M65" s="322">
        <f>VLOOKUP($A65,All!A$3:RC$87,235,FALSE)</f>
        <v>81661</v>
      </c>
      <c r="N65" s="324">
        <f>VLOOKUP($A65,All!A$3:RC$87,240,FALSE)</f>
        <v>342521</v>
      </c>
    </row>
    <row r="66" spans="1:14" thickBot="1" x14ac:dyDescent="0.25">
      <c r="A66" s="624" t="s">
        <v>1471</v>
      </c>
      <c r="B66" s="626"/>
      <c r="C66" s="568">
        <f t="shared" ref="C66:N66" si="0">AVERAGE(C8:C65)</f>
        <v>229795.89655172414</v>
      </c>
      <c r="D66" s="568">
        <f t="shared" si="0"/>
        <v>26723.275862068964</v>
      </c>
      <c r="E66" s="568">
        <f t="shared" si="0"/>
        <v>289022.72413793101</v>
      </c>
      <c r="F66" s="568">
        <f t="shared" si="0"/>
        <v>3154.5</v>
      </c>
      <c r="G66" s="568">
        <f t="shared" si="0"/>
        <v>551209.48275862064</v>
      </c>
      <c r="H66" s="568">
        <f t="shared" si="0"/>
        <v>51898.896551724138</v>
      </c>
      <c r="I66" s="568">
        <f t="shared" si="0"/>
        <v>83760.551724137928</v>
      </c>
      <c r="J66" s="568">
        <f t="shared" si="0"/>
        <v>46247.982758620688</v>
      </c>
      <c r="K66" s="568">
        <f t="shared" si="0"/>
        <v>2502.3793103448274</v>
      </c>
      <c r="L66" s="568">
        <f t="shared" si="0"/>
        <v>108562.27586206897</v>
      </c>
      <c r="M66" s="568">
        <f t="shared" si="0"/>
        <v>176187.56896551725</v>
      </c>
      <c r="N66" s="583">
        <f t="shared" si="0"/>
        <v>846392.20689655177</v>
      </c>
    </row>
    <row r="67" spans="1:14" ht="15.75" thickTop="1" thickBot="1" x14ac:dyDescent="0.25">
      <c r="A67" s="602" t="s">
        <v>1455</v>
      </c>
      <c r="B67" s="602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50"/>
      <c r="N67" s="383"/>
    </row>
    <row r="68" spans="1:14" thickTop="1" x14ac:dyDescent="0.2">
      <c r="A68" s="36" t="s">
        <v>364</v>
      </c>
      <c r="B68" s="36" t="s">
        <v>1561</v>
      </c>
      <c r="C68" s="322">
        <f>VLOOKUP($A68,[0]!Data,209,FALSE)</f>
        <v>40744</v>
      </c>
      <c r="D68" s="322">
        <f>VLOOKUP($A68,[0]!Data,210,FALSE)</f>
        <v>3168</v>
      </c>
      <c r="E68" s="322">
        <f>VLOOKUP($A68,[0]!Data,211,FALSE)</f>
        <v>29411</v>
      </c>
      <c r="F68" s="322">
        <f>VLOOKUP($A68,[0]!Data,213,FALSE)</f>
        <v>435</v>
      </c>
      <c r="G68" s="322">
        <f>VLOOKUP($A68,[0]!Data,214,FALSE)</f>
        <v>73758</v>
      </c>
      <c r="H68" s="322">
        <f>VLOOKUP($A68,[0]!Data,215,FALSE)+VLOOKUP($A68,[0]!Data,226,FALSE)</f>
        <v>4067</v>
      </c>
      <c r="I68" s="322">
        <f>VLOOKUP($A68,[0]!Data,216,FALSE)+VLOOKUP($A68,[0]!Data,229,FALSE)</f>
        <v>14767</v>
      </c>
      <c r="J68" s="322">
        <f>VLOOKUP($A68,[0]!Data,223,FALSE)</f>
        <v>34</v>
      </c>
      <c r="K68" s="322">
        <f>VLOOKUP($A68,[0]!Data,230,FALSE)</f>
        <v>0</v>
      </c>
      <c r="L68" s="322">
        <f>VLOOKUP($A68,[0]!Data,234,FALSE)</f>
        <v>3266</v>
      </c>
      <c r="M68" s="322">
        <f>VLOOKUP($A68,[0]!Data,235,FALSE)</f>
        <v>3325</v>
      </c>
      <c r="N68" s="324">
        <f>VLOOKUP($A68,[0]!Data,240,FALSE)</f>
        <v>95912</v>
      </c>
    </row>
    <row r="69" spans="1:14" ht="14.25" x14ac:dyDescent="0.2">
      <c r="A69" s="36" t="s">
        <v>409</v>
      </c>
      <c r="B69" s="36" t="s">
        <v>1562</v>
      </c>
      <c r="C69" s="322">
        <f>VLOOKUP($A69,[0]!Data,209,FALSE)</f>
        <v>121315</v>
      </c>
      <c r="D69" s="322">
        <f>VLOOKUP($A69,[0]!Data,210,FALSE)</f>
        <v>9275</v>
      </c>
      <c r="E69" s="322">
        <f>VLOOKUP($A69,[0]!Data,211,FALSE)</f>
        <v>166029</v>
      </c>
      <c r="F69" s="322">
        <f>VLOOKUP($A69,[0]!Data,213,FALSE)</f>
        <v>14939</v>
      </c>
      <c r="G69" s="322">
        <f>VLOOKUP($A69,[0]!Data,214,FALSE)</f>
        <v>311962</v>
      </c>
      <c r="H69" s="322">
        <f>VLOOKUP($A69,[0]!Data,215,FALSE)+VLOOKUP($A69,[0]!Data,226,FALSE)</f>
        <v>4614</v>
      </c>
      <c r="I69" s="322">
        <f>VLOOKUP($A69,[0]!Data,216,FALSE)+VLOOKUP($A69,[0]!Data,229,FALSE)</f>
        <v>8879</v>
      </c>
      <c r="J69" s="322">
        <f>VLOOKUP($A69,[0]!Data,223,FALSE)</f>
        <v>74</v>
      </c>
      <c r="K69" s="322">
        <f>VLOOKUP($A69,[0]!Data,230,FALSE)</f>
        <v>0</v>
      </c>
      <c r="L69" s="322">
        <f>VLOOKUP($A69,[0]!Data,234,FALSE)</f>
        <v>2472</v>
      </c>
      <c r="M69" s="322">
        <f>VLOOKUP($A69,[0]!Data,235,FALSE)</f>
        <v>2986</v>
      </c>
      <c r="N69" s="324">
        <f>VLOOKUP($A69,[0]!Data,240,FALSE)</f>
        <v>331735</v>
      </c>
    </row>
    <row r="70" spans="1:14" ht="14.25" x14ac:dyDescent="0.2">
      <c r="A70" s="36" t="s">
        <v>393</v>
      </c>
      <c r="B70" s="36" t="s">
        <v>1563</v>
      </c>
      <c r="C70" s="322">
        <f>VLOOKUP($A70,[0]!Data,209,FALSE)</f>
        <v>232312</v>
      </c>
      <c r="D70" s="322">
        <f>VLOOKUP($A70,[0]!Data,210,FALSE)</f>
        <v>28474</v>
      </c>
      <c r="E70" s="322">
        <f>VLOOKUP($A70,[0]!Data,211,FALSE)</f>
        <v>194074</v>
      </c>
      <c r="F70" s="322">
        <f>VLOOKUP($A70,[0]!Data,213,FALSE)</f>
        <v>4026</v>
      </c>
      <c r="G70" s="322">
        <f>VLOOKUP($A70,[0]!Data,214,FALSE)</f>
        <v>470246</v>
      </c>
      <c r="H70" s="322">
        <f>VLOOKUP($A70,[0]!Data,215,FALSE)+VLOOKUP($A70,[0]!Data,226,FALSE)</f>
        <v>40512</v>
      </c>
      <c r="I70" s="322">
        <f>VLOOKUP($A70,[0]!Data,216,FALSE)+VLOOKUP($A70,[0]!Data,229,FALSE)</f>
        <v>120258</v>
      </c>
      <c r="J70" s="322">
        <f>VLOOKUP($A70,[0]!Data,223,FALSE)</f>
        <v>12076</v>
      </c>
      <c r="K70" s="322">
        <f>VLOOKUP($A70,[0]!Data,230,FALSE)</f>
        <v>0</v>
      </c>
      <c r="L70" s="322">
        <f>VLOOKUP($A70,[0]!Data,234,FALSE)</f>
        <v>81160</v>
      </c>
      <c r="M70" s="322">
        <f>VLOOKUP($A70,[0]!Data,235,FALSE)</f>
        <v>95378</v>
      </c>
      <c r="N70" s="324">
        <f>VLOOKUP($A70,[0]!Data,240,FALSE)</f>
        <v>725076</v>
      </c>
    </row>
    <row r="71" spans="1:14" ht="14.25" x14ac:dyDescent="0.2">
      <c r="A71" s="36" t="s">
        <v>428</v>
      </c>
      <c r="B71" s="36" t="s">
        <v>1564</v>
      </c>
      <c r="C71" s="322">
        <f>VLOOKUP($A71,[0]!Data,209,FALSE)</f>
        <v>41567</v>
      </c>
      <c r="D71" s="322">
        <f>VLOOKUP($A71,[0]!Data,210,FALSE)</f>
        <v>137</v>
      </c>
      <c r="E71" s="322">
        <f>VLOOKUP($A71,[0]!Data,211,FALSE)</f>
        <v>27404</v>
      </c>
      <c r="F71" s="322">
        <f>VLOOKUP($A71,[0]!Data,213,FALSE)</f>
        <v>616</v>
      </c>
      <c r="G71" s="322">
        <f>VLOOKUP($A71,[0]!Data,214,FALSE)</f>
        <v>70275</v>
      </c>
      <c r="H71" s="322">
        <f>VLOOKUP($A71,[0]!Data,215,FALSE)+VLOOKUP($A71,[0]!Data,226,FALSE)</f>
        <v>1766</v>
      </c>
      <c r="I71" s="322">
        <f>VLOOKUP($A71,[0]!Data,216,FALSE)+VLOOKUP($A71,[0]!Data,229,FALSE)</f>
        <v>11271</v>
      </c>
      <c r="J71" s="322">
        <f>VLOOKUP($A71,[0]!Data,223,FALSE)</f>
        <v>866</v>
      </c>
      <c r="K71" s="322">
        <f>VLOOKUP($A71,[0]!Data,230,FALSE)</f>
        <v>128</v>
      </c>
      <c r="L71" s="322">
        <f>VLOOKUP($A71,[0]!Data,234,FALSE)</f>
        <v>3980</v>
      </c>
      <c r="M71" s="322">
        <f>VLOOKUP($A71,[0]!Data,235,FALSE)</f>
        <v>5336</v>
      </c>
      <c r="N71" s="324">
        <f>VLOOKUP($A71,[0]!Data,240,FALSE)</f>
        <v>88310</v>
      </c>
    </row>
    <row r="72" spans="1:14" ht="14.25" x14ac:dyDescent="0.2">
      <c r="A72" s="36" t="s">
        <v>629</v>
      </c>
      <c r="B72" s="36" t="s">
        <v>1565</v>
      </c>
      <c r="C72" s="322">
        <f>VLOOKUP($A72,[0]!Data,209,FALSE)</f>
        <v>237991</v>
      </c>
      <c r="D72" s="322">
        <f>VLOOKUP($A72,[0]!Data,210,FALSE)</f>
        <v>18449</v>
      </c>
      <c r="E72" s="322">
        <f>VLOOKUP($A72,[0]!Data,211,FALSE)</f>
        <v>153803</v>
      </c>
      <c r="F72" s="322">
        <f>VLOOKUP($A72,[0]!Data,213,FALSE)</f>
        <v>7057</v>
      </c>
      <c r="G72" s="322">
        <f>VLOOKUP($A72,[0]!Data,214,FALSE)</f>
        <v>441199</v>
      </c>
      <c r="H72" s="322">
        <f>VLOOKUP($A72,[0]!Data,215,FALSE)+VLOOKUP($A72,[0]!Data,226,FALSE)</f>
        <v>40239</v>
      </c>
      <c r="I72" s="322">
        <f>VLOOKUP($A72,[0]!Data,216,FALSE)+VLOOKUP($A72,[0]!Data,229,FALSE)</f>
        <v>20293</v>
      </c>
      <c r="J72" s="322">
        <f>VLOOKUP($A72,[0]!Data,223,FALSE)</f>
        <v>2790</v>
      </c>
      <c r="K72" s="322">
        <f>VLOOKUP($A72,[0]!Data,230,FALSE)</f>
        <v>0</v>
      </c>
      <c r="L72" s="322">
        <f>VLOOKUP($A72,[0]!Data,234,FALSE)</f>
        <v>100849</v>
      </c>
      <c r="M72" s="322">
        <f>VLOOKUP($A72,[0]!Data,235,FALSE)</f>
        <v>113677</v>
      </c>
      <c r="N72" s="324">
        <f>VLOOKUP($A72,[0]!Data,240,FALSE)</f>
        <v>608603</v>
      </c>
    </row>
    <row r="73" spans="1:14" ht="14.25" x14ac:dyDescent="0.2">
      <c r="A73" s="36" t="s">
        <v>715</v>
      </c>
      <c r="B73" s="36" t="s">
        <v>1566</v>
      </c>
      <c r="C73" s="322">
        <f>VLOOKUP($A73,[0]!Data,209,FALSE)</f>
        <v>163700</v>
      </c>
      <c r="D73" s="322">
        <f>VLOOKUP($A73,[0]!Data,210,FALSE)</f>
        <v>10331</v>
      </c>
      <c r="E73" s="322">
        <f>VLOOKUP($A73,[0]!Data,211,FALSE)</f>
        <v>131445</v>
      </c>
      <c r="F73" s="322">
        <f>VLOOKUP($A73,[0]!Data,213,FALSE)</f>
        <v>2579</v>
      </c>
      <c r="G73" s="322">
        <f>VLOOKUP($A73,[0]!Data,214,FALSE)</f>
        <v>314651</v>
      </c>
      <c r="H73" s="322">
        <f>VLOOKUP($A73,[0]!Data,215,FALSE)+VLOOKUP($A73,[0]!Data,226,FALSE)</f>
        <v>22388</v>
      </c>
      <c r="I73" s="322">
        <f>VLOOKUP($A73,[0]!Data,216,FALSE)+VLOOKUP($A73,[0]!Data,229,FALSE)</f>
        <v>78209</v>
      </c>
      <c r="J73" s="322">
        <f>VLOOKUP($A73,[0]!Data,223,FALSE)</f>
        <v>17818</v>
      </c>
      <c r="K73" s="322">
        <f>VLOOKUP($A73,[0]!Data,230,FALSE)</f>
        <v>311</v>
      </c>
      <c r="L73" s="322">
        <f>VLOOKUP($A73,[0]!Data,234,FALSE)</f>
        <v>40944</v>
      </c>
      <c r="M73" s="322">
        <f>VLOOKUP($A73,[0]!Data,235,FALSE)</f>
        <v>60025</v>
      </c>
      <c r="N73" s="324">
        <f>VLOOKUP($A73,[0]!Data,240,FALSE)</f>
        <v>474537</v>
      </c>
    </row>
    <row r="74" spans="1:14" ht="14.25" x14ac:dyDescent="0.2">
      <c r="A74" s="36" t="s">
        <v>754</v>
      </c>
      <c r="B74" s="36" t="s">
        <v>1567</v>
      </c>
      <c r="C74" s="322">
        <f>VLOOKUP($A74,[0]!Data,209,FALSE)</f>
        <v>172664</v>
      </c>
      <c r="D74" s="322">
        <f>VLOOKUP($A74,[0]!Data,210,FALSE)</f>
        <v>9146</v>
      </c>
      <c r="E74" s="322">
        <f>VLOOKUP($A74,[0]!Data,211,FALSE)</f>
        <v>108530</v>
      </c>
      <c r="F74" s="322">
        <f>VLOOKUP($A74,[0]!Data,213,FALSE)</f>
        <v>5401</v>
      </c>
      <c r="G74" s="322">
        <f>VLOOKUP($A74,[0]!Data,214,FALSE)</f>
        <v>295741</v>
      </c>
      <c r="H74" s="322">
        <f>VLOOKUP($A74,[0]!Data,215,FALSE)+VLOOKUP($A74,[0]!Data,226,FALSE)</f>
        <v>30912</v>
      </c>
      <c r="I74" s="322">
        <f>VLOOKUP($A74,[0]!Data,216,FALSE)+VLOOKUP($A74,[0]!Data,229,FALSE)</f>
        <v>34957</v>
      </c>
      <c r="J74" s="322">
        <f>VLOOKUP($A74,[0]!Data,223,FALSE)</f>
        <v>42077</v>
      </c>
      <c r="K74" s="322">
        <f>VLOOKUP($A74,[0]!Data,230,FALSE)</f>
        <v>1537</v>
      </c>
      <c r="L74" s="322">
        <f>VLOOKUP($A74,[0]!Data,234,FALSE)</f>
        <v>8924</v>
      </c>
      <c r="M74" s="322">
        <f>VLOOKUP($A74,[0]!Data,235,FALSE)</f>
        <v>58380</v>
      </c>
      <c r="N74" s="324">
        <f>VLOOKUP($A74,[0]!Data,240,FALSE)</f>
        <v>416500</v>
      </c>
    </row>
    <row r="75" spans="1:14" ht="14.25" x14ac:dyDescent="0.2">
      <c r="A75" s="36" t="s">
        <v>1048</v>
      </c>
      <c r="B75" s="36" t="s">
        <v>1568</v>
      </c>
      <c r="C75" s="322">
        <f>VLOOKUP($A75,[0]!Data,209,FALSE)</f>
        <v>122167</v>
      </c>
      <c r="D75" s="322">
        <f>VLOOKUP($A75,[0]!Data,210,FALSE)</f>
        <v>6394</v>
      </c>
      <c r="E75" s="322">
        <f>VLOOKUP($A75,[0]!Data,211,FALSE)</f>
        <v>59109</v>
      </c>
      <c r="F75" s="322">
        <f>VLOOKUP($A75,[0]!Data,213,FALSE)</f>
        <v>4261</v>
      </c>
      <c r="G75" s="322">
        <f>VLOOKUP($A75,[0]!Data,214,FALSE)</f>
        <v>191931</v>
      </c>
      <c r="H75" s="322">
        <f>VLOOKUP($A75,[0]!Data,215,FALSE)+VLOOKUP($A75,[0]!Data,226,FALSE)</f>
        <v>10692</v>
      </c>
      <c r="I75" s="322">
        <f>VLOOKUP($A75,[0]!Data,216,FALSE)+VLOOKUP($A75,[0]!Data,229,FALSE)</f>
        <v>52073</v>
      </c>
      <c r="J75" s="322">
        <f>VLOOKUP($A75,[0]!Data,223,FALSE)</f>
        <v>116</v>
      </c>
      <c r="K75" s="322">
        <f>VLOOKUP($A75,[0]!Data,230,FALSE)</f>
        <v>0</v>
      </c>
      <c r="L75" s="322">
        <f>VLOOKUP($A75,[0]!Data,234,FALSE)</f>
        <v>68850</v>
      </c>
      <c r="M75" s="322">
        <f>VLOOKUP($A75,[0]!Data,235,FALSE)</f>
        <v>70048</v>
      </c>
      <c r="N75" s="324">
        <f>VLOOKUP($A75,[0]!Data,240,FALSE)</f>
        <v>323721</v>
      </c>
    </row>
    <row r="76" spans="1:14" ht="14.25" x14ac:dyDescent="0.2">
      <c r="A76" s="36" t="s">
        <v>1064</v>
      </c>
      <c r="B76" s="36" t="s">
        <v>1569</v>
      </c>
      <c r="C76" s="322">
        <f>VLOOKUP($A76,[0]!Data,209,FALSE)</f>
        <v>109930</v>
      </c>
      <c r="D76" s="322">
        <f>VLOOKUP($A76,[0]!Data,210,FALSE)</f>
        <v>8476</v>
      </c>
      <c r="E76" s="322">
        <f>VLOOKUP($A76,[0]!Data,211,FALSE)</f>
        <v>53880</v>
      </c>
      <c r="F76" s="322">
        <f>VLOOKUP($A76,[0]!Data,213,FALSE)</f>
        <v>3310</v>
      </c>
      <c r="G76" s="322">
        <f>VLOOKUP($A76,[0]!Data,214,FALSE)</f>
        <v>180111</v>
      </c>
      <c r="H76" s="322">
        <f>VLOOKUP($A76,[0]!Data,215,FALSE)+VLOOKUP($A76,[0]!Data,226,FALSE)</f>
        <v>8894</v>
      </c>
      <c r="I76" s="322">
        <f>VLOOKUP($A76,[0]!Data,216,FALSE)+VLOOKUP($A76,[0]!Data,229,FALSE)</f>
        <v>44315</v>
      </c>
      <c r="J76" s="322">
        <f>VLOOKUP($A76,[0]!Data,223,FALSE)</f>
        <v>4162</v>
      </c>
      <c r="K76" s="322">
        <f>VLOOKUP($A76,[0]!Data,230,FALSE)</f>
        <v>1083</v>
      </c>
      <c r="L76" s="322">
        <f>VLOOKUP($A76,[0]!Data,234,FALSE)</f>
        <v>9859</v>
      </c>
      <c r="M76" s="322">
        <f>VLOOKUP($A76,[0]!Data,235,FALSE)</f>
        <v>16456</v>
      </c>
      <c r="N76" s="324">
        <f>VLOOKUP($A76,[0]!Data,240,FALSE)</f>
        <v>249120</v>
      </c>
    </row>
    <row r="77" spans="1:14" ht="14.25" x14ac:dyDescent="0.2">
      <c r="A77" s="36" t="s">
        <v>1093</v>
      </c>
      <c r="B77" s="36" t="s">
        <v>1570</v>
      </c>
      <c r="C77" s="322">
        <f>VLOOKUP($A77,[0]!Data,209,FALSE)</f>
        <v>191361</v>
      </c>
      <c r="D77" s="322">
        <f>VLOOKUP($A77,[0]!Data,210,FALSE)</f>
        <v>8552</v>
      </c>
      <c r="E77" s="322">
        <f>VLOOKUP($A77,[0]!Data,211,FALSE)</f>
        <v>164339</v>
      </c>
      <c r="F77" s="322">
        <f>VLOOKUP($A77,[0]!Data,213,FALSE)</f>
        <v>4911</v>
      </c>
      <c r="G77" s="322">
        <f>VLOOKUP($A77,[0]!Data,214,FALSE)</f>
        <v>369973</v>
      </c>
      <c r="H77" s="322">
        <f>VLOOKUP($A77,[0]!Data,215,FALSE)+VLOOKUP($A77,[0]!Data,226,FALSE)</f>
        <v>10659</v>
      </c>
      <c r="I77" s="322">
        <f>VLOOKUP($A77,[0]!Data,216,FALSE)+VLOOKUP($A77,[0]!Data,229,FALSE)</f>
        <v>36826</v>
      </c>
      <c r="J77" s="322">
        <f>VLOOKUP($A77,[0]!Data,223,FALSE)</f>
        <v>9076</v>
      </c>
      <c r="K77" s="322">
        <f>VLOOKUP($A77,[0]!Data,230,FALSE)</f>
        <v>0</v>
      </c>
      <c r="L77" s="322">
        <f>VLOOKUP($A77,[0]!Data,234,FALSE)</f>
        <v>16813</v>
      </c>
      <c r="M77" s="322">
        <f>VLOOKUP($A77,[0]!Data,235,FALSE)</f>
        <v>27015</v>
      </c>
      <c r="N77" s="324">
        <f>VLOOKUP($A77,[0]!Data,240,FALSE)</f>
        <v>443368</v>
      </c>
    </row>
    <row r="78" spans="1:14" ht="14.25" x14ac:dyDescent="0.2">
      <c r="A78" s="36" t="s">
        <v>1172</v>
      </c>
      <c r="B78" s="36" t="s">
        <v>1571</v>
      </c>
      <c r="C78" s="322">
        <f>VLOOKUP($A78,[0]!Data,209,FALSE)</f>
        <v>49770</v>
      </c>
      <c r="D78" s="322">
        <f>VLOOKUP($A78,[0]!Data,210,FALSE)</f>
        <v>4653</v>
      </c>
      <c r="E78" s="322">
        <f>VLOOKUP($A78,[0]!Data,211,FALSE)</f>
        <v>37140</v>
      </c>
      <c r="F78" s="322">
        <f>VLOOKUP($A78,[0]!Data,213,FALSE)</f>
        <v>1831</v>
      </c>
      <c r="G78" s="322">
        <f>VLOOKUP($A78,[0]!Data,214,FALSE)</f>
        <v>93873</v>
      </c>
      <c r="H78" s="322">
        <f>VLOOKUP($A78,[0]!Data,215,FALSE)+VLOOKUP($A78,[0]!Data,226,FALSE)</f>
        <v>8332</v>
      </c>
      <c r="I78" s="322">
        <f>VLOOKUP($A78,[0]!Data,216,FALSE)+VLOOKUP($A78,[0]!Data,229,FALSE)</f>
        <v>25750</v>
      </c>
      <c r="J78" s="322">
        <f>VLOOKUP($A78,[0]!Data,223,FALSE)</f>
        <v>7789</v>
      </c>
      <c r="K78" s="322">
        <f>VLOOKUP($A78,[0]!Data,230,FALSE)</f>
        <v>0</v>
      </c>
      <c r="L78" s="322">
        <f>VLOOKUP($A78,[0]!Data,234,FALSE)</f>
        <v>5687</v>
      </c>
      <c r="M78" s="322">
        <f>VLOOKUP($A78,[0]!Data,235,FALSE)</f>
        <v>14633</v>
      </c>
      <c r="N78" s="324">
        <f>VLOOKUP($A78,[0]!Data,240,FALSE)</f>
        <v>142944</v>
      </c>
    </row>
    <row r="79" spans="1:14" ht="14.25" x14ac:dyDescent="0.2">
      <c r="A79" s="36" t="s">
        <v>1305</v>
      </c>
      <c r="B79" s="36" t="s">
        <v>1572</v>
      </c>
      <c r="C79" s="322">
        <f>VLOOKUP($A79,[0]!Data,209,FALSE)</f>
        <v>139532</v>
      </c>
      <c r="D79" s="322">
        <f>VLOOKUP($A79,[0]!Data,210,FALSE)</f>
        <v>18607</v>
      </c>
      <c r="E79" s="322">
        <f>VLOOKUP($A79,[0]!Data,211,FALSE)</f>
        <v>133653</v>
      </c>
      <c r="F79" s="322">
        <f>VLOOKUP($A79,[0]!Data,213,FALSE)</f>
        <v>4120</v>
      </c>
      <c r="G79" s="322">
        <f>VLOOKUP($A79,[0]!Data,214,FALSE)</f>
        <v>295912</v>
      </c>
      <c r="H79" s="322">
        <f>VLOOKUP($A79,[0]!Data,215,FALSE)+VLOOKUP($A79,[0]!Data,226,FALSE)</f>
        <v>12329</v>
      </c>
      <c r="I79" s="322">
        <f>VLOOKUP($A79,[0]!Data,216,FALSE)+VLOOKUP($A79,[0]!Data,229,FALSE)</f>
        <v>34557</v>
      </c>
      <c r="J79" s="322">
        <f>VLOOKUP($A79,[0]!Data,223,FALSE)</f>
        <v>14103</v>
      </c>
      <c r="K79" s="322">
        <f>VLOOKUP($A79,[0]!Data,230,FALSE)</f>
        <v>1351</v>
      </c>
      <c r="L79" s="322">
        <f>VLOOKUP($A79,[0]!Data,234,FALSE)</f>
        <v>7630</v>
      </c>
      <c r="M79" s="322">
        <f>VLOOKUP($A79,[0]!Data,235,FALSE)</f>
        <v>24497</v>
      </c>
      <c r="N79" s="324">
        <f>VLOOKUP($A79,[0]!Data,240,FALSE)</f>
        <v>365882</v>
      </c>
    </row>
    <row r="80" spans="1:14" thickBot="1" x14ac:dyDescent="0.25">
      <c r="A80" s="624" t="s">
        <v>1471</v>
      </c>
      <c r="B80" s="626"/>
      <c r="C80" s="325">
        <f t="shared" ref="C80:M80" si="1">AVERAGE(C68:C79)</f>
        <v>135254.41666666666</v>
      </c>
      <c r="D80" s="325">
        <f t="shared" si="1"/>
        <v>10471.833333333334</v>
      </c>
      <c r="E80" s="325">
        <f t="shared" si="1"/>
        <v>104901.41666666667</v>
      </c>
      <c r="F80" s="325">
        <f t="shared" si="1"/>
        <v>4457.166666666667</v>
      </c>
      <c r="G80" s="325">
        <f t="shared" si="1"/>
        <v>259136</v>
      </c>
      <c r="H80" s="325">
        <f t="shared" si="1"/>
        <v>16283.666666666666</v>
      </c>
      <c r="I80" s="325">
        <f t="shared" si="1"/>
        <v>40179.583333333336</v>
      </c>
      <c r="J80" s="325">
        <f t="shared" si="1"/>
        <v>9248.4166666666661</v>
      </c>
      <c r="K80" s="325">
        <f t="shared" si="1"/>
        <v>367.5</v>
      </c>
      <c r="L80" s="325">
        <f t="shared" si="1"/>
        <v>29202.833333333332</v>
      </c>
      <c r="M80" s="44">
        <f t="shared" si="1"/>
        <v>40979.666666666664</v>
      </c>
      <c r="N80" s="389">
        <f>SUM(N68:N79)</f>
        <v>4265708</v>
      </c>
    </row>
    <row r="81" spans="1:14" ht="15.75" thickTop="1" thickBot="1" x14ac:dyDescent="0.25">
      <c r="A81" s="54"/>
      <c r="B81" s="45" t="s">
        <v>1456</v>
      </c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50"/>
      <c r="N81" s="383"/>
    </row>
    <row r="82" spans="1:14" thickTop="1" x14ac:dyDescent="0.2">
      <c r="A82" s="51" t="s">
        <v>557</v>
      </c>
      <c r="B82" s="36" t="s">
        <v>1573</v>
      </c>
      <c r="C82" s="322">
        <f>VLOOKUP($A82,[0]!Data,209,FALSE)</f>
        <v>328891</v>
      </c>
      <c r="D82" s="322">
        <f>VLOOKUP($A82,[0]!Data,210,FALSE)</f>
        <v>43294</v>
      </c>
      <c r="E82" s="322">
        <f>VLOOKUP($A82,[0]!Data,211,FALSE)</f>
        <v>635304</v>
      </c>
      <c r="F82" s="322">
        <f>VLOOKUP($A82,[0]!Data,213,FALSE)</f>
        <v>4517</v>
      </c>
      <c r="G82" s="322">
        <f>VLOOKUP($A82,[0]!Data,214,FALSE)</f>
        <v>1012006</v>
      </c>
      <c r="H82" s="322">
        <f>VLOOKUP($A82,[0]!Data,215,FALSE)+VLOOKUP($A82,[0]!Data,226,FALSE)</f>
        <v>123323</v>
      </c>
      <c r="I82" s="322">
        <f>VLOOKUP($A82,[0]!Data,216,FALSE)+VLOOKUP($A82,[0]!Data,229,FALSE)</f>
        <v>191958</v>
      </c>
      <c r="J82" s="322">
        <f>VLOOKUP($A82,[0]!Data,223,FALSE)</f>
        <v>52700</v>
      </c>
      <c r="K82" s="322">
        <f>VLOOKUP($A82,[0]!Data,230,FALSE)</f>
        <v>5585</v>
      </c>
      <c r="L82" s="322">
        <f>VLOOKUP($A82,[0]!Data,234,FALSE)</f>
        <v>100728</v>
      </c>
      <c r="M82" s="322">
        <f>VLOOKUP($A82,[0]!Data,235,FALSE)</f>
        <v>190453</v>
      </c>
      <c r="N82" s="324">
        <f>VLOOKUP($A82,[0]!Data,240,FALSE)</f>
        <v>1486300</v>
      </c>
    </row>
    <row r="83" spans="1:14" ht="14.25" x14ac:dyDescent="0.2">
      <c r="A83" s="51" t="s">
        <v>946</v>
      </c>
      <c r="B83" s="36" t="s">
        <v>1457</v>
      </c>
      <c r="C83" s="322">
        <f>VLOOKUP($A83,[0]!Data,209,FALSE)</f>
        <v>36928</v>
      </c>
      <c r="D83" s="322">
        <f>VLOOKUP($A83,[0]!Data,210,FALSE)</f>
        <v>3607</v>
      </c>
      <c r="E83" s="322">
        <f>VLOOKUP($A83,[0]!Data,211,FALSE)</f>
        <v>45718</v>
      </c>
      <c r="F83" s="322">
        <f>VLOOKUP($A83,[0]!Data,213,FALSE)</f>
        <v>0</v>
      </c>
      <c r="G83" s="322">
        <f>VLOOKUP($A83,[0]!Data,214,FALSE)</f>
        <v>92598</v>
      </c>
      <c r="H83" s="322">
        <f>VLOOKUP($A83,[0]!Data,215,FALSE)+VLOOKUP($A83,[0]!Data,226,FALSE)</f>
        <v>826</v>
      </c>
      <c r="I83" s="322">
        <f>VLOOKUP($A83,[0]!Data,216,FALSE)+VLOOKUP($A83,[0]!Data,229,FALSE)</f>
        <v>11</v>
      </c>
      <c r="J83" s="322">
        <f>VLOOKUP($A83,[0]!Data,223,FALSE)</f>
        <v>1686</v>
      </c>
      <c r="K83" s="322">
        <f>VLOOKUP($A83,[0]!Data,230,FALSE)</f>
        <v>0</v>
      </c>
      <c r="L83" s="322">
        <f>VLOOKUP($A83,[0]!Data,234,FALSE)</f>
        <v>154</v>
      </c>
      <c r="M83" s="322">
        <f>VLOOKUP($A83,[0]!Data,235,FALSE)</f>
        <v>2677</v>
      </c>
      <c r="N83" s="324">
        <f>VLOOKUP($A83,[0]!Data,240,FALSE)</f>
        <v>95275</v>
      </c>
    </row>
    <row r="84" spans="1:14" ht="14.25" x14ac:dyDescent="0.2">
      <c r="A84" s="51" t="s">
        <v>743</v>
      </c>
      <c r="B84" s="36" t="s">
        <v>1574</v>
      </c>
      <c r="C84" s="322">
        <f>VLOOKUP($A84,[0]!Data,209,FALSE)</f>
        <v>8583</v>
      </c>
      <c r="D84" s="322">
        <f>VLOOKUP($A84,[0]!Data,210,FALSE)</f>
        <v>779</v>
      </c>
      <c r="E84" s="322">
        <f>VLOOKUP($A84,[0]!Data,211,FALSE)</f>
        <v>5126</v>
      </c>
      <c r="F84" s="322">
        <f>VLOOKUP($A84,[0]!Data,213,FALSE)</f>
        <v>772</v>
      </c>
      <c r="G84" s="322">
        <f>VLOOKUP($A84,[0]!Data,214,FALSE)</f>
        <v>20325</v>
      </c>
      <c r="H84" s="322">
        <f>VLOOKUP($A84,[0]!Data,215,FALSE)+VLOOKUP($A84,[0]!Data,226,FALSE)</f>
        <v>601</v>
      </c>
      <c r="I84" s="322">
        <f>VLOOKUP($A84,[0]!Data,216,FALSE)+VLOOKUP($A84,[0]!Data,229,FALSE)</f>
        <v>936</v>
      </c>
      <c r="J84" s="322">
        <f>VLOOKUP($A84,[0]!Data,223,FALSE)</f>
        <v>1543</v>
      </c>
      <c r="K84" s="322">
        <f>VLOOKUP($A84,[0]!Data,230,FALSE)</f>
        <v>120</v>
      </c>
      <c r="L84" s="322">
        <f>VLOOKUP($A84,[0]!Data,234,FALSE)</f>
        <v>10683</v>
      </c>
      <c r="M84" s="322">
        <f>VLOOKUP($A84,[0]!Data,235,FALSE)</f>
        <v>12666</v>
      </c>
      <c r="N84" s="324">
        <f>VLOOKUP($A84,[0]!Data,240,FALSE)</f>
        <v>34208</v>
      </c>
    </row>
    <row r="85" spans="1:14" ht="14.25" x14ac:dyDescent="0.2">
      <c r="A85" s="51" t="s">
        <v>917</v>
      </c>
      <c r="B85" s="36" t="s">
        <v>1575</v>
      </c>
      <c r="C85" s="322">
        <f>VLOOKUP($A85,[0]!Data,209,FALSE)</f>
        <v>113953</v>
      </c>
      <c r="D85" s="322">
        <f>VLOOKUP($A85,[0]!Data,210,FALSE)</f>
        <v>11205</v>
      </c>
      <c r="E85" s="322">
        <f>VLOOKUP($A85,[0]!Data,211,FALSE)</f>
        <v>103808</v>
      </c>
      <c r="F85" s="322">
        <f>VLOOKUP($A85,[0]!Data,213,FALSE)</f>
        <v>1593</v>
      </c>
      <c r="G85" s="322">
        <f>VLOOKUP($A85,[0]!Data,214,FALSE)</f>
        <v>230559</v>
      </c>
      <c r="H85" s="322">
        <f>VLOOKUP($A85,[0]!Data,215,FALSE)+VLOOKUP($A85,[0]!Data,226,FALSE)</f>
        <v>32166</v>
      </c>
      <c r="I85" s="322">
        <f>VLOOKUP($A85,[0]!Data,216,FALSE)+VLOOKUP($A85,[0]!Data,229,FALSE)</f>
        <v>97133</v>
      </c>
      <c r="J85" s="322">
        <f>VLOOKUP($A85,[0]!Data,223,FALSE)</f>
        <v>10982</v>
      </c>
      <c r="K85" s="322">
        <f>VLOOKUP($A85,[0]!Data,230,FALSE)</f>
        <v>0</v>
      </c>
      <c r="L85" s="322">
        <f>VLOOKUP($A85,[0]!Data,234,FALSE)</f>
        <v>30629</v>
      </c>
      <c r="M85" s="322">
        <f>VLOOKUP($A85,[0]!Data,235,FALSE)</f>
        <v>48809</v>
      </c>
      <c r="N85" s="324">
        <f>VLOOKUP($A85,[0]!Data,240,FALSE)</f>
        <v>401469</v>
      </c>
    </row>
    <row r="86" spans="1:14" ht="14.25" x14ac:dyDescent="0.2">
      <c r="A86" s="51" t="s">
        <v>932</v>
      </c>
      <c r="B86" s="36" t="s">
        <v>1576</v>
      </c>
      <c r="C86" s="322">
        <f>VLOOKUP($A86,[0]!Data,209,FALSE)</f>
        <v>203769</v>
      </c>
      <c r="D86" s="322">
        <f>VLOOKUP($A86,[0]!Data,210,FALSE)</f>
        <v>19694</v>
      </c>
      <c r="E86" s="322">
        <f>VLOOKUP($A86,[0]!Data,211,FALSE)</f>
        <v>156309</v>
      </c>
      <c r="F86" s="322">
        <f>VLOOKUP($A86,[0]!Data,213,FALSE)</f>
        <v>803</v>
      </c>
      <c r="G86" s="322">
        <f>VLOOKUP($A86,[0]!Data,214,FALSE)</f>
        <v>380581</v>
      </c>
      <c r="H86" s="322">
        <f>VLOOKUP($A86,[0]!Data,215,FALSE)+VLOOKUP($A86,[0]!Data,226,FALSE)</f>
        <v>49386</v>
      </c>
      <c r="I86" s="322">
        <f>VLOOKUP($A86,[0]!Data,216,FALSE)+VLOOKUP($A86,[0]!Data,229,FALSE)</f>
        <v>168413</v>
      </c>
      <c r="J86" s="322">
        <f>VLOOKUP($A86,[0]!Data,223,FALSE)</f>
        <v>32374</v>
      </c>
      <c r="K86" s="322">
        <f>VLOOKUP($A86,[0]!Data,230,FALSE)</f>
        <v>574</v>
      </c>
      <c r="L86" s="322">
        <f>VLOOKUP($A86,[0]!Data,234,FALSE)</f>
        <v>100423</v>
      </c>
      <c r="M86" s="322">
        <f>VLOOKUP($A86,[0]!Data,235,FALSE)</f>
        <v>148011</v>
      </c>
      <c r="N86" s="324">
        <f>VLOOKUP($A86,[0]!Data,240,FALSE)</f>
        <v>782596</v>
      </c>
    </row>
    <row r="87" spans="1:14" ht="14.25" x14ac:dyDescent="0.2">
      <c r="A87" s="51" t="s">
        <v>970</v>
      </c>
      <c r="B87" s="36" t="s">
        <v>1577</v>
      </c>
      <c r="C87" s="322">
        <f>VLOOKUP($A87,[0]!Data,209,FALSE)</f>
        <v>34542</v>
      </c>
      <c r="D87" s="322">
        <f>VLOOKUP($A87,[0]!Data,210,FALSE)</f>
        <v>3694</v>
      </c>
      <c r="E87" s="322">
        <f>VLOOKUP($A87,[0]!Data,211,FALSE)</f>
        <v>37631</v>
      </c>
      <c r="F87" s="322">
        <f>VLOOKUP($A87,[0]!Data,213,FALSE)</f>
        <v>449</v>
      </c>
      <c r="G87" s="322">
        <f>VLOOKUP($A87,[0]!Data,214,FALSE)</f>
        <v>78253</v>
      </c>
      <c r="H87" s="322">
        <f>VLOOKUP($A87,[0]!Data,215,FALSE)+VLOOKUP($A87,[0]!Data,226,FALSE)</f>
        <v>2849</v>
      </c>
      <c r="I87" s="322">
        <f>VLOOKUP($A87,[0]!Data,216,FALSE)+VLOOKUP($A87,[0]!Data,229,FALSE)</f>
        <v>11904</v>
      </c>
      <c r="J87" s="322">
        <f>VLOOKUP($A87,[0]!Data,223,FALSE)</f>
        <v>3519</v>
      </c>
      <c r="K87" s="322">
        <f>VLOOKUP($A87,[0]!Data,230,FALSE)</f>
        <v>312</v>
      </c>
      <c r="L87" s="322">
        <f>VLOOKUP($A87,[0]!Data,234,FALSE)</f>
        <v>18085</v>
      </c>
      <c r="M87" s="322">
        <f>VLOOKUP($A87,[0]!Data,235,FALSE)</f>
        <v>22345</v>
      </c>
      <c r="N87" s="324">
        <f>VLOOKUP($A87,[0]!Data,240,FALSE)</f>
        <v>114945</v>
      </c>
    </row>
    <row r="88" spans="1:14" ht="14.25" x14ac:dyDescent="0.2">
      <c r="A88" s="51" t="s">
        <v>1033</v>
      </c>
      <c r="B88" s="36" t="s">
        <v>1578</v>
      </c>
      <c r="C88" s="322">
        <f>VLOOKUP($A88,[0]!Data,209,FALSE)</f>
        <v>115660</v>
      </c>
      <c r="D88" s="322">
        <f>VLOOKUP($A88,[0]!Data,210,FALSE)</f>
        <v>14932</v>
      </c>
      <c r="E88" s="322">
        <f>VLOOKUP($A88,[0]!Data,211,FALSE)</f>
        <v>192972</v>
      </c>
      <c r="F88" s="322">
        <f>VLOOKUP($A88,[0]!Data,213,FALSE)</f>
        <v>42</v>
      </c>
      <c r="G88" s="322">
        <f>VLOOKUP($A88,[0]!Data,214,FALSE)</f>
        <v>323616</v>
      </c>
      <c r="H88" s="322">
        <f>VLOOKUP($A88,[0]!Data,215,FALSE)+VLOOKUP($A88,[0]!Data,226,FALSE)</f>
        <v>40320</v>
      </c>
      <c r="I88" s="322">
        <f>VLOOKUP($A88,[0]!Data,216,FALSE)+VLOOKUP($A88,[0]!Data,229,FALSE)</f>
        <v>101275</v>
      </c>
      <c r="J88" s="322">
        <f>VLOOKUP($A88,[0]!Data,223,FALSE)</f>
        <v>33248</v>
      </c>
      <c r="K88" s="322">
        <f>VLOOKUP($A88,[0]!Data,230,FALSE)</f>
        <v>1551</v>
      </c>
      <c r="L88" s="322">
        <f>VLOOKUP($A88,[0]!Data,234,FALSE)</f>
        <v>17884</v>
      </c>
      <c r="M88" s="322">
        <f>VLOOKUP($A88,[0]!Data,235,FALSE)</f>
        <v>69760</v>
      </c>
      <c r="N88" s="324">
        <f>VLOOKUP($A88,[0]!Data,240,FALSE)</f>
        <v>517894</v>
      </c>
    </row>
    <row r="89" spans="1:14" ht="14.25" x14ac:dyDescent="0.2">
      <c r="A89" s="51" t="s">
        <v>884</v>
      </c>
      <c r="B89" s="36" t="s">
        <v>1579</v>
      </c>
      <c r="C89" s="322">
        <f>VLOOKUP($A89,[0]!Data,209,FALSE)</f>
        <v>13147</v>
      </c>
      <c r="D89" s="322">
        <f>VLOOKUP($A89,[0]!Data,210,FALSE)</f>
        <v>982</v>
      </c>
      <c r="E89" s="322">
        <f>VLOOKUP($A89,[0]!Data,211,FALSE)</f>
        <v>6345</v>
      </c>
      <c r="F89" s="322">
        <f>VLOOKUP($A89,[0]!Data,213,FALSE)</f>
        <v>377</v>
      </c>
      <c r="G89" s="322">
        <f>VLOOKUP($A89,[0]!Data,214,FALSE)</f>
        <v>20851</v>
      </c>
      <c r="H89" s="322">
        <f>VLOOKUP($A89,[0]!Data,215,FALSE)+VLOOKUP($A89,[0]!Data,226,FALSE)</f>
        <v>519</v>
      </c>
      <c r="I89" s="322">
        <f>VLOOKUP($A89,[0]!Data,216,FALSE)+VLOOKUP($A89,[0]!Data,229,FALSE)</f>
        <v>6288</v>
      </c>
      <c r="J89" s="322">
        <f>VLOOKUP($A89,[0]!Data,223,FALSE)</f>
        <v>1</v>
      </c>
      <c r="K89" s="322">
        <f>VLOOKUP($A89,[0]!Data,230,FALSE)</f>
        <v>0</v>
      </c>
      <c r="L89" s="322">
        <f>VLOOKUP($A89,[0]!Data,234,FALSE)</f>
        <v>1089</v>
      </c>
      <c r="M89" s="322">
        <f>VLOOKUP($A89,[0]!Data,235,FALSE)</f>
        <v>1102</v>
      </c>
      <c r="N89" s="324">
        <f>VLOOKUP($A89,[0]!Data,240,FALSE)</f>
        <v>28748</v>
      </c>
    </row>
    <row r="90" spans="1:14" ht="14.25" x14ac:dyDescent="0.2">
      <c r="A90" s="51" t="s">
        <v>1224</v>
      </c>
      <c r="B90" s="36" t="s">
        <v>1580</v>
      </c>
      <c r="C90" s="322">
        <f>VLOOKUP($A90,[0]!Data,209,FALSE)</f>
        <v>14735</v>
      </c>
      <c r="D90" s="322">
        <f>VLOOKUP($A90,[0]!Data,210,FALSE)</f>
        <v>1602</v>
      </c>
      <c r="E90" s="322">
        <f>VLOOKUP($A90,[0]!Data,211,FALSE)</f>
        <v>8429</v>
      </c>
      <c r="F90" s="322">
        <f>VLOOKUP($A90,[0]!Data,213,FALSE)</f>
        <v>350</v>
      </c>
      <c r="G90" s="322">
        <f>VLOOKUP($A90,[0]!Data,214,FALSE)</f>
        <v>25216</v>
      </c>
      <c r="H90" s="322">
        <f>VLOOKUP($A90,[0]!Data,215,FALSE)+VLOOKUP($A90,[0]!Data,226,FALSE)</f>
        <v>981</v>
      </c>
      <c r="I90" s="322">
        <f>VLOOKUP($A90,[0]!Data,216,FALSE)+VLOOKUP($A90,[0]!Data,229,FALSE)</f>
        <v>3838</v>
      </c>
      <c r="J90" s="322">
        <f>VLOOKUP($A90,[0]!Data,223,FALSE)</f>
        <v>32</v>
      </c>
      <c r="K90" s="322">
        <f>VLOOKUP($A90,[0]!Data,230,FALSE)</f>
        <v>0</v>
      </c>
      <c r="L90" s="322">
        <f>VLOOKUP($A90,[0]!Data,234,FALSE)</f>
        <v>732</v>
      </c>
      <c r="M90" s="322">
        <f>VLOOKUP($A90,[0]!Data,235,FALSE)</f>
        <v>819</v>
      </c>
      <c r="N90" s="324">
        <f>VLOOKUP($A90,[0]!Data,240,FALSE)</f>
        <v>30852</v>
      </c>
    </row>
    <row r="91" spans="1:14" ht="14.25" x14ac:dyDescent="0.2">
      <c r="A91" s="51" t="s">
        <v>1346</v>
      </c>
      <c r="B91" s="36" t="s">
        <v>1581</v>
      </c>
      <c r="C91" s="322">
        <f>VLOOKUP($A91,[0]!Data,209,FALSE)</f>
        <v>47805</v>
      </c>
      <c r="D91" s="322">
        <f>VLOOKUP($A91,[0]!Data,210,FALSE)</f>
        <v>2786</v>
      </c>
      <c r="E91" s="322">
        <f>VLOOKUP($A91,[0]!Data,211,FALSE)</f>
        <v>49647</v>
      </c>
      <c r="F91" s="322">
        <f>VLOOKUP($A91,[0]!Data,213,FALSE)</f>
        <v>1019</v>
      </c>
      <c r="G91" s="322">
        <f>VLOOKUP($A91,[0]!Data,214,FALSE)</f>
        <v>101257</v>
      </c>
      <c r="H91" s="322">
        <f>VLOOKUP($A91,[0]!Data,215,FALSE)+VLOOKUP($A91,[0]!Data,226,FALSE)</f>
        <v>12285</v>
      </c>
      <c r="I91" s="322">
        <f>VLOOKUP($A91,[0]!Data,216,FALSE)+VLOOKUP($A91,[0]!Data,229,FALSE)</f>
        <v>5339</v>
      </c>
      <c r="J91" s="322">
        <f>VLOOKUP($A91,[0]!Data,223,FALSE)</f>
        <v>7948</v>
      </c>
      <c r="K91" s="322">
        <f>VLOOKUP($A91,[0]!Data,230,FALSE)</f>
        <v>186</v>
      </c>
      <c r="L91" s="322">
        <f>VLOOKUP($A91,[0]!Data,234,FALSE)</f>
        <v>530</v>
      </c>
      <c r="M91" s="322">
        <f>VLOOKUP($A91,[0]!Data,235,FALSE)</f>
        <v>12226</v>
      </c>
      <c r="N91" s="324">
        <f>VLOOKUP($A91,[0]!Data,240,FALSE)</f>
        <v>127545</v>
      </c>
    </row>
    <row r="92" spans="1:14" ht="14.25" x14ac:dyDescent="0.2">
      <c r="A92" s="51" t="s">
        <v>819</v>
      </c>
      <c r="B92" s="36" t="s">
        <v>1582</v>
      </c>
      <c r="C92" s="322">
        <f>VLOOKUP($A92,[0]!Data,209,FALSE)</f>
        <v>54768</v>
      </c>
      <c r="D92" s="322">
        <f>VLOOKUP($A92,[0]!Data,210,FALSE)</f>
        <v>5643</v>
      </c>
      <c r="E92" s="322">
        <f>VLOOKUP($A92,[0]!Data,211,FALSE)</f>
        <v>21839</v>
      </c>
      <c r="F92" s="322">
        <f>VLOOKUP($A92,[0]!Data,213,FALSE)</f>
        <v>2160</v>
      </c>
      <c r="G92" s="322">
        <f>VLOOKUP($A92,[0]!Data,214,FALSE)</f>
        <v>84410</v>
      </c>
      <c r="H92" s="322">
        <f>VLOOKUP($A92,[0]!Data,215,FALSE)+VLOOKUP($A92,[0]!Data,226,FALSE)</f>
        <v>8396</v>
      </c>
      <c r="I92" s="322">
        <f>VLOOKUP($A92,[0]!Data,216,FALSE)+VLOOKUP($A92,[0]!Data,229,FALSE)</f>
        <v>27487</v>
      </c>
      <c r="J92" s="322">
        <f>VLOOKUP($A92,[0]!Data,223,FALSE)</f>
        <v>6498</v>
      </c>
      <c r="K92" s="322">
        <f>VLOOKUP($A92,[0]!Data,230,FALSE)</f>
        <v>0</v>
      </c>
      <c r="L92" s="322">
        <f>VLOOKUP($A92,[0]!Data,234,FALSE)</f>
        <v>104</v>
      </c>
      <c r="M92" s="322">
        <f>VLOOKUP($A92,[0]!Data,235,FALSE)</f>
        <v>7016</v>
      </c>
      <c r="N92" s="324">
        <f>VLOOKUP($A92,[0]!Data,240,FALSE)</f>
        <v>128670</v>
      </c>
    </row>
    <row r="93" spans="1:14" thickBot="1" x14ac:dyDescent="0.25">
      <c r="A93" s="599" t="s">
        <v>1471</v>
      </c>
      <c r="B93" s="600"/>
      <c r="C93" s="442">
        <f t="shared" ref="C93:M93" si="2">AVERAGE(C82:C92)</f>
        <v>88434.636363636368</v>
      </c>
      <c r="D93" s="325">
        <f t="shared" si="2"/>
        <v>9838</v>
      </c>
      <c r="E93" s="325">
        <f t="shared" si="2"/>
        <v>114829.81818181818</v>
      </c>
      <c r="F93" s="325">
        <f t="shared" si="2"/>
        <v>1098.3636363636363</v>
      </c>
      <c r="G93" s="325">
        <f t="shared" si="2"/>
        <v>215424.72727272726</v>
      </c>
      <c r="H93" s="325">
        <f t="shared" si="2"/>
        <v>24695.636363636364</v>
      </c>
      <c r="I93" s="325">
        <f t="shared" si="2"/>
        <v>55871.090909090912</v>
      </c>
      <c r="J93" s="325">
        <f t="shared" si="2"/>
        <v>13684.636363636364</v>
      </c>
      <c r="K93" s="325">
        <f t="shared" si="2"/>
        <v>757.09090909090912</v>
      </c>
      <c r="L93" s="325">
        <f t="shared" si="2"/>
        <v>25549.18181818182</v>
      </c>
      <c r="M93" s="44">
        <f t="shared" si="2"/>
        <v>46898.545454545456</v>
      </c>
      <c r="N93" s="382">
        <f>SUM(N82:N92)</f>
        <v>3748502</v>
      </c>
    </row>
    <row r="94" spans="1:14" ht="17.25" thickTop="1" thickBot="1" x14ac:dyDescent="0.3">
      <c r="A94" s="134"/>
      <c r="B94" s="14"/>
      <c r="C94" s="63"/>
      <c r="D94" s="63"/>
      <c r="E94" s="63"/>
      <c r="F94" s="569"/>
      <c r="M94" s="65"/>
      <c r="N94" s="385"/>
    </row>
    <row r="95" spans="1:14" thickTop="1" x14ac:dyDescent="0.2">
      <c r="A95" s="605" t="s">
        <v>1472</v>
      </c>
      <c r="B95" s="606"/>
      <c r="C95" s="329">
        <f>AVERAGE(C82:C92,C68:C79,C8:C65)</f>
        <v>196592.54320987655</v>
      </c>
      <c r="D95" s="329">
        <f t="shared" ref="D95:M95" si="3">AVERAGE(D82:D92,D68:D79,D8:D65)</f>
        <v>22022.592592592591</v>
      </c>
      <c r="E95" s="329">
        <f t="shared" si="3"/>
        <v>238089.66666666666</v>
      </c>
      <c r="F95" s="329">
        <f t="shared" si="3"/>
        <v>3068.2592592592591</v>
      </c>
      <c r="G95" s="329">
        <f t="shared" si="3"/>
        <v>462338.93827160494</v>
      </c>
      <c r="H95" s="329">
        <f t="shared" si="3"/>
        <v>42928.296296296299</v>
      </c>
      <c r="I95" s="329">
        <f t="shared" si="3"/>
        <v>73516.654320987655</v>
      </c>
      <c r="J95" s="329">
        <f t="shared" si="3"/>
        <v>36344.382716049382</v>
      </c>
      <c r="K95" s="329">
        <f t="shared" si="3"/>
        <v>1949.0864197530864</v>
      </c>
      <c r="L95" s="329">
        <f t="shared" si="3"/>
        <v>85531.938271604944</v>
      </c>
      <c r="M95" s="330">
        <f t="shared" si="3"/>
        <v>138599</v>
      </c>
      <c r="N95" s="386">
        <f>SUM(N82:N92,N68:N79,N8:N57,N59:N65)</f>
        <v>56927477</v>
      </c>
    </row>
    <row r="96" spans="1:14" x14ac:dyDescent="0.25">
      <c r="C96" s="323"/>
      <c r="N96" s="387" t="s">
        <v>1462</v>
      </c>
    </row>
    <row r="97" spans="3:3" x14ac:dyDescent="0.25">
      <c r="C97" s="323"/>
    </row>
  </sheetData>
  <mergeCells count="10">
    <mergeCell ref="A67:B67"/>
    <mergeCell ref="A80:B80"/>
    <mergeCell ref="A93:B93"/>
    <mergeCell ref="A95:B95"/>
    <mergeCell ref="B4:B6"/>
    <mergeCell ref="C4:G4"/>
    <mergeCell ref="H4:K4"/>
    <mergeCell ref="M4:M6"/>
    <mergeCell ref="N4:N6"/>
    <mergeCell ref="A66:B6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99"/>
  <sheetViews>
    <sheetView workbookViewId="0">
      <selection activeCell="K1" sqref="K1:K2"/>
    </sheetView>
  </sheetViews>
  <sheetFormatPr defaultColWidth="8.85546875" defaultRowHeight="15" x14ac:dyDescent="0.25"/>
  <cols>
    <col min="1" max="1" width="7.42578125" customWidth="1"/>
    <col min="2" max="2" width="19.42578125" customWidth="1"/>
    <col min="3" max="3" width="14" customWidth="1"/>
    <col min="4" max="5" width="11" customWidth="1"/>
    <col min="6" max="6" width="13.140625" customWidth="1"/>
    <col min="7" max="7" width="10.42578125" style="250" customWidth="1"/>
    <col min="8" max="8" width="11.42578125" style="250" customWidth="1"/>
    <col min="9" max="9" width="15.85546875" style="422" customWidth="1"/>
    <col min="10" max="10" width="11.140625" style="422" customWidth="1"/>
    <col min="11" max="11" width="11.7109375" style="421" customWidth="1"/>
  </cols>
  <sheetData>
    <row r="1" spans="1:12" x14ac:dyDescent="0.25">
      <c r="A1" s="136"/>
      <c r="B1" s="136"/>
      <c r="C1" s="136"/>
      <c r="D1" s="136"/>
      <c r="E1" s="136"/>
      <c r="F1" s="136"/>
      <c r="G1" s="391"/>
      <c r="H1" s="391"/>
      <c r="I1" s="392"/>
      <c r="J1" s="392"/>
      <c r="K1" s="11" t="s">
        <v>1758</v>
      </c>
    </row>
    <row r="2" spans="1:12" x14ac:dyDescent="0.25">
      <c r="A2" s="335" t="s">
        <v>1636</v>
      </c>
      <c r="B2" s="335"/>
      <c r="C2" s="335"/>
      <c r="D2" s="335"/>
      <c r="E2" s="335"/>
      <c r="F2" s="335"/>
      <c r="G2" s="336"/>
      <c r="H2" s="336"/>
      <c r="I2" s="393"/>
      <c r="J2" s="393"/>
      <c r="K2" s="18" t="s">
        <v>1759</v>
      </c>
    </row>
    <row r="3" spans="1:12" ht="15.75" thickBot="1" x14ac:dyDescent="0.3">
      <c r="A3" s="335"/>
      <c r="B3" s="335"/>
      <c r="C3" s="335"/>
      <c r="D3" s="335"/>
      <c r="E3" s="335"/>
      <c r="F3" s="335"/>
      <c r="G3" s="336"/>
      <c r="H3" s="336"/>
      <c r="I3" s="393"/>
      <c r="J3" s="393"/>
      <c r="K3" s="394"/>
    </row>
    <row r="4" spans="1:12" ht="15.75" thickTop="1" x14ac:dyDescent="0.25">
      <c r="A4" s="92"/>
      <c r="B4" s="612"/>
      <c r="C4" s="395" t="s">
        <v>1637</v>
      </c>
      <c r="D4" s="395"/>
      <c r="E4" s="395"/>
      <c r="F4" s="395"/>
      <c r="G4" s="396"/>
      <c r="H4" s="396"/>
      <c r="I4" s="397" t="s">
        <v>1638</v>
      </c>
      <c r="J4" s="398" t="s">
        <v>1462</v>
      </c>
      <c r="K4" s="399" t="s">
        <v>1639</v>
      </c>
    </row>
    <row r="5" spans="1:12" x14ac:dyDescent="0.25">
      <c r="A5" s="95"/>
      <c r="B5" s="647"/>
      <c r="C5" s="138" t="s">
        <v>1640</v>
      </c>
      <c r="D5" s="138" t="s">
        <v>1640</v>
      </c>
      <c r="E5" s="138" t="s">
        <v>1641</v>
      </c>
      <c r="F5" s="138" t="s">
        <v>1642</v>
      </c>
      <c r="G5" s="400" t="s">
        <v>1643</v>
      </c>
      <c r="H5" s="400" t="s">
        <v>1643</v>
      </c>
      <c r="I5" s="401" t="s">
        <v>1486</v>
      </c>
      <c r="J5" s="402" t="s">
        <v>1650</v>
      </c>
      <c r="K5" s="403" t="s">
        <v>1650</v>
      </c>
    </row>
    <row r="6" spans="1:12" ht="15.75" thickBot="1" x14ac:dyDescent="0.3">
      <c r="A6" s="99"/>
      <c r="B6" s="648"/>
      <c r="C6" s="142" t="s">
        <v>1644</v>
      </c>
      <c r="D6" s="142" t="s">
        <v>1645</v>
      </c>
      <c r="E6" s="142" t="s">
        <v>1646</v>
      </c>
      <c r="F6" s="142" t="s">
        <v>1645</v>
      </c>
      <c r="G6" s="227" t="s">
        <v>1644</v>
      </c>
      <c r="H6" s="227" t="s">
        <v>1645</v>
      </c>
      <c r="I6" s="401" t="s">
        <v>1624</v>
      </c>
      <c r="J6" s="402" t="s">
        <v>1624</v>
      </c>
      <c r="K6" s="403" t="s">
        <v>1595</v>
      </c>
    </row>
    <row r="7" spans="1:12" ht="16.5" thickTop="1" thickBot="1" x14ac:dyDescent="0.3">
      <c r="A7" s="30"/>
      <c r="B7" s="45" t="s">
        <v>1452</v>
      </c>
      <c r="C7" s="189"/>
      <c r="D7" s="189"/>
      <c r="E7" s="189"/>
      <c r="F7" s="189"/>
      <c r="G7" s="189"/>
      <c r="H7" s="189"/>
      <c r="I7" s="189"/>
      <c r="J7" s="189"/>
      <c r="K7" s="404"/>
    </row>
    <row r="8" spans="1:12" ht="15.75" thickTop="1" x14ac:dyDescent="0.25">
      <c r="A8" s="36" t="s">
        <v>340</v>
      </c>
      <c r="B8" s="36" t="s">
        <v>1506</v>
      </c>
      <c r="C8" s="212">
        <f>VLOOKUP($A8,[0]!Data,202,FALSE)/'Table 9'!$N8</f>
        <v>0</v>
      </c>
      <c r="D8" s="212">
        <f>VLOOKUP($A8,[0]!Data,205,FALSE)/'Table 9'!$N8</f>
        <v>0.17525488262700378</v>
      </c>
      <c r="E8" s="212">
        <f>VLOOKUP($A8,[0]!Data,203,FALSE)/'Table 9'!$N8</f>
        <v>0.18889699903318544</v>
      </c>
      <c r="F8" s="212">
        <f>VLOOKUP($A8,[0]!Data,206,FALSE)/'Table 9'!$N8</f>
        <v>6.0147391201347135E-2</v>
      </c>
      <c r="G8" s="423">
        <f>VLOOKUP($A8,[0]!Data,204,FALSE)/'Table 9'!$N8</f>
        <v>2.4393393220346216E-2</v>
      </c>
      <c r="H8" s="212">
        <f>VLOOKUP($A8,[0]!Data,207,FALSE)/'Table 9'!$N8</f>
        <v>0</v>
      </c>
      <c r="I8" s="405">
        <f>'Table 9'!M8/'Table 1'!D8</f>
        <v>0.75321588894337776</v>
      </c>
      <c r="J8" s="406">
        <f>'Table 9'!N8/'Table 1'!D8</f>
        <v>5.8916971594552789</v>
      </c>
      <c r="K8" s="148">
        <f>'Table 6'!L8/'Table 9'!N8</f>
        <v>2.838121519841041</v>
      </c>
      <c r="L8" s="407"/>
    </row>
    <row r="9" spans="1:12" x14ac:dyDescent="0.25">
      <c r="A9" s="36" t="s">
        <v>381</v>
      </c>
      <c r="B9" s="36" t="s">
        <v>1507</v>
      </c>
      <c r="C9" s="212">
        <f>VLOOKUP($A9,[0]!Data,202,FALSE)/'Table 9'!$N9</f>
        <v>0</v>
      </c>
      <c r="D9" s="212">
        <f>VLOOKUP($A9,[0]!Data,205,FALSE)/'Table 9'!$N9</f>
        <v>0.32496341097846976</v>
      </c>
      <c r="E9" s="212">
        <f>VLOOKUP($A9,[0]!Data,203,FALSE)/'Table 9'!$N9</f>
        <v>0.2523319990830703</v>
      </c>
      <c r="F9" s="212">
        <f>VLOOKUP($A9,[0]!Data,206,FALSE)/'Table 9'!$N9</f>
        <v>5.1841794360882369E-2</v>
      </c>
      <c r="G9" s="423">
        <f>VLOOKUP($A9,[0]!Data,204,FALSE)/'Table 9'!$N9</f>
        <v>6.5278341062580458E-2</v>
      </c>
      <c r="H9" s="212">
        <f>VLOOKUP($A9,[0]!Data,207,FALSE)/'Table 9'!$N9</f>
        <v>0</v>
      </c>
      <c r="I9" s="405">
        <f>'Table 9'!M9/'Table 1'!D9</f>
        <v>5.3390450318670984E-2</v>
      </c>
      <c r="J9" s="406">
        <f>'Table 9'!N9/'Table 1'!D9</f>
        <v>2.9626475812349806</v>
      </c>
      <c r="K9" s="148">
        <f>'Table 6'!L9/'Table 9'!N9</f>
        <v>3.983759764419601</v>
      </c>
    </row>
    <row r="10" spans="1:12" x14ac:dyDescent="0.25">
      <c r="A10" s="36" t="s">
        <v>442</v>
      </c>
      <c r="B10" s="36" t="s">
        <v>1508</v>
      </c>
      <c r="C10" s="212">
        <f>VLOOKUP($A10,[0]!Data,202,FALSE)/'Table 9'!$N10</f>
        <v>0</v>
      </c>
      <c r="D10" s="212">
        <f>VLOOKUP($A10,[0]!Data,205,FALSE)/'Table 9'!$N10</f>
        <v>0.31278020850213362</v>
      </c>
      <c r="E10" s="212">
        <f>VLOOKUP($A10,[0]!Data,203,FALSE)/'Table 9'!$N10</f>
        <v>0.30851293685518283</v>
      </c>
      <c r="F10" s="212">
        <f>VLOOKUP($A10,[0]!Data,206,FALSE)/'Table 9'!$N10</f>
        <v>7.7972235726246425E-2</v>
      </c>
      <c r="G10" s="423">
        <f>VLOOKUP($A10,[0]!Data,204,FALSE)/'Table 9'!$N10</f>
        <v>0</v>
      </c>
      <c r="H10" s="212">
        <f>VLOOKUP($A10,[0]!Data,207,FALSE)/'Table 9'!$N10</f>
        <v>0</v>
      </c>
      <c r="I10" s="405">
        <f>'Table 9'!M10/'Table 1'!D10</f>
        <v>0.14359477312718147</v>
      </c>
      <c r="J10" s="406">
        <f>'Table 9'!N10/'Table 1'!D10</f>
        <v>1.0680474226209364</v>
      </c>
      <c r="K10" s="148">
        <f>'Table 6'!L10/'Table 9'!N10</f>
        <v>13.46713120509912</v>
      </c>
    </row>
    <row r="11" spans="1:12" x14ac:dyDescent="0.25">
      <c r="A11" s="36" t="s">
        <v>470</v>
      </c>
      <c r="B11" s="36" t="s">
        <v>1509</v>
      </c>
      <c r="C11" s="212">
        <f>VLOOKUP($A11,[0]!Data,202,FALSE)/'Table 9'!$N11</f>
        <v>0</v>
      </c>
      <c r="D11" s="212">
        <f>VLOOKUP($A11,[0]!Data,205,FALSE)/'Table 9'!$N11</f>
        <v>0.17767262667244646</v>
      </c>
      <c r="E11" s="212">
        <f>VLOOKUP($A11,[0]!Data,203,FALSE)/'Table 9'!$N11</f>
        <v>0.4617145529021543</v>
      </c>
      <c r="F11" s="212">
        <f>VLOOKUP($A11,[0]!Data,206,FALSE)/'Table 9'!$N11</f>
        <v>9.3101751959203755E-2</v>
      </c>
      <c r="G11" s="423">
        <f>VLOOKUP($A11,[0]!Data,204,FALSE)/'Table 9'!$N11</f>
        <v>0</v>
      </c>
      <c r="H11" s="212">
        <f>VLOOKUP($A11,[0]!Data,207,FALSE)/'Table 9'!$N11</f>
        <v>0</v>
      </c>
      <c r="I11" s="405">
        <f>'Table 9'!M11/'Table 1'!D11</f>
        <v>0.33888845401174167</v>
      </c>
      <c r="J11" s="406">
        <f>'Table 9'!N11/'Table 1'!D11</f>
        <v>3.2142935420743641</v>
      </c>
      <c r="K11" s="148">
        <f>'Table 6'!L11/'Table 9'!N11</f>
        <v>2.9594692006838339</v>
      </c>
    </row>
    <row r="12" spans="1:12" x14ac:dyDescent="0.25">
      <c r="A12" s="36" t="s">
        <v>484</v>
      </c>
      <c r="B12" s="36" t="s">
        <v>1510</v>
      </c>
      <c r="C12" s="212">
        <f>VLOOKUP($A12,[0]!Data,202,FALSE)/'Table 9'!$N12</f>
        <v>0</v>
      </c>
      <c r="D12" s="212">
        <f>VLOOKUP($A12,[0]!Data,205,FALSE)/'Table 9'!$N12</f>
        <v>0.21414174036511369</v>
      </c>
      <c r="E12" s="212">
        <f>VLOOKUP($A12,[0]!Data,203,FALSE)/'Table 9'!$N12</f>
        <v>0.21358936129406164</v>
      </c>
      <c r="F12" s="212">
        <f>VLOOKUP($A12,[0]!Data,206,FALSE)/'Table 9'!$N12</f>
        <v>9.8526240096240419E-2</v>
      </c>
      <c r="G12" s="423">
        <f>VLOOKUP($A12,[0]!Data,204,FALSE)/'Table 9'!$N12</f>
        <v>1.5119090732835095E-2</v>
      </c>
      <c r="H12" s="212">
        <f>VLOOKUP($A12,[0]!Data,207,FALSE)/'Table 9'!$N12</f>
        <v>6.7388156302896048E-3</v>
      </c>
      <c r="I12" s="405">
        <f>'Table 9'!M12/'Table 1'!D12</f>
        <v>1.6126289637237525</v>
      </c>
      <c r="J12" s="406">
        <f>'Table 9'!N12/'Table 1'!D12</f>
        <v>7.4051724805151586</v>
      </c>
      <c r="K12" s="148">
        <f>'Table 6'!L12/'Table 9'!N12</f>
        <v>2.5761219644627422</v>
      </c>
    </row>
    <row r="13" spans="1:12" x14ac:dyDescent="0.25">
      <c r="A13" s="36" t="s">
        <v>497</v>
      </c>
      <c r="B13" s="36" t="s">
        <v>1511</v>
      </c>
      <c r="C13" s="212">
        <f>VLOOKUP($A13,[0]!Data,202,FALSE)/'Table 9'!$N13</f>
        <v>0</v>
      </c>
      <c r="D13" s="212">
        <f>VLOOKUP($A13,[0]!Data,205,FALSE)/'Table 9'!$N13</f>
        <v>0.24156145571509741</v>
      </c>
      <c r="E13" s="212">
        <f>VLOOKUP($A13,[0]!Data,203,FALSE)/'Table 9'!$N13</f>
        <v>0.29335798688354087</v>
      </c>
      <c r="F13" s="212">
        <f>VLOOKUP($A13,[0]!Data,206,FALSE)/'Table 9'!$N13</f>
        <v>0.10854784811101802</v>
      </c>
      <c r="G13" s="423">
        <f>VLOOKUP($A13,[0]!Data,204,FALSE)/'Table 9'!$N13</f>
        <v>4.8955594718747289E-2</v>
      </c>
      <c r="H13" s="212">
        <f>VLOOKUP($A13,[0]!Data,207,FALSE)/'Table 9'!$N13</f>
        <v>1.0159959167557469E-2</v>
      </c>
      <c r="I13" s="405">
        <f>'Table 9'!M13/'Table 1'!D13</f>
        <v>0.41330629436081429</v>
      </c>
      <c r="J13" s="406">
        <f>'Table 9'!N13/'Table 1'!D13</f>
        <v>2.3140383522569001</v>
      </c>
      <c r="K13" s="148">
        <f>'Table 6'!L13/'Table 9'!N13</f>
        <v>6.1333602981538728</v>
      </c>
    </row>
    <row r="14" spans="1:12" x14ac:dyDescent="0.25">
      <c r="A14" s="36" t="s">
        <v>509</v>
      </c>
      <c r="B14" s="36" t="s">
        <v>1512</v>
      </c>
      <c r="C14" s="212">
        <f>VLOOKUP($A14,[0]!Data,202,FALSE)/'Table 9'!$N14</f>
        <v>0</v>
      </c>
      <c r="D14" s="212">
        <f>VLOOKUP($A14,[0]!Data,205,FALSE)/'Table 9'!$N14</f>
        <v>0.35835850802424124</v>
      </c>
      <c r="E14" s="212">
        <f>VLOOKUP($A14,[0]!Data,203,FALSE)/'Table 9'!$N14</f>
        <v>0.23484340627355341</v>
      </c>
      <c r="F14" s="212">
        <f>VLOOKUP($A14,[0]!Data,206,FALSE)/'Table 9'!$N14</f>
        <v>7.5679716654513368E-2</v>
      </c>
      <c r="G14" s="423">
        <f>VLOOKUP($A14,[0]!Data,204,FALSE)/'Table 9'!$N14</f>
        <v>2.3845385525114435E-2</v>
      </c>
      <c r="H14" s="212">
        <f>VLOOKUP($A14,[0]!Data,207,FALSE)/'Table 9'!$N14</f>
        <v>0</v>
      </c>
      <c r="I14" s="405">
        <f>'Table 9'!M14/'Table 1'!D14</f>
        <v>0.40069170699132378</v>
      </c>
      <c r="J14" s="406">
        <f>'Table 9'!N14/'Table 1'!D14</f>
        <v>4.0663450661058587</v>
      </c>
      <c r="K14" s="148">
        <f>'Table 6'!L14/'Table 9'!N14</f>
        <v>3.9238361939543975</v>
      </c>
    </row>
    <row r="15" spans="1:12" x14ac:dyDescent="0.25">
      <c r="A15" s="36" t="s">
        <v>521</v>
      </c>
      <c r="B15" s="36" t="s">
        <v>1513</v>
      </c>
      <c r="C15" s="212">
        <f>VLOOKUP($A15,[0]!Data,202,FALSE)/'Table 9'!$N15</f>
        <v>0</v>
      </c>
      <c r="D15" s="212">
        <f>VLOOKUP($A15,[0]!Data,205,FALSE)/'Table 9'!$N15</f>
        <v>0.18652710588087573</v>
      </c>
      <c r="E15" s="212">
        <f>VLOOKUP($A15,[0]!Data,203,FALSE)/'Table 9'!$N15</f>
        <v>0.25604358426139395</v>
      </c>
      <c r="F15" s="212">
        <f>VLOOKUP($A15,[0]!Data,206,FALSE)/'Table 9'!$N15</f>
        <v>8.290636150242929E-2</v>
      </c>
      <c r="G15" s="423">
        <f>VLOOKUP($A15,[0]!Data,204,FALSE)/'Table 9'!$N15</f>
        <v>3.8219937288330674E-2</v>
      </c>
      <c r="H15" s="212">
        <f>VLOOKUP($A15,[0]!Data,207,FALSE)/'Table 9'!$N15</f>
        <v>4.5342141334942401E-5</v>
      </c>
      <c r="I15" s="405">
        <f>'Table 9'!M15/'Table 1'!D15</f>
        <v>0.58832697047310689</v>
      </c>
      <c r="J15" s="406">
        <f>'Table 9'!N15/'Table 1'!D15</f>
        <v>3.4638404291306237</v>
      </c>
      <c r="K15" s="148">
        <f>'Table 6'!L15/'Table 9'!N15</f>
        <v>3.4045983907027684</v>
      </c>
    </row>
    <row r="16" spans="1:12" x14ac:dyDescent="0.25">
      <c r="A16" s="36" t="s">
        <v>531</v>
      </c>
      <c r="B16" s="36" t="s">
        <v>1514</v>
      </c>
      <c r="C16" s="212">
        <f>VLOOKUP($A16,[0]!Data,202,FALSE)/'Table 9'!$N16</f>
        <v>0</v>
      </c>
      <c r="D16" s="212">
        <f>VLOOKUP($A16,[0]!Data,205,FALSE)/'Table 9'!$N16</f>
        <v>0.22529987082487543</v>
      </c>
      <c r="E16" s="212">
        <f>VLOOKUP($A16,[0]!Data,203,FALSE)/'Table 9'!$N16</f>
        <v>0.25977117549363349</v>
      </c>
      <c r="F16" s="212">
        <f>VLOOKUP($A16,[0]!Data,206,FALSE)/'Table 9'!$N16</f>
        <v>6.3812511533493266E-2</v>
      </c>
      <c r="G16" s="423">
        <f>VLOOKUP($A16,[0]!Data,204,FALSE)/'Table 9'!$N16</f>
        <v>4.9197268868794983E-2</v>
      </c>
      <c r="H16" s="212">
        <f>VLOOKUP($A16,[0]!Data,207,FALSE)/'Table 9'!$N16</f>
        <v>2.1830596050931905E-2</v>
      </c>
      <c r="I16" s="405">
        <f>'Table 9'!M16/'Table 1'!D16</f>
        <v>0.10405673519354974</v>
      </c>
      <c r="J16" s="406">
        <f>'Table 9'!N16/'Table 1'!D16</f>
        <v>2.2875596268310185</v>
      </c>
      <c r="K16" s="148">
        <f>'Table 6'!L16/'Table 9'!N16</f>
        <v>5.9486067540136558</v>
      </c>
    </row>
    <row r="17" spans="1:11" x14ac:dyDescent="0.25">
      <c r="A17" s="36" t="s">
        <v>544</v>
      </c>
      <c r="B17" s="36" t="s">
        <v>1515</v>
      </c>
      <c r="C17" s="212">
        <f>VLOOKUP($A17,[0]!Data,202,FALSE)/'Table 9'!$N17</f>
        <v>0</v>
      </c>
      <c r="D17" s="212">
        <f>VLOOKUP($A17,[0]!Data,205,FALSE)/'Table 9'!$N17</f>
        <v>0.18126507163814254</v>
      </c>
      <c r="E17" s="212">
        <f>VLOOKUP($A17,[0]!Data,203,FALSE)/'Table 9'!$N17</f>
        <v>0.18852798707480337</v>
      </c>
      <c r="F17" s="212">
        <f>VLOOKUP($A17,[0]!Data,206,FALSE)/'Table 9'!$N17</f>
        <v>4.6191661686582002E-2</v>
      </c>
      <c r="G17" s="423">
        <f>VLOOKUP($A17,[0]!Data,204,FALSE)/'Table 9'!$N17</f>
        <v>2.7219791407026576E-2</v>
      </c>
      <c r="H17" s="212">
        <f>VLOOKUP($A17,[0]!Data,207,FALSE)/'Table 9'!$N17</f>
        <v>2.6997564513368149E-3</v>
      </c>
      <c r="I17" s="405">
        <f>'Table 9'!M17/'Table 1'!D17</f>
        <v>1.39036931133083</v>
      </c>
      <c r="J17" s="406">
        <f>'Table 9'!N17/'Table 1'!D17</f>
        <v>5.7359182829779174</v>
      </c>
      <c r="K17" s="148">
        <f>'Table 6'!L17/'Table 9'!N17</f>
        <v>4.4207881246752931</v>
      </c>
    </row>
    <row r="18" spans="1:11" x14ac:dyDescent="0.25">
      <c r="A18" s="36" t="s">
        <v>590</v>
      </c>
      <c r="B18" s="36" t="s">
        <v>1516</v>
      </c>
      <c r="C18" s="212">
        <f>VLOOKUP($A18,[0]!Data,202,FALSE)/'Table 9'!$N18</f>
        <v>0</v>
      </c>
      <c r="D18" s="212">
        <f>VLOOKUP($A18,[0]!Data,205,FALSE)/'Table 9'!$N18</f>
        <v>0.26781639634475929</v>
      </c>
      <c r="E18" s="212">
        <f>VLOOKUP($A18,[0]!Data,203,FALSE)/'Table 9'!$N18</f>
        <v>0.20364653430506532</v>
      </c>
      <c r="F18" s="212">
        <f>VLOOKUP($A18,[0]!Data,206,FALSE)/'Table 9'!$N18</f>
        <v>9.5882956841605027E-2</v>
      </c>
      <c r="G18" s="423">
        <f>VLOOKUP($A18,[0]!Data,204,FALSE)/'Table 9'!$N18</f>
        <v>3.0780783504257073E-2</v>
      </c>
      <c r="H18" s="212">
        <f>VLOOKUP($A18,[0]!Data,207,FALSE)/'Table 9'!$N18</f>
        <v>2.6119227015987146E-4</v>
      </c>
      <c r="I18" s="405">
        <f>'Table 9'!M18/'Table 1'!D18</f>
        <v>0.58610102884589144</v>
      </c>
      <c r="J18" s="406">
        <f>'Table 9'!N18/'Table 1'!D18</f>
        <v>3.7614141855197447</v>
      </c>
      <c r="K18" s="148">
        <f>'Table 6'!L18/'Table 9'!N18</f>
        <v>6.9874990477365149</v>
      </c>
    </row>
    <row r="19" spans="1:11" x14ac:dyDescent="0.25">
      <c r="A19" s="36" t="s">
        <v>604</v>
      </c>
      <c r="B19" s="36" t="s">
        <v>1517</v>
      </c>
      <c r="C19" s="212">
        <f>VLOOKUP($A19,[0]!Data,202,FALSE)/'Table 9'!$N19</f>
        <v>0</v>
      </c>
      <c r="D19" s="212">
        <f>VLOOKUP($A19,[0]!Data,205,FALSE)/'Table 9'!$N19</f>
        <v>0.21766245966233788</v>
      </c>
      <c r="E19" s="212">
        <f>VLOOKUP($A19,[0]!Data,203,FALSE)/'Table 9'!$N19</f>
        <v>0.25749997825462961</v>
      </c>
      <c r="F19" s="212">
        <f>VLOOKUP($A19,[0]!Data,206,FALSE)/'Table 9'!$N19</f>
        <v>7.5552114954726135E-2</v>
      </c>
      <c r="G19" s="423">
        <f>VLOOKUP($A19,[0]!Data,204,FALSE)/'Table 9'!$N19</f>
        <v>2.914314542433916E-2</v>
      </c>
      <c r="H19" s="212">
        <f>VLOOKUP($A19,[0]!Data,207,FALSE)/'Table 9'!$N19</f>
        <v>1.5656666695660493E-4</v>
      </c>
      <c r="I19" s="405">
        <f>'Table 9'!M19/'Table 1'!D19</f>
        <v>0.41037911535987176</v>
      </c>
      <c r="J19" s="406">
        <f>'Table 9'!N19/'Table 1'!D19</f>
        <v>2.5951625828150924</v>
      </c>
      <c r="K19" s="148">
        <f>'Table 6'!L19/'Table 9'!N19</f>
        <v>4.7430262597093078</v>
      </c>
    </row>
    <row r="20" spans="1:11" x14ac:dyDescent="0.25">
      <c r="A20" s="36" t="s">
        <v>617</v>
      </c>
      <c r="B20" s="36" t="s">
        <v>1518</v>
      </c>
      <c r="C20" s="212">
        <f>VLOOKUP($A20,[0]!Data,202,FALSE)/'Table 9'!$N20</f>
        <v>0</v>
      </c>
      <c r="D20" s="212">
        <f>VLOOKUP($A20,[0]!Data,205,FALSE)/'Table 9'!$N20</f>
        <v>0.17735425001123747</v>
      </c>
      <c r="E20" s="212">
        <f>VLOOKUP($A20,[0]!Data,203,FALSE)/'Table 9'!$N20</f>
        <v>0.47197374926956442</v>
      </c>
      <c r="F20" s="212">
        <f>VLOOKUP($A20,[0]!Data,206,FALSE)/'Table 9'!$N20</f>
        <v>0.11222187261203757</v>
      </c>
      <c r="G20" s="423">
        <f>VLOOKUP($A20,[0]!Data,204,FALSE)/'Table 9'!$N20</f>
        <v>0</v>
      </c>
      <c r="H20" s="212">
        <f>VLOOKUP($A20,[0]!Data,207,FALSE)/'Table 9'!$N20</f>
        <v>0</v>
      </c>
      <c r="I20" s="405">
        <f>'Table 9'!M20/'Table 1'!D20</f>
        <v>0.11643524185932635</v>
      </c>
      <c r="J20" s="406">
        <f>'Table 9'!N20/'Table 1'!D20</f>
        <v>1.9452799832115002</v>
      </c>
      <c r="K20" s="148">
        <f>'Table 6'!L20/'Table 9'!N20</f>
        <v>12.610832921292758</v>
      </c>
    </row>
    <row r="21" spans="1:11" x14ac:dyDescent="0.25">
      <c r="A21" s="36" t="s">
        <v>645</v>
      </c>
      <c r="B21" s="36" t="s">
        <v>1519</v>
      </c>
      <c r="C21" s="212">
        <f>VLOOKUP($A21,[0]!Data,202,FALSE)/'Table 9'!$N21</f>
        <v>0</v>
      </c>
      <c r="D21" s="212">
        <f>VLOOKUP($A21,[0]!Data,205,FALSE)/'Table 9'!$N21</f>
        <v>0.24767378756248284</v>
      </c>
      <c r="E21" s="212">
        <f>VLOOKUP($A21,[0]!Data,203,FALSE)/'Table 9'!$N21</f>
        <v>0.15008826611662354</v>
      </c>
      <c r="F21" s="212">
        <f>VLOOKUP($A21,[0]!Data,206,FALSE)/'Table 9'!$N21</f>
        <v>9.1419369058411581E-2</v>
      </c>
      <c r="G21" s="423">
        <f>VLOOKUP($A21,[0]!Data,204,FALSE)/'Table 9'!$N21</f>
        <v>4.4412203804280022E-2</v>
      </c>
      <c r="H21" s="212">
        <f>VLOOKUP($A21,[0]!Data,207,FALSE)/'Table 9'!$N21</f>
        <v>1.1976745153160946E-3</v>
      </c>
      <c r="I21" s="405">
        <f>'Table 9'!M21/'Table 1'!D21</f>
        <v>1.2960942805860096</v>
      </c>
      <c r="J21" s="406">
        <f>'Table 9'!N21/'Table 1'!D21</f>
        <v>5.8325895022800038</v>
      </c>
      <c r="K21" s="148">
        <f>'Table 6'!L21/'Table 9'!N21</f>
        <v>5.695977289928722</v>
      </c>
    </row>
    <row r="22" spans="1:11" x14ac:dyDescent="0.25">
      <c r="A22" s="36" t="s">
        <v>658</v>
      </c>
      <c r="B22" s="36" t="s">
        <v>1520</v>
      </c>
      <c r="C22" s="212">
        <f>VLOOKUP($A22,[0]!Data,202,FALSE)/'Table 9'!$N22</f>
        <v>0</v>
      </c>
      <c r="D22" s="212">
        <f>VLOOKUP($A22,[0]!Data,205,FALSE)/'Table 9'!$N22</f>
        <v>0.19210739718796072</v>
      </c>
      <c r="E22" s="212">
        <f>VLOOKUP($A22,[0]!Data,203,FALSE)/'Table 9'!$N22</f>
        <v>0.27190166023883405</v>
      </c>
      <c r="F22" s="212">
        <f>VLOOKUP($A22,[0]!Data,206,FALSE)/'Table 9'!$N22</f>
        <v>6.120361671942641E-2</v>
      </c>
      <c r="G22" s="423">
        <f>VLOOKUP($A22,[0]!Data,204,FALSE)/'Table 9'!$N22</f>
        <v>2.9726627549788932E-2</v>
      </c>
      <c r="H22" s="212">
        <f>VLOOKUP($A22,[0]!Data,207,FALSE)/'Table 9'!$N22</f>
        <v>2.5387189367247747E-3</v>
      </c>
      <c r="I22" s="405">
        <f>'Table 9'!M22/'Table 1'!D22</f>
        <v>0.67011390887290168</v>
      </c>
      <c r="J22" s="406">
        <f>'Table 9'!N22/'Table 1'!D22</f>
        <v>3.5963791466826538</v>
      </c>
      <c r="K22" s="148">
        <f>'Table 6'!L22/'Table 9'!N22</f>
        <v>6.0594098433530537</v>
      </c>
    </row>
    <row r="23" spans="1:11" x14ac:dyDescent="0.25">
      <c r="A23" s="36" t="s">
        <v>674</v>
      </c>
      <c r="B23" s="36" t="s">
        <v>1521</v>
      </c>
      <c r="C23" s="212">
        <f>VLOOKUP($A23,[0]!Data,202,FALSE)/'Table 9'!$N23</f>
        <v>0</v>
      </c>
      <c r="D23" s="212">
        <f>VLOOKUP($A23,[0]!Data,205,FALSE)/'Table 9'!$N23</f>
        <v>0.24119539070031443</v>
      </c>
      <c r="E23" s="212">
        <f>VLOOKUP($A23,[0]!Data,203,FALSE)/'Table 9'!$N23</f>
        <v>0.23205066986206338</v>
      </c>
      <c r="F23" s="212">
        <f>VLOOKUP($A23,[0]!Data,206,FALSE)/'Table 9'!$N23</f>
        <v>6.0661483156595461E-2</v>
      </c>
      <c r="G23" s="423">
        <f>VLOOKUP($A23,[0]!Data,204,FALSE)/'Table 9'!$N23</f>
        <v>2.7938698836863587E-2</v>
      </c>
      <c r="H23" s="212">
        <f>VLOOKUP($A23,[0]!Data,207,FALSE)/'Table 9'!$N23</f>
        <v>1.7568675502058688E-3</v>
      </c>
      <c r="I23" s="405">
        <f>'Table 9'!M23/'Table 1'!D23</f>
        <v>0.6458269171542963</v>
      </c>
      <c r="J23" s="406">
        <f>'Table 9'!N23/'Table 1'!D23</f>
        <v>2.6294804671768022</v>
      </c>
      <c r="K23" s="148">
        <f>'Table 6'!L23/'Table 9'!N23</f>
        <v>5.8519636373464996</v>
      </c>
    </row>
    <row r="24" spans="1:11" x14ac:dyDescent="0.25">
      <c r="A24" s="36" t="s">
        <v>686</v>
      </c>
      <c r="B24" s="36" t="s">
        <v>1522</v>
      </c>
      <c r="C24" s="212">
        <f>VLOOKUP($A24,[0]!Data,202,FALSE)/'Table 9'!$N24</f>
        <v>0</v>
      </c>
      <c r="D24" s="212">
        <f>VLOOKUP($A24,[0]!Data,205,FALSE)/'Table 9'!$N24</f>
        <v>0.21148683148584324</v>
      </c>
      <c r="E24" s="212">
        <f>VLOOKUP($A24,[0]!Data,203,FALSE)/'Table 9'!$N24</f>
        <v>0.33997661126941514</v>
      </c>
      <c r="F24" s="212">
        <f>VLOOKUP($A24,[0]!Data,206,FALSE)/'Table 9'!$N24</f>
        <v>0.10566106105776357</v>
      </c>
      <c r="G24" s="423">
        <f>VLOOKUP($A24,[0]!Data,204,FALSE)/'Table 9'!$N24</f>
        <v>1.3028511192001713E-2</v>
      </c>
      <c r="H24" s="212">
        <f>VLOOKUP($A24,[0]!Data,207,FALSE)/'Table 9'!$N24</f>
        <v>0</v>
      </c>
      <c r="I24" s="405">
        <f>'Table 9'!M24/'Table 1'!D24</f>
        <v>9.8276758897259925E-2</v>
      </c>
      <c r="J24" s="406">
        <f>'Table 9'!N24/'Table 1'!D24</f>
        <v>1.0187257747873215</v>
      </c>
      <c r="K24" s="148">
        <f>'Table 6'!L24/'Table 9'!N24</f>
        <v>9.5496516396817821</v>
      </c>
    </row>
    <row r="25" spans="1:11" x14ac:dyDescent="0.25">
      <c r="A25" s="36" t="s">
        <v>699</v>
      </c>
      <c r="B25" s="36" t="s">
        <v>1523</v>
      </c>
      <c r="C25" s="212">
        <f>VLOOKUP($A25,[0]!Data,202,FALSE)/'Table 9'!$N25</f>
        <v>0</v>
      </c>
      <c r="D25" s="212">
        <f>VLOOKUP($A25,[0]!Data,205,FALSE)/'Table 9'!$N25</f>
        <v>0.27466951649404198</v>
      </c>
      <c r="E25" s="212">
        <f>VLOOKUP($A25,[0]!Data,203,FALSE)/'Table 9'!$N25</f>
        <v>0.14635122618420704</v>
      </c>
      <c r="F25" s="212">
        <f>VLOOKUP($A25,[0]!Data,206,FALSE)/'Table 9'!$N25</f>
        <v>0.11526524729621983</v>
      </c>
      <c r="G25" s="423">
        <f>VLOOKUP($A25,[0]!Data,204,FALSE)/'Table 9'!$N25</f>
        <v>2.4118254085400716E-2</v>
      </c>
      <c r="H25" s="212">
        <f>VLOOKUP($A25,[0]!Data,207,FALSE)/'Table 9'!$N25</f>
        <v>1.657815743964152E-3</v>
      </c>
      <c r="I25" s="405">
        <f>'Table 9'!M25/'Table 1'!D25</f>
        <v>1.4032544577021049</v>
      </c>
      <c r="J25" s="406">
        <f>'Table 9'!N25/'Table 1'!D25</f>
        <v>10.399778790722618</v>
      </c>
      <c r="K25" s="148">
        <f>'Table 6'!L25/'Table 9'!N25</f>
        <v>3.4069850635442323</v>
      </c>
    </row>
    <row r="26" spans="1:11" x14ac:dyDescent="0.25">
      <c r="A26" s="36" t="s">
        <v>729</v>
      </c>
      <c r="B26" s="36" t="s">
        <v>1524</v>
      </c>
      <c r="C26" s="212">
        <f>VLOOKUP($A26,[0]!Data,202,FALSE)/'Table 9'!$N26</f>
        <v>0</v>
      </c>
      <c r="D26" s="212">
        <f>VLOOKUP($A26,[0]!Data,205,FALSE)/'Table 9'!$N26</f>
        <v>0.211472383544662</v>
      </c>
      <c r="E26" s="212">
        <f>VLOOKUP($A26,[0]!Data,203,FALSE)/'Table 9'!$N26</f>
        <v>0.37453006885586082</v>
      </c>
      <c r="F26" s="212">
        <f>VLOOKUP($A26,[0]!Data,206,FALSE)/'Table 9'!$N26</f>
        <v>8.4405697115060699E-2</v>
      </c>
      <c r="G26" s="423">
        <f>VLOOKUP($A26,[0]!Data,204,FALSE)/'Table 9'!$N26</f>
        <v>1.5859755029442282E-2</v>
      </c>
      <c r="H26" s="212">
        <f>VLOOKUP($A26,[0]!Data,207,FALSE)/'Table 9'!$N26</f>
        <v>1.4647029496179914E-2</v>
      </c>
      <c r="I26" s="405">
        <f>'Table 9'!M26/'Table 1'!D26</f>
        <v>0.29402639153676496</v>
      </c>
      <c r="J26" s="406">
        <f>'Table 9'!N26/'Table 1'!D26</f>
        <v>1.3871070240364847</v>
      </c>
      <c r="K26" s="148">
        <f>'Table 6'!L26/'Table 9'!N26</f>
        <v>9.4518076347809679</v>
      </c>
    </row>
    <row r="27" spans="1:11" x14ac:dyDescent="0.25">
      <c r="A27" s="36" t="s">
        <v>774</v>
      </c>
      <c r="B27" s="36" t="s">
        <v>1525</v>
      </c>
      <c r="C27" s="212">
        <f>VLOOKUP($A27,[0]!Data,202,FALSE)/'Table 9'!$N27</f>
        <v>0</v>
      </c>
      <c r="D27" s="212">
        <f>VLOOKUP($A27,[0]!Data,205,FALSE)/'Table 9'!$N27</f>
        <v>0.16996819006810962</v>
      </c>
      <c r="E27" s="212">
        <f>VLOOKUP($A27,[0]!Data,203,FALSE)/'Table 9'!$N27</f>
        <v>0.20876636323185693</v>
      </c>
      <c r="F27" s="212">
        <f>VLOOKUP($A27,[0]!Data,206,FALSE)/'Table 9'!$N27</f>
        <v>4.7252363145476955E-2</v>
      </c>
      <c r="G27" s="423">
        <f>VLOOKUP($A27,[0]!Data,204,FALSE)/'Table 9'!$N27</f>
        <v>1.8801206507426168E-2</v>
      </c>
      <c r="H27" s="212">
        <f>VLOOKUP($A27,[0]!Data,207,FALSE)/'Table 9'!$N27</f>
        <v>1.1490546915882969E-3</v>
      </c>
      <c r="I27" s="405">
        <f>'Table 9'!M27/'Table 1'!D27</f>
        <v>1.7097230387442328</v>
      </c>
      <c r="J27" s="406">
        <f>'Table 9'!N27/'Table 1'!D27</f>
        <v>5.3945593896719979</v>
      </c>
      <c r="K27" s="148">
        <f>'Table 6'!L27/'Table 9'!N27</f>
        <v>4.207648947721025</v>
      </c>
    </row>
    <row r="28" spans="1:11" x14ac:dyDescent="0.25">
      <c r="A28" s="36" t="s">
        <v>788</v>
      </c>
      <c r="B28" s="36" t="s">
        <v>1526</v>
      </c>
      <c r="C28" s="212">
        <f>VLOOKUP($A28,[0]!Data,202,FALSE)/'Table 9'!$N28</f>
        <v>0</v>
      </c>
      <c r="D28" s="212">
        <f>VLOOKUP($A28,[0]!Data,205,FALSE)/'Table 9'!$N28</f>
        <v>0.22805855136050066</v>
      </c>
      <c r="E28" s="212">
        <f>VLOOKUP($A28,[0]!Data,203,FALSE)/'Table 9'!$N28</f>
        <v>0.22436150843805505</v>
      </c>
      <c r="F28" s="212">
        <f>VLOOKUP($A28,[0]!Data,206,FALSE)/'Table 9'!$N28</f>
        <v>4.5533760571928088E-2</v>
      </c>
      <c r="G28" s="423">
        <f>VLOOKUP($A28,[0]!Data,204,FALSE)/'Table 9'!$N28</f>
        <v>2.4498477196928783E-2</v>
      </c>
      <c r="H28" s="212">
        <f>VLOOKUP($A28,[0]!Data,207,FALSE)/'Table 9'!$N28</f>
        <v>3.9977060516806513E-3</v>
      </c>
      <c r="I28" s="405">
        <f>'Table 9'!M28/'Table 1'!D28</f>
        <v>0.22699977079990832</v>
      </c>
      <c r="J28" s="406">
        <f>'Table 9'!N28/'Table 1'!D28</f>
        <v>2.7443349377339752</v>
      </c>
      <c r="K28" s="148">
        <f>'Table 6'!L28/'Table 9'!N28</f>
        <v>4.9240602885252471</v>
      </c>
    </row>
    <row r="29" spans="1:11" x14ac:dyDescent="0.25">
      <c r="A29" s="36" t="s">
        <v>802</v>
      </c>
      <c r="B29" s="36" t="s">
        <v>817</v>
      </c>
      <c r="C29" s="212">
        <f>VLOOKUP($A29,[0]!Data,202,FALSE)/'Table 9'!$N29</f>
        <v>0</v>
      </c>
      <c r="D29" s="212">
        <f>VLOOKUP($A29,[0]!Data,205,FALSE)/'Table 9'!$N29</f>
        <v>0.24152397160085393</v>
      </c>
      <c r="E29" s="212">
        <f>VLOOKUP($A29,[0]!Data,203,FALSE)/'Table 9'!$N29</f>
        <v>0.21141215038106811</v>
      </c>
      <c r="F29" s="212">
        <f>VLOOKUP($A29,[0]!Data,206,FALSE)/'Table 9'!$N29</f>
        <v>8.1437744384281169E-2</v>
      </c>
      <c r="G29" s="423">
        <f>VLOOKUP($A29,[0]!Data,204,FALSE)/'Table 9'!$N29</f>
        <v>3.6373241143655748E-2</v>
      </c>
      <c r="H29" s="212">
        <f>VLOOKUP($A29,[0]!Data,207,FALSE)/'Table 9'!$N29</f>
        <v>0</v>
      </c>
      <c r="I29" s="405">
        <f>'Table 9'!M29/'Table 1'!D29</f>
        <v>0.97153624080629442</v>
      </c>
      <c r="J29" s="406">
        <f>'Table 9'!N29/'Table 1'!D29</f>
        <v>5.5797642866803789</v>
      </c>
      <c r="K29" s="148">
        <f>'Table 6'!L29/'Table 9'!N29</f>
        <v>3.1273456293767667</v>
      </c>
    </row>
    <row r="30" spans="1:11" x14ac:dyDescent="0.25">
      <c r="A30" s="36" t="s">
        <v>828</v>
      </c>
      <c r="B30" s="36" t="s">
        <v>1527</v>
      </c>
      <c r="C30" s="212">
        <f>VLOOKUP($A30,[0]!Data,202,FALSE)/'Table 9'!$N30</f>
        <v>0</v>
      </c>
      <c r="D30" s="212">
        <f>VLOOKUP($A30,[0]!Data,205,FALSE)/'Table 9'!$N30</f>
        <v>0.24033256831074351</v>
      </c>
      <c r="E30" s="212">
        <f>VLOOKUP($A30,[0]!Data,203,FALSE)/'Table 9'!$N30</f>
        <v>0.25934884411479048</v>
      </c>
      <c r="F30" s="212">
        <f>VLOOKUP($A30,[0]!Data,206,FALSE)/'Table 9'!$N30</f>
        <v>6.9260320072254425E-2</v>
      </c>
      <c r="G30" s="423">
        <f>VLOOKUP($A30,[0]!Data,204,FALSE)/'Table 9'!$N30</f>
        <v>3.7246908463294384E-2</v>
      </c>
      <c r="H30" s="212">
        <f>VLOOKUP($A30,[0]!Data,207,FALSE)/'Table 9'!$N30</f>
        <v>2.5672590952112886E-3</v>
      </c>
      <c r="I30" s="405">
        <f>'Table 9'!M30/'Table 1'!D30</f>
        <v>0.41739437686133968</v>
      </c>
      <c r="J30" s="406">
        <f>'Table 9'!N30/'Table 1'!D30</f>
        <v>2.7198862584759307</v>
      </c>
      <c r="K30" s="148">
        <f>'Table 6'!L30/'Table 9'!N30</f>
        <v>6.0905469189797774</v>
      </c>
    </row>
    <row r="31" spans="1:11" x14ac:dyDescent="0.25">
      <c r="A31" s="36" t="s">
        <v>842</v>
      </c>
      <c r="B31" s="36" t="s">
        <v>1528</v>
      </c>
      <c r="C31" s="212">
        <f>VLOOKUP($A31,[0]!Data,202,FALSE)/'Table 9'!$N31</f>
        <v>0</v>
      </c>
      <c r="D31" s="212">
        <f>VLOOKUP($A31,[0]!Data,205,FALSE)/'Table 9'!$N31</f>
        <v>0.2467954507734107</v>
      </c>
      <c r="E31" s="212">
        <f>VLOOKUP($A31,[0]!Data,203,FALSE)/'Table 9'!$N31</f>
        <v>0.11964460428092381</v>
      </c>
      <c r="F31" s="212">
        <f>VLOOKUP($A31,[0]!Data,206,FALSE)/'Table 9'!$N31</f>
        <v>5.2449248504665959E-2</v>
      </c>
      <c r="G31" s="423">
        <f>VLOOKUP($A31,[0]!Data,204,FALSE)/'Table 9'!$N31</f>
        <v>2.840011406994028E-2</v>
      </c>
      <c r="H31" s="212">
        <f>VLOOKUP($A31,[0]!Data,207,FALSE)/'Table 9'!$N31</f>
        <v>8.5552455208750741E-4</v>
      </c>
      <c r="I31" s="405">
        <f>'Table 9'!M31/'Table 1'!D31</f>
        <v>1.743055889394187</v>
      </c>
      <c r="J31" s="406">
        <f>'Table 9'!N31/'Table 1'!D31</f>
        <v>5.2426184272514877</v>
      </c>
      <c r="K31" s="148">
        <f>'Table 6'!L31/'Table 9'!N31</f>
        <v>3.6917855888585578</v>
      </c>
    </row>
    <row r="32" spans="1:11" x14ac:dyDescent="0.25">
      <c r="A32" s="36" t="s">
        <v>857</v>
      </c>
      <c r="B32" s="36" t="s">
        <v>1529</v>
      </c>
      <c r="C32" s="212">
        <f>VLOOKUP($A32,[0]!Data,202,FALSE)/'Table 9'!$N32</f>
        <v>0</v>
      </c>
      <c r="D32" s="212">
        <f>VLOOKUP($A32,[0]!Data,205,FALSE)/'Table 9'!$N32</f>
        <v>7.4363517672293197E-2</v>
      </c>
      <c r="E32" s="212">
        <f>VLOOKUP($A32,[0]!Data,203,FALSE)/'Table 9'!$N32</f>
        <v>0.71411918306444089</v>
      </c>
      <c r="F32" s="212">
        <f>VLOOKUP($A32,[0]!Data,206,FALSE)/'Table 9'!$N32</f>
        <v>0.12601883801175046</v>
      </c>
      <c r="G32" s="423">
        <f>VLOOKUP($A32,[0]!Data,204,FALSE)/'Table 9'!$N32</f>
        <v>4.2805185116105565E-3</v>
      </c>
      <c r="H32" s="212">
        <f>VLOOKUP($A32,[0]!Data,207,FALSE)/'Table 9'!$N32</f>
        <v>6.3415089060897133E-4</v>
      </c>
      <c r="I32" s="405">
        <f>'Table 9'!M32/'Table 1'!D32</f>
        <v>0.14339296796999379</v>
      </c>
      <c r="J32" s="406">
        <f>'Table 9'!N32/'Table 1'!D32</f>
        <v>2.893494157964327</v>
      </c>
      <c r="K32" s="148">
        <f>'Table 6'!L32/'Table 9'!N32</f>
        <v>5.4728620721812922</v>
      </c>
    </row>
    <row r="33" spans="1:11" x14ac:dyDescent="0.25">
      <c r="A33" s="36" t="s">
        <v>871</v>
      </c>
      <c r="B33" s="36" t="s">
        <v>1530</v>
      </c>
      <c r="C33" s="212">
        <f>VLOOKUP($A33,[0]!Data,202,FALSE)/'Table 9'!$N33</f>
        <v>0</v>
      </c>
      <c r="D33" s="212">
        <f>VLOOKUP($A33,[0]!Data,205,FALSE)/'Table 9'!$N33</f>
        <v>0.31420127087335598</v>
      </c>
      <c r="E33" s="212">
        <f>VLOOKUP($A33,[0]!Data,203,FALSE)/'Table 9'!$N33</f>
        <v>0.17367518841436383</v>
      </c>
      <c r="F33" s="212">
        <f>VLOOKUP($A33,[0]!Data,206,FALSE)/'Table 9'!$N33</f>
        <v>5.9524161371361017E-2</v>
      </c>
      <c r="G33" s="423">
        <f>VLOOKUP($A33,[0]!Data,204,FALSE)/'Table 9'!$N33</f>
        <v>2.1016698684793854E-2</v>
      </c>
      <c r="H33" s="212">
        <f>VLOOKUP($A33,[0]!Data,207,FALSE)/'Table 9'!$N33</f>
        <v>5.9110388650805381E-5</v>
      </c>
      <c r="I33" s="405">
        <f>'Table 9'!M33/'Table 1'!D33</f>
        <v>0.62381680811908402</v>
      </c>
      <c r="J33" s="406">
        <f>'Table 9'!N33/'Table 1'!D33</f>
        <v>2.6272877631364389</v>
      </c>
      <c r="K33" s="148">
        <f>'Table 6'!L33/'Table 9'!N33</f>
        <v>3.788686271612236</v>
      </c>
    </row>
    <row r="34" spans="1:11" x14ac:dyDescent="0.25">
      <c r="A34" s="36" t="s">
        <v>893</v>
      </c>
      <c r="B34" s="36" t="s">
        <v>1531</v>
      </c>
      <c r="C34" s="212">
        <f>VLOOKUP($A34,[0]!Data,202,FALSE)/'Table 9'!$N34</f>
        <v>0</v>
      </c>
      <c r="D34" s="212">
        <f>VLOOKUP($A34,[0]!Data,205,FALSE)/'Table 9'!$N34</f>
        <v>0.1492275525612731</v>
      </c>
      <c r="E34" s="212">
        <f>VLOOKUP($A34,[0]!Data,203,FALSE)/'Table 9'!$N34</f>
        <v>0.29697409687536297</v>
      </c>
      <c r="F34" s="212">
        <f>VLOOKUP($A34,[0]!Data,206,FALSE)/'Table 9'!$N34</f>
        <v>0.10761412475316529</v>
      </c>
      <c r="G34" s="423">
        <f>VLOOKUP($A34,[0]!Data,204,FALSE)/'Table 9'!$N34</f>
        <v>1.3323266349169473E-2</v>
      </c>
      <c r="H34" s="212">
        <f>VLOOKUP($A34,[0]!Data,207,FALSE)/'Table 9'!$N34</f>
        <v>1.2806365431525149E-3</v>
      </c>
      <c r="I34" s="405">
        <f>'Table 9'!M34/'Table 1'!D34</f>
        <v>0.83302844376811125</v>
      </c>
      <c r="J34" s="406">
        <f>'Table 9'!N34/'Table 1'!D34</f>
        <v>5.5747842838872614</v>
      </c>
      <c r="K34" s="148">
        <f>'Table 6'!L34/'Table 9'!N34</f>
        <v>3.6423016610523868</v>
      </c>
    </row>
    <row r="35" spans="1:11" x14ac:dyDescent="0.25">
      <c r="A35" s="36" t="s">
        <v>905</v>
      </c>
      <c r="B35" s="36" t="s">
        <v>1532</v>
      </c>
      <c r="C35" s="212">
        <f>VLOOKUP($A35,[0]!Data,202,FALSE)/'Table 9'!$N35</f>
        <v>0</v>
      </c>
      <c r="D35" s="212">
        <f>VLOOKUP($A35,[0]!Data,205,FALSE)/'Table 9'!$N35</f>
        <v>0.1617122885070961</v>
      </c>
      <c r="E35" s="212">
        <f>VLOOKUP($A35,[0]!Data,203,FALSE)/'Table 9'!$N35</f>
        <v>0.25227647409242848</v>
      </c>
      <c r="F35" s="212">
        <f>VLOOKUP($A35,[0]!Data,206,FALSE)/'Table 9'!$N35</f>
        <v>9.4054350386025887E-2</v>
      </c>
      <c r="G35" s="423">
        <f>VLOOKUP($A35,[0]!Data,204,FALSE)/'Table 9'!$N35</f>
        <v>1.903114529258209E-2</v>
      </c>
      <c r="H35" s="212">
        <f>VLOOKUP($A35,[0]!Data,207,FALSE)/'Table 9'!$N35</f>
        <v>2.8815877231696675E-3</v>
      </c>
      <c r="I35" s="405">
        <f>'Table 9'!M35/'Table 1'!D35</f>
        <v>1.4304148271189405</v>
      </c>
      <c r="J35" s="406">
        <f>'Table 9'!N35/'Table 1'!D35</f>
        <v>8.8346723783712893</v>
      </c>
      <c r="K35" s="148">
        <f>'Table 6'!L35/'Table 9'!N35</f>
        <v>2.8401540145306434</v>
      </c>
    </row>
    <row r="36" spans="1:11" x14ac:dyDescent="0.25">
      <c r="A36" s="36" t="s">
        <v>957</v>
      </c>
      <c r="B36" s="36" t="s">
        <v>1533</v>
      </c>
      <c r="C36" s="212">
        <f>VLOOKUP($A36,[0]!Data,202,FALSE)/'Table 9'!$N36</f>
        <v>0</v>
      </c>
      <c r="D36" s="212">
        <f>VLOOKUP($A36,[0]!Data,205,FALSE)/'Table 9'!$N36</f>
        <v>0.21031803474114441</v>
      </c>
      <c r="E36" s="212">
        <f>VLOOKUP($A36,[0]!Data,203,FALSE)/'Table 9'!$N36</f>
        <v>0.30361886920980924</v>
      </c>
      <c r="F36" s="212">
        <f>VLOOKUP($A36,[0]!Data,206,FALSE)/'Table 9'!$N36</f>
        <v>0.10957723092643051</v>
      </c>
      <c r="G36" s="423">
        <f>VLOOKUP($A36,[0]!Data,204,FALSE)/'Table 9'!$N36</f>
        <v>3.3617166212534057E-2</v>
      </c>
      <c r="H36" s="212">
        <f>VLOOKUP($A36,[0]!Data,207,FALSE)/'Table 9'!$N36</f>
        <v>3.9743698910081745E-3</v>
      </c>
      <c r="I36" s="405">
        <f>'Table 9'!M36/'Table 1'!D36</f>
        <v>0.7117545022073658</v>
      </c>
      <c r="J36" s="406">
        <f>'Table 9'!N36/'Table 1'!D36</f>
        <v>3.4972417233087407</v>
      </c>
      <c r="K36" s="148">
        <f>'Table 6'!L36/'Table 9'!N36</f>
        <v>4.4199016519073568</v>
      </c>
    </row>
    <row r="37" spans="1:11" x14ac:dyDescent="0.25">
      <c r="A37" s="36" t="s">
        <v>1198</v>
      </c>
      <c r="B37" s="36" t="s">
        <v>950</v>
      </c>
      <c r="C37" s="212">
        <f>VLOOKUP($A37,[0]!Data,202,FALSE)/'Table 9'!$N37</f>
        <v>0</v>
      </c>
      <c r="D37" s="212">
        <f>VLOOKUP($A37,[0]!Data,205,FALSE)/'Table 9'!$N37</f>
        <v>0.29064017277508752</v>
      </c>
      <c r="E37" s="212">
        <f>VLOOKUP($A37,[0]!Data,203,FALSE)/'Table 9'!$N37</f>
        <v>0.27556727927372848</v>
      </c>
      <c r="F37" s="212">
        <f>VLOOKUP($A37,[0]!Data,206,FALSE)/'Table 9'!$N37</f>
        <v>8.0771711609369135E-2</v>
      </c>
      <c r="G37" s="423">
        <f>VLOOKUP($A37,[0]!Data,204,FALSE)/'Table 9'!$N37</f>
        <v>3.7796154919950323E-2</v>
      </c>
      <c r="H37" s="212">
        <f>VLOOKUP($A37,[0]!Data,207,FALSE)/'Table 9'!$N37</f>
        <v>2.096470369265032E-2</v>
      </c>
      <c r="I37" s="405">
        <f>'Table 9'!M37/'Table 1'!D37</f>
        <v>0.24335864214593639</v>
      </c>
      <c r="J37" s="406">
        <f>'Table 9'!N37/'Table 1'!D37</f>
        <v>1.8326971823116689</v>
      </c>
      <c r="K37" s="148">
        <f>'Table 6'!L37/'Table 9'!N37</f>
        <v>4.5174363565764599</v>
      </c>
    </row>
    <row r="38" spans="1:11" x14ac:dyDescent="0.25">
      <c r="A38" s="36" t="s">
        <v>981</v>
      </c>
      <c r="B38" s="36" t="s">
        <v>1534</v>
      </c>
      <c r="C38" s="212">
        <f>VLOOKUP($A38,[0]!Data,202,FALSE)/'Table 9'!$N38</f>
        <v>0</v>
      </c>
      <c r="D38" s="212">
        <f>VLOOKUP($A38,[0]!Data,205,FALSE)/'Table 9'!$N38</f>
        <v>0.1671625938161399</v>
      </c>
      <c r="E38" s="212">
        <f>VLOOKUP($A38,[0]!Data,203,FALSE)/'Table 9'!$N38</f>
        <v>0.33352858024257476</v>
      </c>
      <c r="F38" s="212">
        <f>VLOOKUP($A38,[0]!Data,206,FALSE)/'Table 9'!$N38</f>
        <v>7.4857665003163001E-2</v>
      </c>
      <c r="G38" s="423">
        <f>VLOOKUP($A38,[0]!Data,204,FALSE)/'Table 9'!$N38</f>
        <v>2.3742024163757487E-3</v>
      </c>
      <c r="H38" s="212">
        <f>VLOOKUP($A38,[0]!Data,207,FALSE)/'Table 9'!$N38</f>
        <v>3.1239505478628271E-5</v>
      </c>
      <c r="I38" s="405">
        <f>'Table 9'!M38/'Table 1'!D38</f>
        <v>0.34486192694618867</v>
      </c>
      <c r="J38" s="406">
        <f>'Table 9'!N38/'Table 1'!D38</f>
        <v>2.1612821551549524</v>
      </c>
      <c r="K38" s="148">
        <f>'Table 6'!L38/'Table 9'!N38</f>
        <v>5.1705911295424194</v>
      </c>
    </row>
    <row r="39" spans="1:11" x14ac:dyDescent="0.25">
      <c r="A39" s="36" t="s">
        <v>992</v>
      </c>
      <c r="B39" s="36" t="s">
        <v>1535</v>
      </c>
      <c r="C39" s="212">
        <f>VLOOKUP($A39,[0]!Data,202,FALSE)/'Table 9'!$N39</f>
        <v>0</v>
      </c>
      <c r="D39" s="212">
        <f>VLOOKUP($A39,[0]!Data,205,FALSE)/'Table 9'!$N39</f>
        <v>0.24910081801688375</v>
      </c>
      <c r="E39" s="212">
        <f>VLOOKUP($A39,[0]!Data,203,FALSE)/'Table 9'!$N39</f>
        <v>0.23582086385129281</v>
      </c>
      <c r="F39" s="212">
        <f>VLOOKUP($A39,[0]!Data,206,FALSE)/'Table 9'!$N39</f>
        <v>6.3372436402989132E-2</v>
      </c>
      <c r="G39" s="423">
        <f>VLOOKUP($A39,[0]!Data,204,FALSE)/'Table 9'!$N39</f>
        <v>2.7511255247438613E-2</v>
      </c>
      <c r="H39" s="212">
        <f>VLOOKUP($A39,[0]!Data,207,FALSE)/'Table 9'!$N39</f>
        <v>0</v>
      </c>
      <c r="I39" s="405">
        <f>'Table 9'!M39/'Table 1'!D39</f>
        <v>0.65654066046591009</v>
      </c>
      <c r="J39" s="406">
        <f>'Table 9'!N39/'Table 1'!D39</f>
        <v>3.446868942986359</v>
      </c>
      <c r="K39" s="148">
        <f>'Table 6'!L39/'Table 9'!N39</f>
        <v>4.3769809412322243</v>
      </c>
    </row>
    <row r="40" spans="1:11" x14ac:dyDescent="0.25">
      <c r="A40" s="36" t="s">
        <v>1009</v>
      </c>
      <c r="B40" s="36" t="s">
        <v>1536</v>
      </c>
      <c r="C40" s="212">
        <f>VLOOKUP($A40,[0]!Data,202,FALSE)/'Table 9'!$N40</f>
        <v>0</v>
      </c>
      <c r="D40" s="212">
        <f>VLOOKUP($A40,[0]!Data,205,FALSE)/'Table 9'!$N40</f>
        <v>0.17152146132451326</v>
      </c>
      <c r="E40" s="212">
        <f>VLOOKUP($A40,[0]!Data,203,FALSE)/'Table 9'!$N40</f>
        <v>0.25701909343757046</v>
      </c>
      <c r="F40" s="212">
        <f>VLOOKUP($A40,[0]!Data,206,FALSE)/'Table 9'!$N40</f>
        <v>0.10346350447267534</v>
      </c>
      <c r="G40" s="423">
        <f>VLOOKUP($A40,[0]!Data,204,FALSE)/'Table 9'!$N40</f>
        <v>2.5652108546944299E-2</v>
      </c>
      <c r="H40" s="212">
        <f>VLOOKUP($A40,[0]!Data,207,FALSE)/'Table 9'!$N40</f>
        <v>2.8471021574081033E-3</v>
      </c>
      <c r="I40" s="405">
        <f>'Table 9'!M40/'Table 1'!D40</f>
        <v>0.48045861959142816</v>
      </c>
      <c r="J40" s="406">
        <f>'Table 9'!N40/'Table 1'!D40</f>
        <v>4.8420765275945223</v>
      </c>
      <c r="K40" s="148">
        <f>'Table 6'!L40/'Table 9'!N40</f>
        <v>4.484665113132376</v>
      </c>
    </row>
    <row r="41" spans="1:11" x14ac:dyDescent="0.25">
      <c r="A41" s="36" t="s">
        <v>1021</v>
      </c>
      <c r="B41" s="36" t="s">
        <v>1537</v>
      </c>
      <c r="C41" s="212">
        <f>VLOOKUP($A41,[0]!Data,202,FALSE)/'Table 9'!$N41</f>
        <v>0</v>
      </c>
      <c r="D41" s="212">
        <f>VLOOKUP($A41,[0]!Data,205,FALSE)/'Table 9'!$N41</f>
        <v>0.15076844834216108</v>
      </c>
      <c r="E41" s="212">
        <f>VLOOKUP($A41,[0]!Data,203,FALSE)/'Table 9'!$N41</f>
        <v>0.30195864395847027</v>
      </c>
      <c r="F41" s="212">
        <f>VLOOKUP($A41,[0]!Data,206,FALSE)/'Table 9'!$N41</f>
        <v>9.324336058151507E-2</v>
      </c>
      <c r="G41" s="423">
        <f>VLOOKUP($A41,[0]!Data,204,FALSE)/'Table 9'!$N41</f>
        <v>3.188533435875808E-2</v>
      </c>
      <c r="H41" s="212">
        <f>VLOOKUP($A41,[0]!Data,207,FALSE)/'Table 9'!$N41</f>
        <v>2.8467941004998946E-3</v>
      </c>
      <c r="I41" s="405">
        <f>'Table 9'!M41/'Table 1'!D41</f>
        <v>0.30395517468688199</v>
      </c>
      <c r="J41" s="406">
        <f>'Table 9'!N41/'Table 1'!D41</f>
        <v>3.5428257525818503</v>
      </c>
      <c r="K41" s="148">
        <f>'Table 6'!L41/'Table 9'!N41</f>
        <v>4.4812942679583712</v>
      </c>
    </row>
    <row r="42" spans="1:11" x14ac:dyDescent="0.25">
      <c r="A42" s="36" t="s">
        <v>574</v>
      </c>
      <c r="B42" s="36" t="s">
        <v>1538</v>
      </c>
      <c r="C42" s="212">
        <f>VLOOKUP($A42,[0]!Data,202,FALSE)/'Table 9'!$N42</f>
        <v>0</v>
      </c>
      <c r="D42" s="212">
        <f>VLOOKUP($A42,[0]!Data,205,FALSE)/'Table 9'!$N42</f>
        <v>0.26236826899603899</v>
      </c>
      <c r="E42" s="212">
        <f>VLOOKUP($A42,[0]!Data,203,FALSE)/'Table 9'!$N42</f>
        <v>0.11911098675454967</v>
      </c>
      <c r="F42" s="212">
        <f>VLOOKUP($A42,[0]!Data,206,FALSE)/'Table 9'!$N42</f>
        <v>8.3701112121713245E-2</v>
      </c>
      <c r="G42" s="423">
        <f>VLOOKUP($A42,[0]!Data,204,FALSE)/'Table 9'!$N42</f>
        <v>2.7710882806901493E-2</v>
      </c>
      <c r="H42" s="212">
        <f>VLOOKUP($A42,[0]!Data,207,FALSE)/'Table 9'!$N42</f>
        <v>3.5640951435973759E-3</v>
      </c>
      <c r="I42" s="405">
        <f>'Table 9'!M42/'Table 1'!D42</f>
        <v>2.565841990612646</v>
      </c>
      <c r="J42" s="406">
        <f>'Table 9'!N42/'Table 1'!D42</f>
        <v>7.7141156761220451</v>
      </c>
      <c r="K42" s="148">
        <f>'Table 6'!L42/'Table 9'!N42</f>
        <v>4.7289055671052944</v>
      </c>
    </row>
    <row r="43" spans="1:11" x14ac:dyDescent="0.25">
      <c r="A43" s="36" t="s">
        <v>455</v>
      </c>
      <c r="B43" s="36" t="s">
        <v>1539</v>
      </c>
      <c r="C43" s="212">
        <f>VLOOKUP($A43,[0]!Data,202,FALSE)/'Table 9'!$N43</f>
        <v>0</v>
      </c>
      <c r="D43" s="212">
        <f>VLOOKUP($A43,[0]!Data,205,FALSE)/'Table 9'!$N43</f>
        <v>0.2963368775691983</v>
      </c>
      <c r="E43" s="212">
        <f>VLOOKUP($A43,[0]!Data,203,FALSE)/'Table 9'!$N43</f>
        <v>0.22301852617926901</v>
      </c>
      <c r="F43" s="212">
        <f>VLOOKUP($A43,[0]!Data,206,FALSE)/'Table 9'!$N43</f>
        <v>7.5513466978231455E-2</v>
      </c>
      <c r="G43" s="423">
        <f>VLOOKUP($A43,[0]!Data,204,FALSE)/'Table 9'!$N43</f>
        <v>4.0320807385129116E-2</v>
      </c>
      <c r="H43" s="212">
        <f>VLOOKUP($A43,[0]!Data,207,FALSE)/'Table 9'!$N43</f>
        <v>3.4063423560410401E-3</v>
      </c>
      <c r="I43" s="405">
        <f>'Table 9'!M43/'Table 1'!D43</f>
        <v>0.47747505325709161</v>
      </c>
      <c r="J43" s="406">
        <f>'Table 9'!N43/'Table 1'!D43</f>
        <v>3.0084426505213591</v>
      </c>
      <c r="K43" s="148">
        <f>'Table 6'!L43/'Table 9'!N43</f>
        <v>7.7983996899259473</v>
      </c>
    </row>
    <row r="44" spans="1:11" x14ac:dyDescent="0.25">
      <c r="A44" s="36" t="s">
        <v>1078</v>
      </c>
      <c r="B44" s="36" t="s">
        <v>1540</v>
      </c>
      <c r="C44" s="212">
        <f>VLOOKUP($A44,[0]!Data,202,FALSE)/'Table 9'!$N44</f>
        <v>0</v>
      </c>
      <c r="D44" s="212">
        <f>VLOOKUP($A44,[0]!Data,205,FALSE)/'Table 9'!$N44</f>
        <v>0.20257386918389972</v>
      </c>
      <c r="E44" s="212">
        <f>VLOOKUP($A44,[0]!Data,203,FALSE)/'Table 9'!$N44</f>
        <v>0.19125918491310703</v>
      </c>
      <c r="F44" s="212">
        <f>VLOOKUP($A44,[0]!Data,206,FALSE)/'Table 9'!$N44</f>
        <v>8.4409268016507819E-2</v>
      </c>
      <c r="G44" s="423">
        <f>VLOOKUP($A44,[0]!Data,204,FALSE)/'Table 9'!$N44</f>
        <v>1.8683853303534639E-2</v>
      </c>
      <c r="H44" s="212">
        <f>VLOOKUP($A44,[0]!Data,207,FALSE)/'Table 9'!$N44</f>
        <v>6.7781306073556977E-4</v>
      </c>
      <c r="I44" s="405">
        <f>'Table 9'!M44/'Table 1'!D44</f>
        <v>1.9987567528889842</v>
      </c>
      <c r="J44" s="406">
        <f>'Table 9'!N44/'Table 1'!D44</f>
        <v>7.3698034059604307</v>
      </c>
      <c r="K44" s="148">
        <f>'Table 6'!L44/'Table 9'!N44</f>
        <v>2.540493717334356</v>
      </c>
    </row>
    <row r="45" spans="1:11" x14ac:dyDescent="0.25">
      <c r="A45" s="36" t="s">
        <v>1108</v>
      </c>
      <c r="B45" s="36" t="s">
        <v>1541</v>
      </c>
      <c r="C45" s="212">
        <f>VLOOKUP($A45,[0]!Data,202,FALSE)/'Table 9'!$N45</f>
        <v>0</v>
      </c>
      <c r="D45" s="212">
        <f>VLOOKUP($A45,[0]!Data,205,FALSE)/'Table 9'!$N45</f>
        <v>0.2138408712402432</v>
      </c>
      <c r="E45" s="212">
        <f>VLOOKUP($A45,[0]!Data,203,FALSE)/'Table 9'!$N45</f>
        <v>0.13544153941850431</v>
      </c>
      <c r="F45" s="212">
        <f>VLOOKUP($A45,[0]!Data,206,FALSE)/'Table 9'!$N45</f>
        <v>4.7473513654513716E-2</v>
      </c>
      <c r="G45" s="423">
        <f>VLOOKUP($A45,[0]!Data,204,FALSE)/'Table 9'!$N45</f>
        <v>2.652647631277966E-2</v>
      </c>
      <c r="H45" s="212">
        <f>VLOOKUP($A45,[0]!Data,207,FALSE)/'Table 9'!$N45</f>
        <v>3.7986335453578665E-3</v>
      </c>
      <c r="I45" s="405">
        <f>'Table 9'!M45/'Table 1'!D45</f>
        <v>1.5179512567426798</v>
      </c>
      <c r="J45" s="406">
        <f>'Table 9'!N45/'Table 1'!D45</f>
        <v>4.1120909269057417</v>
      </c>
      <c r="K45" s="148">
        <f>'Table 6'!L45/'Table 9'!N45</f>
        <v>3.4000215703192409</v>
      </c>
    </row>
    <row r="46" spans="1:11" x14ac:dyDescent="0.25">
      <c r="A46" s="36" t="s">
        <v>1117</v>
      </c>
      <c r="B46" s="36" t="s">
        <v>1131</v>
      </c>
      <c r="C46" s="212">
        <f>VLOOKUP($A46,[0]!Data,202,FALSE)/'Table 9'!$N46</f>
        <v>0</v>
      </c>
      <c r="D46" s="212">
        <f>VLOOKUP($A46,[0]!Data,205,FALSE)/'Table 9'!$N46</f>
        <v>0.32327942234419549</v>
      </c>
      <c r="E46" s="212">
        <f>VLOOKUP($A46,[0]!Data,203,FALSE)/'Table 9'!$N46</f>
        <v>0.13568783139271537</v>
      </c>
      <c r="F46" s="212">
        <f>VLOOKUP($A46,[0]!Data,206,FALSE)/'Table 9'!$N46</f>
        <v>0.10101649303242653</v>
      </c>
      <c r="G46" s="423">
        <f>VLOOKUP($A46,[0]!Data,204,FALSE)/'Table 9'!$N46</f>
        <v>2.3653779542245078E-2</v>
      </c>
      <c r="H46" s="212">
        <f>VLOOKUP($A46,[0]!Data,207,FALSE)/'Table 9'!$N46</f>
        <v>1.5602657358805609E-2</v>
      </c>
      <c r="I46" s="405">
        <f>'Table 9'!M46/'Table 1'!D46</f>
        <v>0.17593659771152909</v>
      </c>
      <c r="J46" s="406">
        <f>'Table 9'!N46/'Table 1'!D46</f>
        <v>5.3513147419826286</v>
      </c>
      <c r="K46" s="148">
        <f>'Table 6'!L46/'Table 9'!N46</f>
        <v>4.6278876129066635</v>
      </c>
    </row>
    <row r="47" spans="1:11" x14ac:dyDescent="0.25">
      <c r="A47" s="36" t="s">
        <v>1133</v>
      </c>
      <c r="B47" s="36" t="s">
        <v>1542</v>
      </c>
      <c r="C47" s="212">
        <f>VLOOKUP($A47,[0]!Data,202,FALSE)/'Table 9'!$N47</f>
        <v>0</v>
      </c>
      <c r="D47" s="212">
        <f>VLOOKUP($A47,[0]!Data,205,FALSE)/'Table 9'!$N47</f>
        <v>0.23181138149796421</v>
      </c>
      <c r="E47" s="212">
        <f>VLOOKUP($A47,[0]!Data,203,FALSE)/'Table 9'!$N47</f>
        <v>0.238886469084367</v>
      </c>
      <c r="F47" s="212">
        <f>VLOOKUP($A47,[0]!Data,206,FALSE)/'Table 9'!$N47</f>
        <v>9.5585645298740654E-2</v>
      </c>
      <c r="G47" s="423">
        <f>VLOOKUP($A47,[0]!Data,204,FALSE)/'Table 9'!$N47</f>
        <v>3.6454881166556194E-2</v>
      </c>
      <c r="H47" s="212">
        <f>VLOOKUP($A47,[0]!Data,207,FALSE)/'Table 9'!$N47</f>
        <v>0</v>
      </c>
      <c r="I47" s="405">
        <f>'Table 9'!M47/'Table 1'!D47</f>
        <v>0.90189878739972085</v>
      </c>
      <c r="J47" s="406">
        <f>'Table 9'!N47/'Table 1'!D47</f>
        <v>4.4404547671504737</v>
      </c>
      <c r="K47" s="148">
        <f>'Table 6'!L47/'Table 9'!N47</f>
        <v>2.90848593883155</v>
      </c>
    </row>
    <row r="48" spans="1:11" x14ac:dyDescent="0.25">
      <c r="A48" s="36" t="s">
        <v>1159</v>
      </c>
      <c r="B48" s="36" t="s">
        <v>1543</v>
      </c>
      <c r="C48" s="212">
        <f>VLOOKUP($A48,[0]!Data,202,FALSE)/'Table 9'!$N48</f>
        <v>0</v>
      </c>
      <c r="D48" s="212">
        <f>VLOOKUP($A48,[0]!Data,205,FALSE)/'Table 9'!$N48</f>
        <v>0.36077991155966577</v>
      </c>
      <c r="E48" s="212">
        <f>VLOOKUP($A48,[0]!Data,203,FALSE)/'Table 9'!$N48</f>
        <v>0.23516421261350104</v>
      </c>
      <c r="F48" s="212">
        <f>VLOOKUP($A48,[0]!Data,206,FALSE)/'Table 9'!$N48</f>
        <v>3.7469116698227521E-2</v>
      </c>
      <c r="G48" s="423">
        <f>VLOOKUP($A48,[0]!Data,204,FALSE)/'Table 9'!$N48</f>
        <v>1.2117269994806884E-2</v>
      </c>
      <c r="H48" s="212">
        <f>VLOOKUP($A48,[0]!Data,207,FALSE)/'Table 9'!$N48</f>
        <v>2.5755755703247532E-3</v>
      </c>
      <c r="I48" s="405">
        <f>'Table 9'!M48/'Table 1'!D48</f>
        <v>0.25359947643979058</v>
      </c>
      <c r="J48" s="406">
        <f>'Table 9'!N48/'Table 1'!D48</f>
        <v>4.7985551751913009</v>
      </c>
      <c r="K48" s="148">
        <f>'Table 6'!L48/'Table 9'!N48</f>
        <v>2.7030324648415576</v>
      </c>
    </row>
    <row r="49" spans="1:11" x14ac:dyDescent="0.25">
      <c r="A49" s="36" t="s">
        <v>1335</v>
      </c>
      <c r="B49" s="36" t="s">
        <v>1544</v>
      </c>
      <c r="C49" s="212">
        <f>VLOOKUP($A49,[0]!Data,202,FALSE)/'Table 9'!$N49</f>
        <v>0</v>
      </c>
      <c r="D49" s="212">
        <f>VLOOKUP($A49,[0]!Data,205,FALSE)/'Table 9'!$N49</f>
        <v>0.31688104513989113</v>
      </c>
      <c r="E49" s="212">
        <f>VLOOKUP($A49,[0]!Data,203,FALSE)/'Table 9'!$N49</f>
        <v>0.21066421174706357</v>
      </c>
      <c r="F49" s="212">
        <f>VLOOKUP($A49,[0]!Data,206,FALSE)/'Table 9'!$N49</f>
        <v>9.3714506286176905E-2</v>
      </c>
      <c r="G49" s="423">
        <f>VLOOKUP($A49,[0]!Data,204,FALSE)/'Table 9'!$N49</f>
        <v>3.142490661683954E-2</v>
      </c>
      <c r="H49" s="212">
        <f>VLOOKUP($A49,[0]!Data,207,FALSE)/'Table 9'!$N49</f>
        <v>3.5149985226075207E-3</v>
      </c>
      <c r="I49" s="405">
        <f>'Table 9'!M49/'Table 1'!D49</f>
        <v>0.67458458663084431</v>
      </c>
      <c r="J49" s="406">
        <f>'Table 9'!N49/'Table 1'!D49</f>
        <v>3.4196244487924541</v>
      </c>
      <c r="K49" s="148">
        <f>'Table 6'!L49/'Table 9'!N49</f>
        <v>3.7857063558620032</v>
      </c>
    </row>
    <row r="50" spans="1:11" x14ac:dyDescent="0.25">
      <c r="A50" s="36" t="s">
        <v>1187</v>
      </c>
      <c r="B50" s="36" t="s">
        <v>1545</v>
      </c>
      <c r="C50" s="212">
        <f>VLOOKUP($A50,[0]!Data,202,FALSE)/'Table 9'!$N50</f>
        <v>0</v>
      </c>
      <c r="D50" s="212">
        <f>VLOOKUP($A50,[0]!Data,205,FALSE)/'Table 9'!$N50</f>
        <v>0.13131664986097105</v>
      </c>
      <c r="E50" s="212">
        <f>VLOOKUP($A50,[0]!Data,203,FALSE)/'Table 9'!$N50</f>
        <v>0.23180859840498672</v>
      </c>
      <c r="F50" s="212">
        <f>VLOOKUP($A50,[0]!Data,206,FALSE)/'Table 9'!$N50</f>
        <v>0.11034925291044093</v>
      </c>
      <c r="G50" s="423">
        <f>VLOOKUP($A50,[0]!Data,204,FALSE)/'Table 9'!$N50</f>
        <v>2.1541846182051516E-2</v>
      </c>
      <c r="H50" s="212">
        <f>VLOOKUP($A50,[0]!Data,207,FALSE)/'Table 9'!$N50</f>
        <v>1.906682555687964E-3</v>
      </c>
      <c r="I50" s="405">
        <f>'Table 9'!M50/'Table 1'!D50</f>
        <v>0.70922491678554445</v>
      </c>
      <c r="J50" s="406">
        <f>'Table 9'!N50/'Table 1'!D50</f>
        <v>7.781027104136947</v>
      </c>
      <c r="K50" s="148">
        <f>'Table 6'!L50/'Table 9'!N50</f>
        <v>3.4832584715983743</v>
      </c>
    </row>
    <row r="51" spans="1:11" x14ac:dyDescent="0.25">
      <c r="A51" s="36" t="s">
        <v>1210</v>
      </c>
      <c r="B51" s="36" t="s">
        <v>1546</v>
      </c>
      <c r="C51" s="212">
        <f>VLOOKUP($A51,[0]!Data,202,FALSE)/'Table 9'!$N51</f>
        <v>0</v>
      </c>
      <c r="D51" s="212">
        <f>VLOOKUP($A51,[0]!Data,205,FALSE)/'Table 9'!$N51</f>
        <v>0.21051313235182639</v>
      </c>
      <c r="E51" s="212">
        <f>VLOOKUP($A51,[0]!Data,203,FALSE)/'Table 9'!$N51</f>
        <v>0.23257067146543797</v>
      </c>
      <c r="F51" s="212">
        <f>VLOOKUP($A51,[0]!Data,206,FALSE)/'Table 9'!$N51</f>
        <v>8.3703293552310237E-2</v>
      </c>
      <c r="G51" s="423">
        <f>VLOOKUP($A51,[0]!Data,204,FALSE)/'Table 9'!$N51</f>
        <v>3.5165171994423407E-2</v>
      </c>
      <c r="H51" s="212">
        <f>VLOOKUP($A51,[0]!Data,207,FALSE)/'Table 9'!$N51</f>
        <v>3.1854481215249282E-3</v>
      </c>
      <c r="I51" s="405">
        <f>'Table 9'!M51/'Table 1'!D51</f>
        <v>0.54648193123221134</v>
      </c>
      <c r="J51" s="406">
        <f>'Table 9'!N51/'Table 1'!D51</f>
        <v>4.222809862144314</v>
      </c>
      <c r="K51" s="148">
        <f>'Table 6'!L51/'Table 9'!N51</f>
        <v>4.5272847721407592</v>
      </c>
    </row>
    <row r="52" spans="1:11" x14ac:dyDescent="0.25">
      <c r="A52" s="36" t="s">
        <v>1236</v>
      </c>
      <c r="B52" s="36" t="s">
        <v>1547</v>
      </c>
      <c r="C52" s="212">
        <f>VLOOKUP($A52,[0]!Data,202,FALSE)/'Table 9'!$N52</f>
        <v>0</v>
      </c>
      <c r="D52" s="212">
        <f>VLOOKUP($A52,[0]!Data,205,FALSE)/'Table 9'!$N52</f>
        <v>0.3287179750023797</v>
      </c>
      <c r="E52" s="212">
        <f>VLOOKUP($A52,[0]!Data,203,FALSE)/'Table 9'!$N52</f>
        <v>0.3255475093905823</v>
      </c>
      <c r="F52" s="212">
        <f>VLOOKUP($A52,[0]!Data,206,FALSE)/'Table 9'!$N52</f>
        <v>8.7293974650919287E-2</v>
      </c>
      <c r="G52" s="423">
        <f>VLOOKUP($A52,[0]!Data,204,FALSE)/'Table 9'!$N52</f>
        <v>4.5580019476763343E-2</v>
      </c>
      <c r="H52" s="212">
        <f>VLOOKUP($A52,[0]!Data,207,FALSE)/'Table 9'!$N52</f>
        <v>1.1861788201181786E-3</v>
      </c>
      <c r="I52" s="405">
        <f>'Table 9'!M52/'Table 1'!D52</f>
        <v>6.6713403740473552E-3</v>
      </c>
      <c r="J52" s="406">
        <f>'Table 9'!N52/'Table 1'!D52</f>
        <v>1.0295197388754458</v>
      </c>
      <c r="K52" s="148">
        <f>'Table 6'!L52/'Table 9'!N52</f>
        <v>8.7546586807055569</v>
      </c>
    </row>
    <row r="53" spans="1:11" x14ac:dyDescent="0.25">
      <c r="A53" s="36" t="s">
        <v>1249</v>
      </c>
      <c r="B53" s="36" t="s">
        <v>1548</v>
      </c>
      <c r="C53" s="212">
        <f>VLOOKUP($A53,[0]!Data,202,FALSE)/'Table 9'!$N53</f>
        <v>0</v>
      </c>
      <c r="D53" s="212">
        <f>VLOOKUP($A53,[0]!Data,205,FALSE)/'Table 9'!$N53</f>
        <v>0.15172614951984922</v>
      </c>
      <c r="E53" s="212">
        <f>VLOOKUP($A53,[0]!Data,203,FALSE)/'Table 9'!$N53</f>
        <v>0.35888403585923556</v>
      </c>
      <c r="F53" s="212">
        <f>VLOOKUP($A53,[0]!Data,206,FALSE)/'Table 9'!$N53</f>
        <v>6.9317717214626901E-2</v>
      </c>
      <c r="G53" s="423">
        <f>VLOOKUP($A53,[0]!Data,204,FALSE)/'Table 9'!$N53</f>
        <v>3.2548538606515694E-2</v>
      </c>
      <c r="H53" s="212">
        <f>VLOOKUP($A53,[0]!Data,207,FALSE)/'Table 9'!$N53</f>
        <v>1.4858248322214577E-3</v>
      </c>
      <c r="I53" s="405">
        <f>'Table 9'!M53/'Table 1'!D53</f>
        <v>0.63692853489460344</v>
      </c>
      <c r="J53" s="406">
        <f>'Table 9'!N53/'Table 1'!D53</f>
        <v>4.3652153094427089</v>
      </c>
      <c r="K53" s="148">
        <f>'Table 6'!L53/'Table 9'!N53</f>
        <v>4.5155662588127363</v>
      </c>
    </row>
    <row r="54" spans="1:11" x14ac:dyDescent="0.25">
      <c r="A54" s="36" t="s">
        <v>1265</v>
      </c>
      <c r="B54" s="36" t="s">
        <v>1549</v>
      </c>
      <c r="C54" s="212">
        <f>VLOOKUP($A54,[0]!Data,202,FALSE)/'Table 9'!$N54</f>
        <v>0</v>
      </c>
      <c r="D54" s="212">
        <f>VLOOKUP($A54,[0]!Data,205,FALSE)/'Table 9'!$N54</f>
        <v>0.20945655601264199</v>
      </c>
      <c r="E54" s="212">
        <f>VLOOKUP($A54,[0]!Data,203,FALSE)/'Table 9'!$N54</f>
        <v>0.23727918692390612</v>
      </c>
      <c r="F54" s="212">
        <f>VLOOKUP($A54,[0]!Data,206,FALSE)/'Table 9'!$N54</f>
        <v>8.5796833637650227E-2</v>
      </c>
      <c r="G54" s="423">
        <f>VLOOKUP($A54,[0]!Data,204,FALSE)/'Table 9'!$N54</f>
        <v>2.7967823070887507E-2</v>
      </c>
      <c r="H54" s="212">
        <f>VLOOKUP($A54,[0]!Data,207,FALSE)/'Table 9'!$N54</f>
        <v>3.1692955247083323E-3</v>
      </c>
      <c r="I54" s="405">
        <f>'Table 9'!M54/'Table 1'!D54</f>
        <v>1.0945875008867134</v>
      </c>
      <c r="J54" s="406">
        <f>'Table 9'!N54/'Table 1'!D54</f>
        <v>4.8368801872738878</v>
      </c>
      <c r="K54" s="148">
        <f>'Table 6'!L54/'Table 9'!N54</f>
        <v>4.3256821464974227</v>
      </c>
    </row>
    <row r="55" spans="1:11" x14ac:dyDescent="0.25">
      <c r="A55" s="36" t="s">
        <v>1280</v>
      </c>
      <c r="B55" s="36" t="s">
        <v>1550</v>
      </c>
      <c r="C55" s="212">
        <f>VLOOKUP($A55,[0]!Data,202,FALSE)/'Table 9'!$N55</f>
        <v>0</v>
      </c>
      <c r="D55" s="212">
        <f>VLOOKUP($A55,[0]!Data,205,FALSE)/'Table 9'!$N55</f>
        <v>0.1721279115673115</v>
      </c>
      <c r="E55" s="212">
        <f>VLOOKUP($A55,[0]!Data,203,FALSE)/'Table 9'!$N55</f>
        <v>0.24442689827608896</v>
      </c>
      <c r="F55" s="212">
        <f>VLOOKUP($A55,[0]!Data,206,FALSE)/'Table 9'!$N55</f>
        <v>6.4697109268763431E-2</v>
      </c>
      <c r="G55" s="423">
        <f>VLOOKUP($A55,[0]!Data,204,FALSE)/'Table 9'!$N55</f>
        <v>2.5687590472430584E-2</v>
      </c>
      <c r="H55" s="212">
        <f>VLOOKUP($A55,[0]!Data,207,FALSE)/'Table 9'!$N55</f>
        <v>5.4831776110891785E-4</v>
      </c>
      <c r="I55" s="405">
        <f>'Table 9'!M55/'Table 1'!D55</f>
        <v>0.38987932587920771</v>
      </c>
      <c r="J55" s="406">
        <f>'Table 9'!N55/'Table 1'!D55</f>
        <v>3.3672067707487114</v>
      </c>
      <c r="K55" s="148">
        <f>'Table 6'!L55/'Table 9'!N55</f>
        <v>2.6362021318594553</v>
      </c>
    </row>
    <row r="56" spans="1:11" x14ac:dyDescent="0.25">
      <c r="A56" s="36" t="s">
        <v>1292</v>
      </c>
      <c r="B56" s="36" t="s">
        <v>1551</v>
      </c>
      <c r="C56" s="212">
        <f>VLOOKUP($A56,[0]!Data,202,FALSE)/'Table 9'!$N56</f>
        <v>0</v>
      </c>
      <c r="D56" s="212">
        <f>VLOOKUP($A56,[0]!Data,205,FALSE)/'Table 9'!$N56</f>
        <v>0.27931952823523015</v>
      </c>
      <c r="E56" s="212">
        <f>VLOOKUP($A56,[0]!Data,203,FALSE)/'Table 9'!$N56</f>
        <v>0.25820968530898419</v>
      </c>
      <c r="F56" s="212">
        <f>VLOOKUP($A56,[0]!Data,206,FALSE)/'Table 9'!$N56</f>
        <v>9.2005000271753901E-2</v>
      </c>
      <c r="G56" s="423">
        <f>VLOOKUP($A56,[0]!Data,204,FALSE)/'Table 9'!$N56</f>
        <v>1.7653133322463176E-2</v>
      </c>
      <c r="H56" s="212">
        <f>VLOOKUP($A56,[0]!Data,207,FALSE)/'Table 9'!$N56</f>
        <v>9.4570357084624169E-4</v>
      </c>
      <c r="I56" s="405">
        <f>'Table 9'!M56/'Table 1'!D56</f>
        <v>0.1535457251295296</v>
      </c>
      <c r="J56" s="406">
        <f>'Table 9'!N56/'Table 1'!D56</f>
        <v>1.4487629726452385</v>
      </c>
      <c r="K56" s="148">
        <f>'Table 6'!L56/'Table 9'!N56</f>
        <v>8.9809989673351804</v>
      </c>
    </row>
    <row r="57" spans="1:11" x14ac:dyDescent="0.25">
      <c r="A57" s="36" t="s">
        <v>1323</v>
      </c>
      <c r="B57" s="36" t="s">
        <v>1552</v>
      </c>
      <c r="C57" s="212">
        <f>VLOOKUP($A57,[0]!Data,202,FALSE)/'Table 9'!$N57</f>
        <v>0</v>
      </c>
      <c r="D57" s="212">
        <f>VLOOKUP($A57,[0]!Data,205,FALSE)/'Table 9'!$N57</f>
        <v>0.18583305829286309</v>
      </c>
      <c r="E57" s="212">
        <f>VLOOKUP($A57,[0]!Data,203,FALSE)/'Table 9'!$N57</f>
        <v>0.27752369277193645</v>
      </c>
      <c r="F57" s="212">
        <f>VLOOKUP($A57,[0]!Data,206,FALSE)/'Table 9'!$N57</f>
        <v>6.1200433778113066E-2</v>
      </c>
      <c r="G57" s="423">
        <f>VLOOKUP($A57,[0]!Data,204,FALSE)/'Table 9'!$N57</f>
        <v>5.0654596319172678E-2</v>
      </c>
      <c r="H57" s="212">
        <f>VLOOKUP($A57,[0]!Data,207,FALSE)/'Table 9'!$N57</f>
        <v>2.4517893347163941E-3</v>
      </c>
      <c r="I57" s="405">
        <f>'Table 9'!M57/'Table 1'!D57</f>
        <v>0.1779317667439716</v>
      </c>
      <c r="J57" s="406">
        <f>'Table 9'!N57/'Table 1'!D57</f>
        <v>1.7778367654866021</v>
      </c>
      <c r="K57" s="148">
        <f>'Table 6'!L57/'Table 9'!N57</f>
        <v>7.031213164222736</v>
      </c>
    </row>
    <row r="58" spans="1:11" x14ac:dyDescent="0.25">
      <c r="A58" s="36" t="s">
        <v>1360</v>
      </c>
      <c r="B58" s="36" t="s">
        <v>1553</v>
      </c>
      <c r="C58" s="212">
        <f>VLOOKUP($A58,[0]!Data,202,FALSE)/'Table 9'!$N58</f>
        <v>0</v>
      </c>
      <c r="D58" s="212">
        <f>VLOOKUP($A58,[0]!Data,205,FALSE)/'Table 9'!$N58</f>
        <v>0.25239321392149017</v>
      </c>
      <c r="E58" s="212">
        <f>VLOOKUP($A58,[0]!Data,203,FALSE)/'Table 9'!$N58</f>
        <v>0.3769361227398989</v>
      </c>
      <c r="F58" s="212">
        <f>VLOOKUP($A58,[0]!Data,206,FALSE)/'Table 9'!$N58</f>
        <v>6.9010203909150844E-2</v>
      </c>
      <c r="G58" s="423">
        <f>VLOOKUP($A58,[0]!Data,204,FALSE)/'Table 9'!$N58</f>
        <v>2.1562871518641433E-2</v>
      </c>
      <c r="H58" s="212">
        <f>VLOOKUP($A58,[0]!Data,207,FALSE)/'Table 9'!$N58</f>
        <v>4.0004282148511672E-4</v>
      </c>
      <c r="I58" s="405">
        <f>'Table 9'!M58/'Table 1'!D58</f>
        <v>0.27771210182831046</v>
      </c>
      <c r="J58" s="406">
        <f>'Table 9'!N58/'Table 1'!D58</f>
        <v>2.8741396900455052</v>
      </c>
      <c r="K58" s="148">
        <f>'Table 6'!L58/'Table 9'!N58</f>
        <v>6.5312906733678533</v>
      </c>
    </row>
    <row r="59" spans="1:11" x14ac:dyDescent="0.25">
      <c r="A59" s="36" t="s">
        <v>1371</v>
      </c>
      <c r="B59" s="36" t="s">
        <v>1554</v>
      </c>
      <c r="C59" s="212">
        <f>VLOOKUP($A59,[0]!Data,202,FALSE)/'Table 9'!$N59</f>
        <v>0</v>
      </c>
      <c r="D59" s="212">
        <f>VLOOKUP($A59,[0]!Data,205,FALSE)/'Table 9'!$N59</f>
        <v>0.15339567519976521</v>
      </c>
      <c r="E59" s="212">
        <f>VLOOKUP($A59,[0]!Data,203,FALSE)/'Table 9'!$N59</f>
        <v>0.23478249269639689</v>
      </c>
      <c r="F59" s="212">
        <f>VLOOKUP($A59,[0]!Data,206,FALSE)/'Table 9'!$N59</f>
        <v>9.7117244507290257E-2</v>
      </c>
      <c r="G59" s="423">
        <f>VLOOKUP($A59,[0]!Data,204,FALSE)/'Table 9'!$N59</f>
        <v>2.4478742846470926E-2</v>
      </c>
      <c r="H59" s="212">
        <f>VLOOKUP($A59,[0]!Data,207,FALSE)/'Table 9'!$N59</f>
        <v>9.6314181662953725E-4</v>
      </c>
      <c r="I59" s="405">
        <f>'Table 9'!M59/'Table 1'!D59</f>
        <v>2.4979642051612525</v>
      </c>
      <c r="J59" s="406">
        <f>'Table 9'!N59/'Table 1'!D59</f>
        <v>10.979085503383228</v>
      </c>
      <c r="K59" s="148">
        <f>'Table 6'!L59/'Table 9'!N59</f>
        <v>3.3444712724944305</v>
      </c>
    </row>
    <row r="60" spans="1:11" x14ac:dyDescent="0.25">
      <c r="A60" s="36" t="s">
        <v>1383</v>
      </c>
      <c r="B60" s="36" t="s">
        <v>1555</v>
      </c>
      <c r="C60" s="212">
        <f>VLOOKUP($A60,[0]!Data,202,FALSE)/'Table 9'!$N60</f>
        <v>0</v>
      </c>
      <c r="D60" s="212">
        <f>VLOOKUP($A60,[0]!Data,205,FALSE)/'Table 9'!$N60</f>
        <v>0.27426474370781911</v>
      </c>
      <c r="E60" s="212">
        <f>VLOOKUP($A60,[0]!Data,203,FALSE)/'Table 9'!$N60</f>
        <v>0.14284374880727763</v>
      </c>
      <c r="F60" s="212">
        <f>VLOOKUP($A60,[0]!Data,206,FALSE)/'Table 9'!$N60</f>
        <v>5.4907544311191429E-2</v>
      </c>
      <c r="G60" s="423">
        <f>VLOOKUP($A60,[0]!Data,204,FALSE)/'Table 9'!$N60</f>
        <v>3.2959793432932913E-2</v>
      </c>
      <c r="H60" s="212">
        <f>VLOOKUP($A60,[0]!Data,207,FALSE)/'Table 9'!$N60</f>
        <v>2.215352141424098E-4</v>
      </c>
      <c r="I60" s="405">
        <f>'Table 9'!M60/'Table 1'!D60</f>
        <v>1.5119710604470447</v>
      </c>
      <c r="J60" s="406">
        <f>'Table 9'!N60/'Table 1'!D60</f>
        <v>5.3825156867561352</v>
      </c>
      <c r="K60" s="148">
        <f>'Table 6'!L60/'Table 9'!N60</f>
        <v>3.6691350833785532</v>
      </c>
    </row>
    <row r="61" spans="1:11" x14ac:dyDescent="0.25">
      <c r="A61" s="36" t="s">
        <v>1146</v>
      </c>
      <c r="B61" s="36" t="s">
        <v>1556</v>
      </c>
      <c r="C61" s="212">
        <f>VLOOKUP($A61,[0]!Data,202,FALSE)/'Table 9'!$N61</f>
        <v>0</v>
      </c>
      <c r="D61" s="212">
        <f>VLOOKUP($A61,[0]!Data,205,FALSE)/'Table 9'!$N61</f>
        <v>0.34855819827404755</v>
      </c>
      <c r="E61" s="212">
        <f>VLOOKUP($A61,[0]!Data,203,FALSE)/'Table 9'!$N61</f>
        <v>0.25895600926120815</v>
      </c>
      <c r="F61" s="212">
        <f>VLOOKUP($A61,[0]!Data,206,FALSE)/'Table 9'!$N61</f>
        <v>9.7484740054725322E-2</v>
      </c>
      <c r="G61" s="423">
        <f>VLOOKUP($A61,[0]!Data,204,FALSE)/'Table 9'!$N61</f>
        <v>5.3525573563460327E-2</v>
      </c>
      <c r="H61" s="212">
        <f>VLOOKUP($A61,[0]!Data,207,FALSE)/'Table 9'!$N61</f>
        <v>4.2096400757735212E-4</v>
      </c>
      <c r="I61" s="405">
        <f>'Table 9'!M61/'Table 1'!D61</f>
        <v>0.15194126154188453</v>
      </c>
      <c r="J61" s="406">
        <f>'Table 9'!N61/'Table 1'!D61</f>
        <v>2.1141395038380244</v>
      </c>
      <c r="K61" s="148">
        <f>'Table 6'!L61/'Table 9'!N61</f>
        <v>9.9169648495053675</v>
      </c>
    </row>
    <row r="62" spans="1:11" x14ac:dyDescent="0.25">
      <c r="A62" s="36" t="s">
        <v>1394</v>
      </c>
      <c r="B62" s="36" t="s">
        <v>1557</v>
      </c>
      <c r="C62" s="212" t="e">
        <f>VLOOKUP($A62,[0]!Data,202,FALSE)/'Table 9'!$N62</f>
        <v>#N/A</v>
      </c>
      <c r="D62" s="212" t="e">
        <f>VLOOKUP($A62,[0]!Data,205,FALSE)/'Table 9'!$N62</f>
        <v>#N/A</v>
      </c>
      <c r="E62" s="212" t="e">
        <f>VLOOKUP($A62,[0]!Data,203,FALSE)/'Table 9'!$N62</f>
        <v>#N/A</v>
      </c>
      <c r="F62" s="212" t="e">
        <f>VLOOKUP($A62,[0]!Data,206,FALSE)/'Table 9'!$N62</f>
        <v>#N/A</v>
      </c>
      <c r="G62" s="423" t="e">
        <f>VLOOKUP($A62,[0]!Data,204,FALSE)/'Table 9'!$N62</f>
        <v>#N/A</v>
      </c>
      <c r="H62" s="212" t="e">
        <f>VLOOKUP($A62,[0]!Data,207,FALSE)/'Table 9'!$N62</f>
        <v>#N/A</v>
      </c>
      <c r="I62" s="405">
        <f>'Table 9'!M62/'Table 1'!D62</f>
        <v>1.3620791080187153</v>
      </c>
      <c r="J62" s="406">
        <f>'Table 9'!N62/'Table 1'!D62</f>
        <v>10.60370509608979</v>
      </c>
      <c r="K62" s="148">
        <f>'Table 6'!L62/'Table 9'!N62</f>
        <v>1.8410060572226459</v>
      </c>
    </row>
    <row r="63" spans="1:11" x14ac:dyDescent="0.25">
      <c r="A63" s="36" t="s">
        <v>1408</v>
      </c>
      <c r="B63" s="36" t="s">
        <v>1558</v>
      </c>
      <c r="C63" s="212" t="e">
        <f>VLOOKUP($A63,[0]!Data,202,FALSE)/'Table 9'!$N63</f>
        <v>#N/A</v>
      </c>
      <c r="D63" s="212" t="e">
        <f>VLOOKUP($A63,[0]!Data,205,FALSE)/'Table 9'!$N63</f>
        <v>#N/A</v>
      </c>
      <c r="E63" s="212" t="e">
        <f>VLOOKUP($A63,[0]!Data,203,FALSE)/'Table 9'!$N63</f>
        <v>#N/A</v>
      </c>
      <c r="F63" s="212" t="e">
        <f>VLOOKUP($A63,[0]!Data,206,FALSE)/'Table 9'!$N63</f>
        <v>#N/A</v>
      </c>
      <c r="G63" s="423" t="e">
        <f>VLOOKUP($A63,[0]!Data,204,FALSE)/'Table 9'!$N63</f>
        <v>#N/A</v>
      </c>
      <c r="H63" s="212" t="e">
        <f>VLOOKUP($A63,[0]!Data,207,FALSE)/'Table 9'!$N63</f>
        <v>#N/A</v>
      </c>
      <c r="I63" s="405">
        <f>'Table 9'!M63/'Table 1'!D63</f>
        <v>4.1797127379354905E-2</v>
      </c>
      <c r="J63" s="406">
        <f>'Table 9'!N63/'Table 1'!D63</f>
        <v>2.3678246608021469</v>
      </c>
      <c r="K63" s="148">
        <f>'Table 6'!L63/'Table 9'!N63</f>
        <v>10.257561446592364</v>
      </c>
    </row>
    <row r="64" spans="1:11" x14ac:dyDescent="0.25">
      <c r="A64" s="36" t="s">
        <v>1420</v>
      </c>
      <c r="B64" s="36" t="s">
        <v>1559</v>
      </c>
      <c r="C64" s="212" t="e">
        <f>VLOOKUP($A64,[0]!Data,202,FALSE)/'Table 9'!$N64</f>
        <v>#N/A</v>
      </c>
      <c r="D64" s="212" t="e">
        <f>VLOOKUP($A64,[0]!Data,205,FALSE)/'Table 9'!$N64</f>
        <v>#N/A</v>
      </c>
      <c r="E64" s="212" t="e">
        <f>VLOOKUP($A64,[0]!Data,203,FALSE)/'Table 9'!$N64</f>
        <v>#N/A</v>
      </c>
      <c r="F64" s="212" t="e">
        <f>VLOOKUP($A64,[0]!Data,206,FALSE)/'Table 9'!$N64</f>
        <v>#N/A</v>
      </c>
      <c r="G64" s="423" t="e">
        <f>VLOOKUP($A64,[0]!Data,204,FALSE)/'Table 9'!$N64</f>
        <v>#N/A</v>
      </c>
      <c r="H64" s="212" t="e">
        <f>VLOOKUP($A64,[0]!Data,207,FALSE)/'Table 9'!$N64</f>
        <v>#N/A</v>
      </c>
      <c r="I64" s="405">
        <f>'Table 9'!M64/'Table 1'!D64</f>
        <v>0.90894013204281776</v>
      </c>
      <c r="J64" s="406">
        <f>'Table 9'!N64/'Table 1'!D64</f>
        <v>3.0286439971796679</v>
      </c>
      <c r="K64" s="148">
        <f>'Table 6'!L64/'Table 9'!N64</f>
        <v>4.9533993476173217</v>
      </c>
    </row>
    <row r="65" spans="1:11" x14ac:dyDescent="0.25">
      <c r="A65" s="36" t="s">
        <v>1432</v>
      </c>
      <c r="B65" s="36" t="s">
        <v>1560</v>
      </c>
      <c r="C65" s="212" t="e">
        <f>VLOOKUP($A65,[0]!Data,202,FALSE)/'Table 9'!$N65</f>
        <v>#N/A</v>
      </c>
      <c r="D65" s="212" t="e">
        <f>VLOOKUP($A65,[0]!Data,205,FALSE)/'Table 9'!$N65</f>
        <v>#N/A</v>
      </c>
      <c r="E65" s="212" t="e">
        <f>VLOOKUP($A65,[0]!Data,203,FALSE)/'Table 9'!$N65</f>
        <v>#N/A</v>
      </c>
      <c r="F65" s="212" t="e">
        <f>VLOOKUP($A65,[0]!Data,206,FALSE)/'Table 9'!$N65</f>
        <v>#N/A</v>
      </c>
      <c r="G65" s="423" t="e">
        <f>VLOOKUP($A65,[0]!Data,204,FALSE)/'Table 9'!$N65</f>
        <v>#N/A</v>
      </c>
      <c r="H65" s="212" t="e">
        <f>VLOOKUP($A65,[0]!Data,207,FALSE)/'Table 9'!$N65</f>
        <v>#N/A</v>
      </c>
      <c r="I65" s="405">
        <f>'Table 9'!M65/'Table 1'!D65</f>
        <v>0.99881357176056162</v>
      </c>
      <c r="J65" s="406">
        <f>'Table 9'!N65/'Table 1'!D65</f>
        <v>4.1894493505222732</v>
      </c>
      <c r="K65" s="148">
        <f>'Table 6'!L65/'Table 9'!N65</f>
        <v>5.2557886961675342</v>
      </c>
    </row>
    <row r="66" spans="1:11" ht="13.5" customHeight="1" thickBot="1" x14ac:dyDescent="0.3">
      <c r="A66" s="599" t="s">
        <v>1647</v>
      </c>
      <c r="B66" s="600"/>
      <c r="C66" s="229" t="e">
        <f t="shared" ref="C66:K66" si="0">AVERAGE(C8:C65)</f>
        <v>#N/A</v>
      </c>
      <c r="D66" s="229" t="e">
        <f t="shared" si="0"/>
        <v>#N/A</v>
      </c>
      <c r="E66" s="229" t="e">
        <f t="shared" si="0"/>
        <v>#N/A</v>
      </c>
      <c r="F66" s="229" t="e">
        <f t="shared" si="0"/>
        <v>#N/A</v>
      </c>
      <c r="G66" s="229" t="e">
        <f t="shared" si="0"/>
        <v>#N/A</v>
      </c>
      <c r="H66" s="229" t="e">
        <f t="shared" si="0"/>
        <v>#N/A</v>
      </c>
      <c r="I66" s="408">
        <f t="shared" si="0"/>
        <v>0.72744454570178696</v>
      </c>
      <c r="J66" s="409">
        <f t="shared" si="0"/>
        <v>4.1912592337852317</v>
      </c>
      <c r="K66" s="410">
        <f t="shared" si="0"/>
        <v>5.2028728024691766</v>
      </c>
    </row>
    <row r="67" spans="1:11" ht="16.5" thickTop="1" thickBot="1" x14ac:dyDescent="0.3">
      <c r="A67" s="602" t="s">
        <v>1455</v>
      </c>
      <c r="B67" s="602"/>
      <c r="C67" s="233"/>
      <c r="D67" s="233"/>
      <c r="E67" s="233"/>
      <c r="F67" s="233"/>
      <c r="G67" s="233"/>
      <c r="H67" s="233"/>
      <c r="I67" s="411"/>
      <c r="J67" s="233"/>
      <c r="K67" s="412"/>
    </row>
    <row r="68" spans="1:11" ht="15.75" thickTop="1" x14ac:dyDescent="0.25">
      <c r="A68" s="36" t="s">
        <v>364</v>
      </c>
      <c r="B68" s="36" t="s">
        <v>1561</v>
      </c>
      <c r="C68" s="212">
        <f>VLOOKUP($A68,[0]!Data,202,FALSE)/'Table 9'!$N68</f>
        <v>0</v>
      </c>
      <c r="D68" s="212">
        <f>VLOOKUP($A68,[0]!Data,205,FALSE)/'Table 9'!$N68</f>
        <v>0.24581908416048043</v>
      </c>
      <c r="E68" s="212">
        <f>VLOOKUP($A68,[0]!Data,203,FALSE)/'Table 9'!$N68</f>
        <v>0.3327320877471015</v>
      </c>
      <c r="F68" s="212">
        <f>VLOOKUP($A68,[0]!Data,206,FALSE)/'Table 9'!$N68</f>
        <v>9.2073984485778637E-2</v>
      </c>
      <c r="G68" s="423">
        <f>VLOOKUP($A68,[0]!Data,204,FALSE)/'Table 9'!$N68</f>
        <v>2.9996246559346067E-2</v>
      </c>
      <c r="H68" s="212">
        <f>VLOOKUP($A68,[0]!Data,207,FALSE)/'Table 9'!$N68</f>
        <v>3.0340311952623236E-3</v>
      </c>
      <c r="I68" s="405">
        <f>'Table 9'!M68/'Table 1'!D68</f>
        <v>4.3427720599759675E-2</v>
      </c>
      <c r="J68" s="406">
        <f>'Table 9'!N68/'Table 1'!D68</f>
        <v>1.2527036205004962</v>
      </c>
      <c r="K68" s="148">
        <f>'Table 6'!L68/'Table 9'!N68</f>
        <v>12.298388105763618</v>
      </c>
    </row>
    <row r="69" spans="1:11" x14ac:dyDescent="0.25">
      <c r="A69" s="36" t="s">
        <v>409</v>
      </c>
      <c r="B69" s="36" t="s">
        <v>1562</v>
      </c>
      <c r="C69" s="212">
        <f>VLOOKUP($A69,[0]!Data,202,FALSE)/'Table 9'!$N69</f>
        <v>0</v>
      </c>
      <c r="D69" s="212">
        <f>VLOOKUP($A69,[0]!Data,205,FALSE)/'Table 9'!$N69</f>
        <v>0.42144784240432875</v>
      </c>
      <c r="E69" s="212">
        <f>VLOOKUP($A69,[0]!Data,203,FALSE)/'Table 9'!$N69</f>
        <v>0.32059324460789485</v>
      </c>
      <c r="F69" s="212">
        <f>VLOOKUP($A69,[0]!Data,206,FALSE)/'Table 9'!$N69</f>
        <v>4.5105279816721175E-2</v>
      </c>
      <c r="G69" s="423">
        <f>VLOOKUP($A69,[0]!Data,204,FALSE)/'Table 9'!$N69</f>
        <v>2.7898774624323632E-2</v>
      </c>
      <c r="H69" s="212">
        <f>VLOOKUP($A69,[0]!Data,207,FALSE)/'Table 9'!$N69</f>
        <v>6.0289086168176406E-5</v>
      </c>
      <c r="I69" s="405">
        <f>'Table 9'!M69/'Table 1'!D69</f>
        <v>5.7973828291849494E-2</v>
      </c>
      <c r="J69" s="406">
        <f>'Table 9'!N69/'Table 1'!D69</f>
        <v>6.4407059371723685</v>
      </c>
      <c r="K69" s="148">
        <f>'Table 6'!L69/'Table 9'!N69</f>
        <v>2.4932792741194025</v>
      </c>
    </row>
    <row r="70" spans="1:11" x14ac:dyDescent="0.25">
      <c r="A70" s="36" t="s">
        <v>393</v>
      </c>
      <c r="B70" s="36" t="s">
        <v>1563</v>
      </c>
      <c r="C70" s="212">
        <f>VLOOKUP($A70,[0]!Data,202,FALSE)/'Table 9'!$N70</f>
        <v>0</v>
      </c>
      <c r="D70" s="212">
        <f>VLOOKUP($A70,[0]!Data,205,FALSE)/'Table 9'!$N70</f>
        <v>0.2208568481097154</v>
      </c>
      <c r="E70" s="212">
        <f>VLOOKUP($A70,[0]!Data,203,FALSE)/'Table 9'!$N70</f>
        <v>0.2500137916577021</v>
      </c>
      <c r="F70" s="212">
        <f>VLOOKUP($A70,[0]!Data,206,FALSE)/'Table 9'!$N70</f>
        <v>7.0382966751071613E-2</v>
      </c>
      <c r="G70" s="423">
        <f>VLOOKUP($A70,[0]!Data,204,FALSE)/'Table 9'!$N70</f>
        <v>3.86400873839432E-2</v>
      </c>
      <c r="H70" s="212">
        <f>VLOOKUP($A70,[0]!Data,207,FALSE)/'Table 9'!$N70</f>
        <v>6.3027875698547459E-4</v>
      </c>
      <c r="I70" s="405">
        <f>'Table 9'!M70/'Table 1'!D70</f>
        <v>0.62599187466773432</v>
      </c>
      <c r="J70" s="406">
        <f>'Table 9'!N70/'Table 1'!D70</f>
        <v>4.7588719045962602</v>
      </c>
      <c r="K70" s="148">
        <f>'Table 6'!L70/'Table 9'!N70</f>
        <v>3.0291900435264716</v>
      </c>
    </row>
    <row r="71" spans="1:11" x14ac:dyDescent="0.25">
      <c r="A71" s="36" t="s">
        <v>428</v>
      </c>
      <c r="B71" s="36" t="s">
        <v>1564</v>
      </c>
      <c r="C71" s="212">
        <f>VLOOKUP($A71,[0]!Data,202,FALSE)/'Table 9'!$N71</f>
        <v>0</v>
      </c>
      <c r="D71" s="212">
        <f>VLOOKUP($A71,[0]!Data,205,FALSE)/'Table 9'!$N71</f>
        <v>0.2432906805571283</v>
      </c>
      <c r="E71" s="212">
        <f>VLOOKUP($A71,[0]!Data,203,FALSE)/'Table 9'!$N71</f>
        <v>0.41675914392481034</v>
      </c>
      <c r="F71" s="212">
        <f>VLOOKUP($A71,[0]!Data,206,FALSE)/'Table 9'!$N71</f>
        <v>5.3935001698561885E-2</v>
      </c>
      <c r="G71" s="423">
        <f>VLOOKUP($A71,[0]!Data,204,FALSE)/'Table 9'!$N71</f>
        <v>1.3814969992073378E-3</v>
      </c>
      <c r="H71" s="212">
        <f>VLOOKUP($A71,[0]!Data,207,FALSE)/'Table 9'!$N71</f>
        <v>1.6985618842713169E-4</v>
      </c>
      <c r="I71" s="405">
        <f>'Table 9'!M71/'Table 1'!D71</f>
        <v>7.9315060348415484E-2</v>
      </c>
      <c r="J71" s="406">
        <f>'Table 9'!N71/'Table 1'!D71</f>
        <v>1.3126523574528808</v>
      </c>
      <c r="K71" s="148">
        <f>'Table 6'!L71/'Table 9'!N71</f>
        <v>9.8545578077227951</v>
      </c>
    </row>
    <row r="72" spans="1:11" x14ac:dyDescent="0.25">
      <c r="A72" s="36" t="s">
        <v>629</v>
      </c>
      <c r="B72" s="36" t="s">
        <v>1565</v>
      </c>
      <c r="C72" s="212">
        <f>VLOOKUP($A72,[0]!Data,202,FALSE)/'Table 9'!$N72</f>
        <v>0</v>
      </c>
      <c r="D72" s="212">
        <f>VLOOKUP($A72,[0]!Data,205,FALSE)/'Table 9'!$N72</f>
        <v>0.20289581221255892</v>
      </c>
      <c r="E72" s="212">
        <f>VLOOKUP($A72,[0]!Data,203,FALSE)/'Table 9'!$N72</f>
        <v>0.29881219777096069</v>
      </c>
      <c r="F72" s="212">
        <f>VLOOKUP($A72,[0]!Data,206,FALSE)/'Table 9'!$N72</f>
        <v>9.2232539110060255E-2</v>
      </c>
      <c r="G72" s="423">
        <f>VLOOKUP($A72,[0]!Data,204,FALSE)/'Table 9'!$N72</f>
        <v>2.2950922029631796E-2</v>
      </c>
      <c r="H72" s="212">
        <f>VLOOKUP($A72,[0]!Data,207,FALSE)/'Table 9'!$N72</f>
        <v>7.3627635749412999E-3</v>
      </c>
      <c r="I72" s="405">
        <f>'Table 9'!M72/'Table 1'!D72</f>
        <v>0.60804796901911695</v>
      </c>
      <c r="J72" s="406">
        <f>'Table 9'!N72/'Table 1'!D72</f>
        <v>3.2553622816307755</v>
      </c>
      <c r="K72" s="148">
        <f>'Table 6'!L72/'Table 9'!N72</f>
        <v>5.3619765265698653</v>
      </c>
    </row>
    <row r="73" spans="1:11" x14ac:dyDescent="0.25">
      <c r="A73" s="36" t="s">
        <v>715</v>
      </c>
      <c r="B73" s="36" t="s">
        <v>1566</v>
      </c>
      <c r="C73" s="212">
        <f>VLOOKUP($A73,[0]!Data,202,FALSE)/'Table 9'!$N73</f>
        <v>0</v>
      </c>
      <c r="D73" s="212">
        <f>VLOOKUP($A73,[0]!Data,205,FALSE)/'Table 9'!$N73</f>
        <v>0.23845137470839997</v>
      </c>
      <c r="E73" s="212">
        <f>VLOOKUP($A73,[0]!Data,203,FALSE)/'Table 9'!$N73</f>
        <v>0.25930749340936532</v>
      </c>
      <c r="F73" s="212">
        <f>VLOOKUP($A73,[0]!Data,206,FALSE)/'Table 9'!$N73</f>
        <v>8.5660338393002022E-2</v>
      </c>
      <c r="G73" s="423">
        <f>VLOOKUP($A73,[0]!Data,204,FALSE)/'Table 9'!$N73</f>
        <v>1.9724489344350386E-2</v>
      </c>
      <c r="H73" s="212">
        <f>VLOOKUP($A73,[0]!Data,207,FALSE)/'Table 9'!$N73</f>
        <v>2.0462050377525881E-3</v>
      </c>
      <c r="I73" s="405">
        <f>'Table 9'!M73/'Table 1'!D73</f>
        <v>0.53091748556063645</v>
      </c>
      <c r="J73" s="406">
        <f>'Table 9'!N73/'Table 1'!D73</f>
        <v>4.1972509928444444</v>
      </c>
      <c r="K73" s="148">
        <f>'Table 6'!L73/'Table 9'!N73</f>
        <v>5.7132742020116449</v>
      </c>
    </row>
    <row r="74" spans="1:11" x14ac:dyDescent="0.25">
      <c r="A74" s="36" t="s">
        <v>754</v>
      </c>
      <c r="B74" s="36" t="s">
        <v>1567</v>
      </c>
      <c r="C74" s="212">
        <f>VLOOKUP($A74,[0]!Data,202,FALSE)/'Table 9'!$N74</f>
        <v>0</v>
      </c>
      <c r="D74" s="212">
        <f>VLOOKUP($A74,[0]!Data,205,FALSE)/'Table 9'!$N74</f>
        <v>0.20948139255702281</v>
      </c>
      <c r="E74" s="212">
        <f>VLOOKUP($A74,[0]!Data,203,FALSE)/'Table 9'!$N74</f>
        <v>0.31187755102040815</v>
      </c>
      <c r="F74" s="212">
        <f>VLOOKUP($A74,[0]!Data,206,FALSE)/'Table 9'!$N74</f>
        <v>0.10268187274909964</v>
      </c>
      <c r="G74" s="423">
        <f>VLOOKUP($A74,[0]!Data,204,FALSE)/'Table 9'!$N74</f>
        <v>1.7668667466986795E-2</v>
      </c>
      <c r="H74" s="212">
        <f>VLOOKUP($A74,[0]!Data,207,FALSE)/'Table 9'!$N74</f>
        <v>4.2905162064825926E-3</v>
      </c>
      <c r="I74" s="405">
        <f>'Table 9'!M74/'Table 1'!D74</f>
        <v>0.3464256680176358</v>
      </c>
      <c r="J74" s="406">
        <f>'Table 9'!N74/'Table 1'!D74</f>
        <v>2.4715020679915263</v>
      </c>
      <c r="K74" s="148">
        <f>'Table 6'!L74/'Table 9'!N74</f>
        <v>7.5316950780312126</v>
      </c>
    </row>
    <row r="75" spans="1:11" x14ac:dyDescent="0.25">
      <c r="A75" s="36" t="s">
        <v>1048</v>
      </c>
      <c r="B75" s="36" t="s">
        <v>1568</v>
      </c>
      <c r="C75" s="212">
        <f>VLOOKUP($A75,[0]!Data,202,FALSE)/'Table 9'!$N75</f>
        <v>0</v>
      </c>
      <c r="D75" s="212">
        <f>VLOOKUP($A75,[0]!Data,205,FALSE)/'Table 9'!$N75</f>
        <v>0.14957015454666209</v>
      </c>
      <c r="E75" s="212">
        <f>VLOOKUP($A75,[0]!Data,203,FALSE)/'Table 9'!$N75</f>
        <v>0.3323818967567751</v>
      </c>
      <c r="F75" s="212">
        <f>VLOOKUP($A75,[0]!Data,206,FALSE)/'Table 9'!$N75</f>
        <v>4.5001714439285682E-2</v>
      </c>
      <c r="G75" s="423">
        <f>VLOOKUP($A75,[0]!Data,204,FALSE)/'Table 9'!$N75</f>
        <v>1.9263501595509713E-2</v>
      </c>
      <c r="H75" s="212">
        <f>VLOOKUP($A75,[0]!Data,207,FALSE)/'Table 9'!$N75</f>
        <v>4.8807460745518518E-4</v>
      </c>
      <c r="I75" s="405">
        <f>'Table 9'!M75/'Table 1'!D75</f>
        <v>1.4369999589709925</v>
      </c>
      <c r="J75" s="406">
        <f>'Table 9'!N75/'Table 1'!D75</f>
        <v>6.6409756697985474</v>
      </c>
      <c r="K75" s="148">
        <f>'Table 6'!L75/'Table 9'!N75</f>
        <v>3.295424146101118</v>
      </c>
    </row>
    <row r="76" spans="1:11" x14ac:dyDescent="0.25">
      <c r="A76" s="36" t="s">
        <v>1064</v>
      </c>
      <c r="B76" s="36" t="s">
        <v>1569</v>
      </c>
      <c r="C76" s="212">
        <f>VLOOKUP($A76,[0]!Data,202,FALSE)/'Table 9'!$N76</f>
        <v>0</v>
      </c>
      <c r="D76" s="212">
        <f>VLOOKUP($A76,[0]!Data,205,FALSE)/'Table 9'!$N76</f>
        <v>0.18431278098908158</v>
      </c>
      <c r="E76" s="212">
        <f>VLOOKUP($A76,[0]!Data,203,FALSE)/'Table 9'!$N76</f>
        <v>0.34436817597944763</v>
      </c>
      <c r="F76" s="212">
        <f>VLOOKUP($A76,[0]!Data,206,FALSE)/'Table 9'!$N76</f>
        <v>9.6905105973025055E-2</v>
      </c>
      <c r="G76" s="423">
        <f>VLOOKUP($A76,[0]!Data,204,FALSE)/'Table 9'!$N76</f>
        <v>3.2964033397559406E-2</v>
      </c>
      <c r="H76" s="212">
        <f>VLOOKUP($A76,[0]!Data,207,FALSE)/'Table 9'!$N76</f>
        <v>1.0597302504816955E-3</v>
      </c>
      <c r="I76" s="405">
        <f>'Table 9'!M76/'Table 1'!D76</f>
        <v>0.18414986235760167</v>
      </c>
      <c r="J76" s="406">
        <f>'Table 9'!N76/'Table 1'!D76</f>
        <v>2.7877621360309752</v>
      </c>
      <c r="K76" s="148">
        <f>'Table 6'!L76/'Table 9'!N76</f>
        <v>7.5747350674373797</v>
      </c>
    </row>
    <row r="77" spans="1:11" x14ac:dyDescent="0.25">
      <c r="A77" s="36" t="s">
        <v>1093</v>
      </c>
      <c r="B77" s="36" t="s">
        <v>1570</v>
      </c>
      <c r="C77" s="212">
        <f>VLOOKUP($A77,[0]!Data,202,FALSE)/'Table 9'!$N77</f>
        <v>0</v>
      </c>
      <c r="D77" s="212">
        <f>VLOOKUP($A77,[0]!Data,205,FALSE)/'Table 9'!$N77</f>
        <v>0.3044040165280309</v>
      </c>
      <c r="E77" s="212">
        <f>VLOOKUP($A77,[0]!Data,203,FALSE)/'Table 9'!$N77</f>
        <v>0.37148598906551666</v>
      </c>
      <c r="F77" s="212">
        <f>VLOOKUP($A77,[0]!Data,206,FALSE)/'Table 9'!$N77</f>
        <v>6.0121614550441169E-2</v>
      </c>
      <c r="G77" s="423">
        <f>VLOOKUP($A77,[0]!Data,204,FALSE)/'Table 9'!$N77</f>
        <v>1.9288717273235778E-2</v>
      </c>
      <c r="H77" s="212">
        <f>VLOOKUP($A77,[0]!Data,207,FALSE)/'Table 9'!$N77</f>
        <v>0</v>
      </c>
      <c r="I77" s="405">
        <f>'Table 9'!M77/'Table 1'!D77</f>
        <v>0.16030643065255962</v>
      </c>
      <c r="J77" s="406">
        <f>'Table 9'!N77/'Table 1'!D77</f>
        <v>2.6309362037965593</v>
      </c>
      <c r="K77" s="148">
        <f>'Table 6'!L77/'Table 9'!N77</f>
        <v>5.4160268670720484</v>
      </c>
    </row>
    <row r="78" spans="1:11" x14ac:dyDescent="0.25">
      <c r="A78" s="36" t="s">
        <v>1172</v>
      </c>
      <c r="B78" s="36" t="s">
        <v>1571</v>
      </c>
      <c r="C78" s="212">
        <f>VLOOKUP($A78,[0]!Data,202,FALSE)/'Table 9'!$N78</f>
        <v>0</v>
      </c>
      <c r="D78" s="212">
        <f>VLOOKUP($A78,[0]!Data,205,FALSE)/'Table 9'!$N78</f>
        <v>0.21949154913812402</v>
      </c>
      <c r="E78" s="212">
        <f>VLOOKUP($A78,[0]!Data,203,FALSE)/'Table 9'!$N78</f>
        <v>0.29037944929482873</v>
      </c>
      <c r="F78" s="212">
        <f>VLOOKUP($A78,[0]!Data,206,FALSE)/'Table 9'!$N78</f>
        <v>5.7798858294157152E-2</v>
      </c>
      <c r="G78" s="423">
        <f>VLOOKUP($A78,[0]!Data,204,FALSE)/'Table 9'!$N78</f>
        <v>3.1893608685918964E-2</v>
      </c>
      <c r="H78" s="212">
        <f>VLOOKUP($A78,[0]!Data,207,FALSE)/'Table 9'!$N78</f>
        <v>6.5760017909111265E-4</v>
      </c>
      <c r="I78" s="405">
        <f>'Table 9'!M78/'Table 1'!D78</f>
        <v>0.32859516751998563</v>
      </c>
      <c r="J78" s="406">
        <f>'Table 9'!N78/'Table 1'!D78</f>
        <v>3.2099164645648073</v>
      </c>
      <c r="K78" s="148">
        <f>'Table 6'!L78/'Table 9'!N78</f>
        <v>7.5072895679426912</v>
      </c>
    </row>
    <row r="79" spans="1:11" x14ac:dyDescent="0.25">
      <c r="A79" s="36" t="s">
        <v>1305</v>
      </c>
      <c r="B79" s="36" t="s">
        <v>1572</v>
      </c>
      <c r="C79" s="212">
        <f>VLOOKUP($A79,[0]!Data,202,FALSE)/'Table 9'!$N79</f>
        <v>0</v>
      </c>
      <c r="D79" s="212">
        <f>VLOOKUP($A79,[0]!Data,205,FALSE)/'Table 9'!$N79</f>
        <v>0.31236846852263844</v>
      </c>
      <c r="E79" s="212">
        <f>VLOOKUP($A79,[0]!Data,203,FALSE)/'Table 9'!$N79</f>
        <v>0.31729901990259157</v>
      </c>
      <c r="F79" s="212">
        <f>VLOOKUP($A79,[0]!Data,206,FALSE)/'Table 9'!$N79</f>
        <v>6.4058904236885122E-2</v>
      </c>
      <c r="G79" s="423">
        <f>VLOOKUP($A79,[0]!Data,204,FALSE)/'Table 9'!$N79</f>
        <v>4.826692758867613E-2</v>
      </c>
      <c r="H79" s="212">
        <f>VLOOKUP($A79,[0]!Data,207,FALSE)/'Table 9'!$N79</f>
        <v>2.5882661623146262E-3</v>
      </c>
      <c r="I79" s="405">
        <f>'Table 9'!M79/'Table 1'!D79</f>
        <v>0.10519693560300256</v>
      </c>
      <c r="J79" s="406">
        <f>'Table 9'!N79/'Table 1'!D79</f>
        <v>1.5711991342734939</v>
      </c>
      <c r="K79" s="148">
        <f>'Table 6'!L79/'Table 9'!N79</f>
        <v>7.4413526765459901</v>
      </c>
    </row>
    <row r="80" spans="1:11" ht="13.5" customHeight="1" thickBot="1" x14ac:dyDescent="0.3">
      <c r="A80" s="599" t="s">
        <v>1647</v>
      </c>
      <c r="B80" s="600"/>
      <c r="C80" s="229">
        <f t="shared" ref="C80:K80" si="1">AVERAGE(C68:C79)</f>
        <v>0</v>
      </c>
      <c r="D80" s="229">
        <f t="shared" si="1"/>
        <v>0.2460325003695143</v>
      </c>
      <c r="E80" s="229">
        <f t="shared" si="1"/>
        <v>0.3205008367614503</v>
      </c>
      <c r="F80" s="229">
        <f t="shared" si="1"/>
        <v>7.2163181708174109E-2</v>
      </c>
      <c r="G80" s="229">
        <f t="shared" si="1"/>
        <v>2.5828122745724102E-2</v>
      </c>
      <c r="H80" s="229">
        <f t="shared" si="1"/>
        <v>1.8656342704468504E-3</v>
      </c>
      <c r="I80" s="408">
        <f t="shared" si="1"/>
        <v>0.37561233013410744</v>
      </c>
      <c r="J80" s="409">
        <f t="shared" si="1"/>
        <v>3.3774865642210945</v>
      </c>
      <c r="K80" s="410">
        <f t="shared" si="1"/>
        <v>6.4597657802370199</v>
      </c>
    </row>
    <row r="81" spans="1:11" ht="16.5" thickTop="1" thickBot="1" x14ac:dyDescent="0.3">
      <c r="A81" s="54"/>
      <c r="B81" s="45" t="s">
        <v>1456</v>
      </c>
      <c r="C81" s="233"/>
      <c r="D81" s="233"/>
      <c r="E81" s="233"/>
      <c r="F81" s="233"/>
      <c r="G81" s="233"/>
      <c r="H81" s="233"/>
      <c r="I81" s="411"/>
      <c r="J81" s="233"/>
      <c r="K81" s="412"/>
    </row>
    <row r="82" spans="1:11" ht="15.75" thickTop="1" x14ac:dyDescent="0.25">
      <c r="A82" s="51" t="s">
        <v>557</v>
      </c>
      <c r="B82" s="36" t="s">
        <v>1573</v>
      </c>
      <c r="C82" s="212">
        <f>VLOOKUP($A82,[0]!Data,202,FALSE)/'Table 9'!$N82</f>
        <v>0</v>
      </c>
      <c r="D82" s="212">
        <f>VLOOKUP($A82,[0]!Data,205,FALSE)/'Table 9'!$N82</f>
        <v>0.35284397497140552</v>
      </c>
      <c r="E82" s="212">
        <f>VLOOKUP($A82,[0]!Data,203,FALSE)/'Table 9'!$N82</f>
        <v>0.12159590930498554</v>
      </c>
      <c r="F82" s="212">
        <f>VLOOKUP($A82,[0]!Data,206,FALSE)/'Table 9'!$N82</f>
        <v>9.9685796945434973E-2</v>
      </c>
      <c r="G82" s="423">
        <f>VLOOKUP($A82,[0]!Data,204,FALSE)/'Table 9'!$N82</f>
        <v>2.7309426091636949E-2</v>
      </c>
      <c r="H82" s="212">
        <f>VLOOKUP($A82,[0]!Data,207,FALSE)/'Table 9'!$N82</f>
        <v>1.8192827827491086E-3</v>
      </c>
      <c r="I82" s="405">
        <f>'Table 9'!M82/'Table 1'!D82</f>
        <v>3.18206576221346</v>
      </c>
      <c r="J82" s="406">
        <f>'Table 9'!N82/'Table 1'!D82</f>
        <v>24.832921205640581</v>
      </c>
      <c r="K82" s="148">
        <f>'Table 6'!L82/'Table 9'!N82</f>
        <v>1.9333250353226132</v>
      </c>
    </row>
    <row r="83" spans="1:11" x14ac:dyDescent="0.25">
      <c r="A83" s="51" t="s">
        <v>946</v>
      </c>
      <c r="B83" s="36" t="s">
        <v>1457</v>
      </c>
      <c r="C83" s="212">
        <f>VLOOKUP($A83,[0]!Data,202,FALSE)/'Table 9'!$N83</f>
        <v>0</v>
      </c>
      <c r="D83" s="212">
        <f>VLOOKUP($A83,[0]!Data,205,FALSE)/'Table 9'!$N83</f>
        <v>0.34769876672789296</v>
      </c>
      <c r="E83" s="212">
        <f>VLOOKUP($A83,[0]!Data,203,FALSE)/'Table 9'!$N83</f>
        <v>0.30428758855943322</v>
      </c>
      <c r="F83" s="212">
        <f>VLOOKUP($A83,[0]!Data,206,FALSE)/'Table 9'!$N83</f>
        <v>8.3306218840199425E-2</v>
      </c>
      <c r="G83" s="423">
        <f>VLOOKUP($A83,[0]!Data,204,FALSE)/'Table 9'!$N83</f>
        <v>2.8832327473104172E-2</v>
      </c>
      <c r="H83" s="212">
        <f>VLOOKUP($A83,[0]!Data,207,FALSE)/'Table 9'!$N83</f>
        <v>9.0265022303857249E-3</v>
      </c>
      <c r="I83" s="405">
        <f>'Table 9'!M83/'Table 1'!D83</f>
        <v>0.13779791012508363</v>
      </c>
      <c r="J83" s="406">
        <f>'Table 9'!N83/'Table 1'!D83</f>
        <v>4.9042569619601588</v>
      </c>
      <c r="K83" s="148">
        <f>'Table 6'!L83/'Table 9'!N83</f>
        <v>5.4360430333245864</v>
      </c>
    </row>
    <row r="84" spans="1:11" x14ac:dyDescent="0.25">
      <c r="A84" s="51" t="s">
        <v>743</v>
      </c>
      <c r="B84" s="36" t="s">
        <v>1574</v>
      </c>
      <c r="C84" s="212">
        <f>VLOOKUP($A84,[0]!Data,202,FALSE)/'Table 9'!$N84</f>
        <v>0</v>
      </c>
      <c r="D84" s="212">
        <f>VLOOKUP($A84,[0]!Data,205,FALSE)/'Table 9'!$N84</f>
        <v>0.13116814780168382</v>
      </c>
      <c r="E84" s="212">
        <f>VLOOKUP($A84,[0]!Data,203,FALSE)/'Table 9'!$N84</f>
        <v>0.19726379794200188</v>
      </c>
      <c r="F84" s="212">
        <f>VLOOKUP($A84,[0]!Data,206,FALSE)/'Table 9'!$N84</f>
        <v>5.364242282507016E-2</v>
      </c>
      <c r="G84" s="423">
        <f>VLOOKUP($A84,[0]!Data,204,FALSE)/'Table 9'!$N84</f>
        <v>1.9907623947614594E-2</v>
      </c>
      <c r="H84" s="212">
        <f>VLOOKUP($A84,[0]!Data,207,FALSE)/'Table 9'!$N84</f>
        <v>2.8648269410664171E-3</v>
      </c>
      <c r="I84" s="405">
        <f>'Table 9'!M84/'Table 1'!D84</f>
        <v>2.7122055674518202</v>
      </c>
      <c r="J84" s="406">
        <f>'Table 9'!N84/'Table 1'!D84</f>
        <v>7.3250535331905784</v>
      </c>
      <c r="K84" s="148">
        <f>'Table 6'!L84/'Table 9'!N84</f>
        <v>9.0419200187090745</v>
      </c>
    </row>
    <row r="85" spans="1:11" x14ac:dyDescent="0.25">
      <c r="A85" s="51" t="s">
        <v>917</v>
      </c>
      <c r="B85" s="36" t="s">
        <v>1575</v>
      </c>
      <c r="C85" s="212">
        <f>VLOOKUP($A85,[0]!Data,202,FALSE)/'Table 9'!$N85</f>
        <v>0</v>
      </c>
      <c r="D85" s="212">
        <f>VLOOKUP($A85,[0]!Data,205,FALSE)/'Table 9'!$N85</f>
        <v>0.21544378270800485</v>
      </c>
      <c r="E85" s="212">
        <f>VLOOKUP($A85,[0]!Data,203,FALSE)/'Table 9'!$N85</f>
        <v>0.23642921371264033</v>
      </c>
      <c r="F85" s="212">
        <f>VLOOKUP($A85,[0]!Data,206,FALSE)/'Table 9'!$N85</f>
        <v>4.7410883530235211E-2</v>
      </c>
      <c r="G85" s="423">
        <f>VLOOKUP($A85,[0]!Data,204,FALSE)/'Table 9'!$N85</f>
        <v>2.566076085575723E-2</v>
      </c>
      <c r="H85" s="212">
        <f>VLOOKUP($A85,[0]!Data,207,FALSE)/'Table 9'!$N85</f>
        <v>2.2492396673217609E-3</v>
      </c>
      <c r="I85" s="405">
        <f>'Table 9'!M85/'Table 1'!D85</f>
        <v>1.206560700071688</v>
      </c>
      <c r="J85" s="406">
        <f>'Table 9'!N85/'Table 1'!D85</f>
        <v>9.9243319407707702</v>
      </c>
      <c r="K85" s="148">
        <f>'Table 6'!L85/'Table 9'!N85</f>
        <v>4.5607008262157231</v>
      </c>
    </row>
    <row r="86" spans="1:11" x14ac:dyDescent="0.25">
      <c r="A86" s="51" t="s">
        <v>932</v>
      </c>
      <c r="B86" s="36" t="s">
        <v>1576</v>
      </c>
      <c r="C86" s="212">
        <f>VLOOKUP($A86,[0]!Data,202,FALSE)/'Table 9'!$N86</f>
        <v>0</v>
      </c>
      <c r="D86" s="212">
        <f>VLOOKUP($A86,[0]!Data,205,FALSE)/'Table 9'!$N86</f>
        <v>0.16532795976468062</v>
      </c>
      <c r="E86" s="212">
        <f>VLOOKUP($A86,[0]!Data,203,FALSE)/'Table 9'!$N86</f>
        <v>0.16126456051398166</v>
      </c>
      <c r="F86" s="212">
        <f>VLOOKUP($A86,[0]!Data,206,FALSE)/'Table 9'!$N86</f>
        <v>9.9111163358872267E-2</v>
      </c>
      <c r="G86" s="423">
        <f>VLOOKUP($A86,[0]!Data,204,FALSE)/'Table 9'!$N86</f>
        <v>2.4913237481408033E-2</v>
      </c>
      <c r="H86" s="212">
        <f>VLOOKUP($A86,[0]!Data,207,FALSE)/'Table 9'!$N86</f>
        <v>2.5172630578229382E-4</v>
      </c>
      <c r="I86" s="405">
        <f>'Table 9'!M86/'Table 1'!D86</f>
        <v>1.3425764667464897</v>
      </c>
      <c r="J86" s="406">
        <f>'Table 9'!N86/'Table 1'!D86</f>
        <v>7.0987627444577486</v>
      </c>
      <c r="K86" s="148">
        <f>'Table 6'!L86/'Table 9'!N86</f>
        <v>5.7627933186471694</v>
      </c>
    </row>
    <row r="87" spans="1:11" x14ac:dyDescent="0.25">
      <c r="A87" s="51" t="s">
        <v>970</v>
      </c>
      <c r="B87" s="36" t="s">
        <v>1577</v>
      </c>
      <c r="C87" s="212">
        <f>VLOOKUP($A87,[0]!Data,202,FALSE)/'Table 9'!$N87</f>
        <v>0</v>
      </c>
      <c r="D87" s="212">
        <f>VLOOKUP($A87,[0]!Data,205,FALSE)/'Table 9'!$N87</f>
        <v>0.27420940449780329</v>
      </c>
      <c r="E87" s="212">
        <f>VLOOKUP($A87,[0]!Data,203,FALSE)/'Table 9'!$N87</f>
        <v>0.23078863804428204</v>
      </c>
      <c r="F87" s="212">
        <f>VLOOKUP($A87,[0]!Data,206,FALSE)/'Table 9'!$N87</f>
        <v>6.9720301013528205E-2</v>
      </c>
      <c r="G87" s="423">
        <f>VLOOKUP($A87,[0]!Data,204,FALSE)/'Table 9'!$N87</f>
        <v>3.1432424202879637E-2</v>
      </c>
      <c r="H87" s="212">
        <f>VLOOKUP($A87,[0]!Data,207,FALSE)/'Table 9'!$N87</f>
        <v>7.0468484927574057E-4</v>
      </c>
      <c r="I87" s="405">
        <f>'Table 9'!M87/'Table 1'!D87</f>
        <v>2.084616102248344</v>
      </c>
      <c r="J87" s="406">
        <f>'Table 9'!N87/'Table 1'!D87</f>
        <v>10.72348166806605</v>
      </c>
      <c r="K87" s="148">
        <f>'Table 6'!L87/'Table 9'!N87</f>
        <v>6.1356996824568268</v>
      </c>
    </row>
    <row r="88" spans="1:11" x14ac:dyDescent="0.25">
      <c r="A88" s="51" t="s">
        <v>1033</v>
      </c>
      <c r="B88" s="36" t="s">
        <v>1578</v>
      </c>
      <c r="C88" s="212">
        <f>VLOOKUP($A88,[0]!Data,202,FALSE)/'Table 9'!$N88</f>
        <v>0</v>
      </c>
      <c r="D88" s="212">
        <f>VLOOKUP($A88,[0]!Data,205,FALSE)/'Table 9'!$N88</f>
        <v>0.27677671492622041</v>
      </c>
      <c r="E88" s="212">
        <f>VLOOKUP($A88,[0]!Data,203,FALSE)/'Table 9'!$N88</f>
        <v>0.14302154494935257</v>
      </c>
      <c r="F88" s="212">
        <f>VLOOKUP($A88,[0]!Data,206,FALSE)/'Table 9'!$N88</f>
        <v>8.0306008565459344E-2</v>
      </c>
      <c r="G88" s="423">
        <f>VLOOKUP($A88,[0]!Data,204,FALSE)/'Table 9'!$N88</f>
        <v>2.6362537507675317E-2</v>
      </c>
      <c r="H88" s="212">
        <f>VLOOKUP($A88,[0]!Data,207,FALSE)/'Table 9'!$N88</f>
        <v>2.4696173348214114E-3</v>
      </c>
      <c r="I88" s="405">
        <f>'Table 9'!M88/'Table 1'!D88</f>
        <v>1.7856045868741681</v>
      </c>
      <c r="J88" s="406">
        <f>'Table 9'!N88/'Table 1'!D88</f>
        <v>13.256219924234667</v>
      </c>
      <c r="K88" s="148">
        <f>'Table 6'!L88/'Table 9'!N88</f>
        <v>3.8776351917573866</v>
      </c>
    </row>
    <row r="89" spans="1:11" x14ac:dyDescent="0.25">
      <c r="A89" s="51" t="s">
        <v>884</v>
      </c>
      <c r="B89" s="36" t="s">
        <v>1579</v>
      </c>
      <c r="C89" s="212">
        <f>VLOOKUP($A89,[0]!Data,202,FALSE)/'Table 9'!$N89</f>
        <v>0</v>
      </c>
      <c r="D89" s="212">
        <f>VLOOKUP($A89,[0]!Data,205,FALSE)/'Table 9'!$N89</f>
        <v>0.16467232503130652</v>
      </c>
      <c r="E89" s="212">
        <f>VLOOKUP($A89,[0]!Data,203,FALSE)/'Table 9'!$N89</f>
        <v>0.42493390844580492</v>
      </c>
      <c r="F89" s="212">
        <f>VLOOKUP($A89,[0]!Data,206,FALSE)/'Table 9'!$N89</f>
        <v>3.2384861555586474E-2</v>
      </c>
      <c r="G89" s="423">
        <f>VLOOKUP($A89,[0]!Data,204,FALSE)/'Table 9'!$N89</f>
        <v>3.1758731042159455E-2</v>
      </c>
      <c r="H89" s="212">
        <f>VLOOKUP($A89,[0]!Data,207,FALSE)/'Table 9'!$N89</f>
        <v>2.400166968136914E-3</v>
      </c>
      <c r="I89" s="405">
        <f>'Table 9'!M89/'Table 1'!D89</f>
        <v>0.21066717644809788</v>
      </c>
      <c r="J89" s="406">
        <f>'Table 9'!N89/'Table 1'!D89</f>
        <v>5.495698719174154</v>
      </c>
      <c r="K89" s="148">
        <f>'Table 6'!L89/'Table 9'!N89</f>
        <v>6.6736468623904273</v>
      </c>
    </row>
    <row r="90" spans="1:11" x14ac:dyDescent="0.25">
      <c r="A90" s="51" t="s">
        <v>1224</v>
      </c>
      <c r="B90" s="36" t="s">
        <v>1580</v>
      </c>
      <c r="C90" s="212">
        <f>VLOOKUP($A90,[0]!Data,202,FALSE)/'Table 9'!$N90</f>
        <v>0</v>
      </c>
      <c r="D90" s="212">
        <f>VLOOKUP($A90,[0]!Data,205,FALSE)/'Table 9'!$N90</f>
        <v>0.23859069104109945</v>
      </c>
      <c r="E90" s="212">
        <f>VLOOKUP($A90,[0]!Data,203,FALSE)/'Table 9'!$N90</f>
        <v>0.40934137171009982</v>
      </c>
      <c r="F90" s="212">
        <f>VLOOKUP($A90,[0]!Data,206,FALSE)/'Table 9'!$N90</f>
        <v>6.8261376896149362E-2</v>
      </c>
      <c r="G90" s="423">
        <f>VLOOKUP($A90,[0]!Data,204,FALSE)/'Table 9'!$N90</f>
        <v>4.5475171787890574E-2</v>
      </c>
      <c r="H90" s="212">
        <f>VLOOKUP($A90,[0]!Data,207,FALSE)/'Table 9'!$N90</f>
        <v>6.4501490989238948E-3</v>
      </c>
      <c r="I90" s="405">
        <f>'Table 9'!M90/'Table 1'!D90</f>
        <v>5.4234818886166478E-2</v>
      </c>
      <c r="J90" s="406">
        <f>'Table 9'!N90/'Table 1'!D90</f>
        <v>2.0430435070525133</v>
      </c>
      <c r="K90" s="148">
        <f>'Table 6'!L90/'Table 9'!N90</f>
        <v>9.036496823544665</v>
      </c>
    </row>
    <row r="91" spans="1:11" x14ac:dyDescent="0.25">
      <c r="A91" s="51" t="s">
        <v>1346</v>
      </c>
      <c r="B91" s="36" t="s">
        <v>1581</v>
      </c>
      <c r="C91" s="212">
        <f>VLOOKUP($A91,[0]!Data,202,FALSE)/'Table 9'!$N91</f>
        <v>0</v>
      </c>
      <c r="D91" s="212">
        <f>VLOOKUP($A91,[0]!Data,205,FALSE)/'Table 9'!$N91</f>
        <v>0.30919283390176017</v>
      </c>
      <c r="E91" s="212">
        <f>VLOOKUP($A91,[0]!Data,203,FALSE)/'Table 9'!$N91</f>
        <v>0.2866909718138696</v>
      </c>
      <c r="F91" s="212">
        <f>VLOOKUP($A91,[0]!Data,206,FALSE)/'Table 9'!$N91</f>
        <v>8.8117919165784625E-2</v>
      </c>
      <c r="G91" s="423">
        <f>VLOOKUP($A91,[0]!Data,204,FALSE)/'Table 9'!$N91</f>
        <v>2.0526088831392841E-2</v>
      </c>
      <c r="H91" s="212">
        <f>VLOOKUP($A91,[0]!Data,207,FALSE)/'Table 9'!$N91</f>
        <v>1.3171821709984711E-3</v>
      </c>
      <c r="I91" s="405">
        <f>'Table 9'!M91/'Table 1'!D91</f>
        <v>0.88877580692061642</v>
      </c>
      <c r="J91" s="406">
        <f>'Table 9'!N91/'Table 1'!D91</f>
        <v>9.2719540564117473</v>
      </c>
      <c r="K91" s="148">
        <f>'Table 6'!L91/'Table 9'!N91</f>
        <v>6.4002744129522915</v>
      </c>
    </row>
    <row r="92" spans="1:11" x14ac:dyDescent="0.25">
      <c r="A92" s="51" t="s">
        <v>819</v>
      </c>
      <c r="B92" s="36" t="s">
        <v>1582</v>
      </c>
      <c r="C92" s="212">
        <f>VLOOKUP($A92,[0]!Data,202,FALSE)/'Table 9'!$N92</f>
        <v>0</v>
      </c>
      <c r="D92" s="212">
        <f>VLOOKUP($A92,[0]!Data,205,FALSE)/'Table 9'!$N92</f>
        <v>0.1334965415403746</v>
      </c>
      <c r="E92" s="212">
        <f>VLOOKUP($A92,[0]!Data,203,FALSE)/'Table 9'!$N92</f>
        <v>0.36431957721302555</v>
      </c>
      <c r="F92" s="212">
        <f>VLOOKUP($A92,[0]!Data,206,FALSE)/'Table 9'!$N92</f>
        <v>6.1327426750602314E-2</v>
      </c>
      <c r="G92" s="423">
        <f>VLOOKUP($A92,[0]!Data,204,FALSE)/'Table 9'!$N92</f>
        <v>4.1711354628118445E-2</v>
      </c>
      <c r="H92" s="212">
        <f>VLOOKUP($A92,[0]!Data,207,FALSE)/'Table 9'!$N92</f>
        <v>2.1450221496852411E-3</v>
      </c>
      <c r="I92" s="405">
        <f>'Table 9'!M92/'Table 1'!D92</f>
        <v>0.73381445455496286</v>
      </c>
      <c r="J92" s="406">
        <f>'Table 9'!N92/'Table 1'!D92</f>
        <v>13.457797301537497</v>
      </c>
      <c r="K92" s="148">
        <f>'Table 6'!L92/'Table 9'!N92</f>
        <v>3.2533923991606435</v>
      </c>
    </row>
    <row r="93" spans="1:11" ht="15.95" customHeight="1" thickBot="1" x14ac:dyDescent="0.3">
      <c r="A93" s="599" t="s">
        <v>1647</v>
      </c>
      <c r="B93" s="600"/>
      <c r="C93" s="229">
        <f t="shared" ref="C93:K93" si="2">AVERAGE(C82:C92)</f>
        <v>0</v>
      </c>
      <c r="D93" s="229">
        <f t="shared" si="2"/>
        <v>0.23722010390111195</v>
      </c>
      <c r="E93" s="229">
        <f t="shared" si="2"/>
        <v>0.26181246201904335</v>
      </c>
      <c r="F93" s="229">
        <f t="shared" si="2"/>
        <v>7.1206761767902027E-2</v>
      </c>
      <c r="G93" s="229">
        <f t="shared" si="2"/>
        <v>2.9444516713603385E-2</v>
      </c>
      <c r="H93" s="229">
        <f t="shared" si="2"/>
        <v>2.8816727726497251E-3</v>
      </c>
      <c r="I93" s="408">
        <f t="shared" si="2"/>
        <v>1.3035381229582634</v>
      </c>
      <c r="J93" s="409">
        <f t="shared" si="2"/>
        <v>9.8485019602269528</v>
      </c>
      <c r="K93" s="410">
        <f t="shared" si="2"/>
        <v>5.6465388731346735</v>
      </c>
    </row>
    <row r="94" spans="1:11" ht="17.25" thickTop="1" thickBot="1" x14ac:dyDescent="0.3">
      <c r="A94" s="134"/>
      <c r="B94" s="14"/>
      <c r="C94" s="239"/>
      <c r="D94" s="239"/>
      <c r="E94" s="239"/>
      <c r="F94" s="239"/>
      <c r="G94" s="239"/>
      <c r="H94" s="239"/>
      <c r="I94" s="413"/>
      <c r="J94" s="239"/>
      <c r="K94" s="414"/>
    </row>
    <row r="95" spans="1:11" ht="13.5" customHeight="1" thickTop="1" thickBot="1" x14ac:dyDescent="0.3">
      <c r="A95" s="655" t="s">
        <v>1647</v>
      </c>
      <c r="B95" s="656"/>
      <c r="C95" s="242" t="e">
        <f t="shared" ref="C95:K95" si="3">AVERAGE(C82:C92,C68:C79,C8:C57,C59:C65)</f>
        <v>#N/A</v>
      </c>
      <c r="D95" s="242" t="e">
        <f t="shared" si="3"/>
        <v>#N/A</v>
      </c>
      <c r="E95" s="242" t="e">
        <f t="shared" si="3"/>
        <v>#N/A</v>
      </c>
      <c r="F95" s="242" t="e">
        <f t="shared" si="3"/>
        <v>#N/A</v>
      </c>
      <c r="G95" s="242" t="e">
        <f t="shared" si="3"/>
        <v>#N/A</v>
      </c>
      <c r="H95" s="242" t="e">
        <f t="shared" si="3"/>
        <v>#N/A</v>
      </c>
      <c r="I95" s="415">
        <f t="shared" si="3"/>
        <v>0.75950423578781889</v>
      </c>
      <c r="J95" s="416">
        <f t="shared" si="3"/>
        <v>4.8635282025330948</v>
      </c>
      <c r="K95" s="417">
        <f t="shared" si="3"/>
        <v>5.4358056104646248</v>
      </c>
    </row>
    <row r="96" spans="1:11" s="232" customFormat="1" ht="13.5" thickTop="1" x14ac:dyDescent="0.2">
      <c r="B96" s="418" t="s">
        <v>1648</v>
      </c>
      <c r="C96" s="244" t="s">
        <v>1649</v>
      </c>
      <c r="D96" s="244" t="s">
        <v>1649</v>
      </c>
      <c r="E96" s="244"/>
      <c r="F96" s="244"/>
      <c r="G96" s="244" t="s">
        <v>1649</v>
      </c>
      <c r="H96" s="244" t="s">
        <v>1649</v>
      </c>
      <c r="I96" s="244" t="s">
        <v>1649</v>
      </c>
      <c r="J96" s="244"/>
      <c r="K96" s="419" t="s">
        <v>1649</v>
      </c>
    </row>
    <row r="97" spans="3:10" x14ac:dyDescent="0.25">
      <c r="C97" s="12"/>
      <c r="D97" s="12"/>
      <c r="E97" s="12"/>
      <c r="F97" s="12"/>
      <c r="G97" s="247"/>
      <c r="H97" s="247"/>
      <c r="I97" s="420"/>
      <c r="J97" s="420"/>
    </row>
    <row r="98" spans="3:10" x14ac:dyDescent="0.25">
      <c r="C98" s="12"/>
      <c r="D98" s="12"/>
      <c r="E98" s="12"/>
      <c r="F98" s="12"/>
      <c r="G98" s="247"/>
      <c r="H98" s="247"/>
      <c r="I98" s="420"/>
      <c r="J98" s="420"/>
    </row>
    <row r="99" spans="3:10" x14ac:dyDescent="0.25">
      <c r="C99" s="12"/>
      <c r="D99" s="12"/>
      <c r="E99" s="12"/>
      <c r="F99" s="12"/>
      <c r="G99" s="247"/>
      <c r="H99" s="247"/>
      <c r="I99" s="420"/>
      <c r="J99" s="420"/>
    </row>
  </sheetData>
  <mergeCells count="6">
    <mergeCell ref="A95:B95"/>
    <mergeCell ref="B4:B6"/>
    <mergeCell ref="A66:B66"/>
    <mergeCell ref="A67:B67"/>
    <mergeCell ref="A80:B80"/>
    <mergeCell ref="A93:B9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98"/>
  <sheetViews>
    <sheetView topLeftCell="A58" workbookViewId="0">
      <selection activeCell="C65" sqref="C65"/>
    </sheetView>
  </sheetViews>
  <sheetFormatPr defaultColWidth="8.85546875" defaultRowHeight="15" x14ac:dyDescent="0.25"/>
  <cols>
    <col min="1" max="1" width="7" customWidth="1"/>
    <col min="2" max="2" width="21" customWidth="1"/>
    <col min="3" max="3" width="12.140625" customWidth="1"/>
    <col min="4" max="4" width="11.42578125" customWidth="1"/>
    <col min="5" max="5" width="11" customWidth="1"/>
    <col min="6" max="6" width="12.140625" style="250" customWidth="1"/>
    <col min="7" max="7" width="12.42578125" customWidth="1"/>
    <col min="8" max="8" width="10.85546875" customWidth="1"/>
    <col min="9" max="9" width="11.85546875" customWidth="1"/>
    <col min="10" max="10" width="12.28515625" customWidth="1"/>
    <col min="11" max="12" width="18" style="451" customWidth="1"/>
    <col min="13" max="13" width="9.28515625" style="451" customWidth="1"/>
    <col min="14" max="14" width="9.140625" style="451" customWidth="1"/>
  </cols>
  <sheetData>
    <row r="1" spans="1:14" x14ac:dyDescent="0.25">
      <c r="A1" s="12"/>
      <c r="B1" s="12"/>
      <c r="C1" s="12"/>
      <c r="D1" s="12"/>
      <c r="E1" s="12"/>
      <c r="F1" s="247"/>
      <c r="G1" s="12"/>
      <c r="H1" s="424"/>
      <c r="I1" s="12"/>
      <c r="J1" s="424"/>
      <c r="K1" s="72"/>
      <c r="L1" s="72"/>
      <c r="M1" s="72"/>
      <c r="N1" s="11" t="s">
        <v>1758</v>
      </c>
    </row>
    <row r="2" spans="1:14" ht="15.75" x14ac:dyDescent="0.25">
      <c r="A2" s="171" t="s">
        <v>1651</v>
      </c>
      <c r="B2" s="335"/>
      <c r="C2" s="335"/>
      <c r="D2" s="335"/>
      <c r="E2" s="335"/>
      <c r="F2" s="336"/>
      <c r="G2" s="335"/>
      <c r="H2" s="425"/>
      <c r="I2" s="335"/>
      <c r="J2" s="425"/>
      <c r="K2" s="370"/>
      <c r="L2" s="370"/>
      <c r="M2" s="370"/>
      <c r="N2" s="18" t="s">
        <v>1759</v>
      </c>
    </row>
    <row r="3" spans="1:14" ht="15.75" thickBot="1" x14ac:dyDescent="0.3">
      <c r="A3" s="335"/>
      <c r="B3" s="335"/>
      <c r="C3" s="335"/>
      <c r="D3" s="335"/>
      <c r="E3" s="335"/>
      <c r="F3" s="336"/>
      <c r="G3" s="335"/>
      <c r="H3" s="425"/>
      <c r="I3" s="335"/>
      <c r="J3" s="425"/>
      <c r="K3" s="370"/>
      <c r="L3" s="370"/>
      <c r="M3" s="370"/>
      <c r="N3" s="370"/>
    </row>
    <row r="4" spans="1:14" ht="15.75" thickTop="1" x14ac:dyDescent="0.25">
      <c r="A4" s="92"/>
      <c r="B4" s="612"/>
      <c r="C4" s="395" t="s">
        <v>1652</v>
      </c>
      <c r="D4" s="395"/>
      <c r="E4" s="426"/>
      <c r="F4" s="427"/>
      <c r="G4" s="428" t="s">
        <v>1653</v>
      </c>
      <c r="H4" s="429" t="s">
        <v>1654</v>
      </c>
      <c r="I4" s="430"/>
      <c r="J4" s="431" t="s">
        <v>1655</v>
      </c>
      <c r="K4" s="432" t="s">
        <v>1656</v>
      </c>
      <c r="L4" s="432" t="s">
        <v>1656</v>
      </c>
      <c r="M4" s="619" t="s">
        <v>1657</v>
      </c>
      <c r="N4" s="657"/>
    </row>
    <row r="5" spans="1:14" x14ac:dyDescent="0.25">
      <c r="A5" s="95"/>
      <c r="B5" s="647"/>
      <c r="C5" s="433"/>
      <c r="D5" s="433"/>
      <c r="E5" s="433"/>
      <c r="F5" s="270" t="s">
        <v>1617</v>
      </c>
      <c r="G5" s="434" t="s">
        <v>1658</v>
      </c>
      <c r="H5" s="435" t="s">
        <v>1659</v>
      </c>
      <c r="I5" s="436" t="s">
        <v>1655</v>
      </c>
      <c r="J5" s="437" t="s">
        <v>1660</v>
      </c>
      <c r="K5" s="438" t="s">
        <v>1661</v>
      </c>
      <c r="L5" s="438" t="s">
        <v>1662</v>
      </c>
      <c r="M5" s="438" t="s">
        <v>1663</v>
      </c>
      <c r="N5" s="372" t="s">
        <v>1663</v>
      </c>
    </row>
    <row r="6" spans="1:14" ht="15.75" thickBot="1" x14ac:dyDescent="0.3">
      <c r="A6" s="99"/>
      <c r="B6" s="648"/>
      <c r="C6" s="142" t="s">
        <v>1664</v>
      </c>
      <c r="D6" s="142" t="s">
        <v>1665</v>
      </c>
      <c r="E6" s="142" t="s">
        <v>1462</v>
      </c>
      <c r="F6" s="270" t="s">
        <v>1470</v>
      </c>
      <c r="G6" s="434" t="s">
        <v>1659</v>
      </c>
      <c r="H6" s="435" t="s">
        <v>1624</v>
      </c>
      <c r="I6" s="439" t="s">
        <v>1660</v>
      </c>
      <c r="J6" s="440" t="s">
        <v>1624</v>
      </c>
      <c r="K6" s="379" t="s">
        <v>1666</v>
      </c>
      <c r="L6" s="379" t="s">
        <v>1667</v>
      </c>
      <c r="M6" s="379" t="s">
        <v>1668</v>
      </c>
      <c r="N6" s="379" t="s">
        <v>1669</v>
      </c>
    </row>
    <row r="7" spans="1:14" ht="16.5" thickTop="1" thickBot="1" x14ac:dyDescent="0.3">
      <c r="A7" s="30"/>
      <c r="B7" s="45" t="s">
        <v>1452</v>
      </c>
      <c r="C7" s="33"/>
      <c r="D7" s="33"/>
      <c r="E7" s="35"/>
      <c r="F7" s="104"/>
      <c r="G7" s="35"/>
      <c r="H7" s="35"/>
      <c r="I7" s="35"/>
      <c r="J7" s="35"/>
      <c r="K7" s="35"/>
      <c r="L7" s="35"/>
      <c r="M7" s="35"/>
      <c r="N7" s="35"/>
    </row>
    <row r="8" spans="1:14" ht="15.75" thickTop="1" x14ac:dyDescent="0.25">
      <c r="A8" s="36" t="s">
        <v>340</v>
      </c>
      <c r="B8" s="36" t="s">
        <v>1506</v>
      </c>
      <c r="C8" s="322">
        <f>VLOOKUP($A8,[0]!Data,255,FALSE)</f>
        <v>54725</v>
      </c>
      <c r="D8" s="322">
        <f>VLOOKUP($A8,[0]!Data,256,FALSE)</f>
        <v>10016</v>
      </c>
      <c r="E8" s="322">
        <f>VLOOKUP($A8,[0]!Data,257,FALSE)</f>
        <v>64741</v>
      </c>
      <c r="F8" s="212">
        <f>E8/'Table 1'!D8</f>
        <v>0.40703786135526299</v>
      </c>
      <c r="G8" s="322">
        <f>VLOOKUP($A8,[0]!Data,259,FALSE)</f>
        <v>542142</v>
      </c>
      <c r="H8" s="441">
        <f>G8/'Table 1'!D8</f>
        <v>3.4085404956807124</v>
      </c>
      <c r="I8" s="322">
        <f>VLOOKUP($A8,[0]!Data,300,FALSE)</f>
        <v>75190</v>
      </c>
      <c r="J8" s="441">
        <f>I8/'Table 1'!D8</f>
        <v>0.47273253109007002</v>
      </c>
      <c r="K8" s="322">
        <f>VLOOKUP($A8,[0]!Data,301,FALSE)</f>
        <v>25400</v>
      </c>
      <c r="L8" s="322">
        <f>VLOOKUP($A8,[0]!Data,302,FALSE)</f>
        <v>13111</v>
      </c>
      <c r="M8" s="322">
        <f>VLOOKUP($A8,[0]!Data,306,FALSE)</f>
        <v>217</v>
      </c>
      <c r="N8" s="332">
        <f>VLOOKUP($A8,[0]!Data,307,FALSE)</f>
        <v>298</v>
      </c>
    </row>
    <row r="9" spans="1:14" x14ac:dyDescent="0.25">
      <c r="A9" s="36" t="s">
        <v>381</v>
      </c>
      <c r="B9" s="36" t="s">
        <v>1507</v>
      </c>
      <c r="C9" s="322">
        <f>VLOOKUP($A9,[0]!Data,255,FALSE)</f>
        <v>16293</v>
      </c>
      <c r="D9" s="322">
        <f>VLOOKUP($A9,[0]!Data,256,FALSE)</f>
        <v>5141</v>
      </c>
      <c r="E9" s="322">
        <f>VLOOKUP($A9,[0]!Data,257,FALSE)</f>
        <v>21434</v>
      </c>
      <c r="F9" s="212">
        <f>E9/'Table 1'!D9</f>
        <v>0.55986835231428278</v>
      </c>
      <c r="G9" s="322">
        <f>VLOOKUP($A9,[0]!Data,259,FALSE)</f>
        <v>34676</v>
      </c>
      <c r="H9" s="441">
        <f>G9/'Table 1'!D9</f>
        <v>0.90575697419287426</v>
      </c>
      <c r="I9" s="322">
        <f>VLOOKUP($A9,[0]!Data,300,FALSE)</f>
        <v>3122</v>
      </c>
      <c r="J9" s="441">
        <f>I9/'Table 1'!D9</f>
        <v>8.1548427541531715E-2</v>
      </c>
      <c r="K9" s="322">
        <f>VLOOKUP($A9,[0]!Data,301,FALSE)</f>
        <v>1967</v>
      </c>
      <c r="L9" s="322">
        <f>VLOOKUP($A9,[0]!Data,302,FALSE)</f>
        <v>756</v>
      </c>
      <c r="M9" s="322">
        <f>VLOOKUP($A9,[0]!Data,306,FALSE)</f>
        <v>355</v>
      </c>
      <c r="N9" s="324">
        <f>VLOOKUP($A9,[0]!Data,307,FALSE)</f>
        <v>281</v>
      </c>
    </row>
    <row r="10" spans="1:14" x14ac:dyDescent="0.25">
      <c r="A10" s="36" t="s">
        <v>442</v>
      </c>
      <c r="B10" s="36" t="s">
        <v>1508</v>
      </c>
      <c r="C10" s="322">
        <f>VLOOKUP($A10,[0]!Data,255,FALSE)</f>
        <v>14825</v>
      </c>
      <c r="D10" s="322">
        <f>VLOOKUP($A10,[0]!Data,256,FALSE)</f>
        <v>5272</v>
      </c>
      <c r="E10" s="322">
        <f>VLOOKUP($A10,[0]!Data,257,FALSE)</f>
        <v>20097</v>
      </c>
      <c r="F10" s="212">
        <f>E10/'Table 1'!D10</f>
        <v>0.57971557965788789</v>
      </c>
      <c r="G10" s="322">
        <f>VLOOKUP($A10,[0]!Data,259,FALSE)</f>
        <v>35331</v>
      </c>
      <c r="H10" s="441">
        <f>G10/'Table 1'!D10</f>
        <v>1.0191536619840194</v>
      </c>
      <c r="I10" s="322">
        <f>VLOOKUP($A10,[0]!Data,300,FALSE)</f>
        <v>3964</v>
      </c>
      <c r="J10" s="441">
        <f>I10/'Table 1'!D10</f>
        <v>0.11434505437447717</v>
      </c>
      <c r="K10" s="322">
        <f>VLOOKUP($A10,[0]!Data,301,FALSE)</f>
        <v>700</v>
      </c>
      <c r="L10" s="322">
        <f>VLOOKUP($A10,[0]!Data,302,FALSE)</f>
        <v>415</v>
      </c>
      <c r="M10" s="322">
        <f>VLOOKUP($A10,[0]!Data,306,FALSE)</f>
        <v>0</v>
      </c>
      <c r="N10" s="324">
        <f>VLOOKUP($A10,[0]!Data,307,FALSE)</f>
        <v>18</v>
      </c>
    </row>
    <row r="11" spans="1:14" x14ac:dyDescent="0.25">
      <c r="A11" s="36" t="s">
        <v>470</v>
      </c>
      <c r="B11" s="36" t="s">
        <v>1509</v>
      </c>
      <c r="C11" s="322">
        <f>VLOOKUP($A11,[0]!Data,255,FALSE)</f>
        <v>46591</v>
      </c>
      <c r="D11" s="322">
        <f>VLOOKUP($A11,[0]!Data,256,FALSE)</f>
        <v>9750</v>
      </c>
      <c r="E11" s="322">
        <f>VLOOKUP($A11,[0]!Data,257,FALSE)</f>
        <v>56341</v>
      </c>
      <c r="F11" s="212">
        <f>E11/'Table 1'!D11</f>
        <v>0.44102544031311153</v>
      </c>
      <c r="G11" s="322">
        <f>VLOOKUP($A11,[0]!Data,259,FALSE)</f>
        <v>262026</v>
      </c>
      <c r="H11" s="441">
        <f>G11/'Table 1'!D11</f>
        <v>2.0510841487279845</v>
      </c>
      <c r="I11" s="322">
        <f>VLOOKUP($A11,[0]!Data,300,FALSE)</f>
        <v>57977</v>
      </c>
      <c r="J11" s="441">
        <f>I11/'Table 1'!D11</f>
        <v>0.45383170254403132</v>
      </c>
      <c r="K11" s="322">
        <f>VLOOKUP($A11,[0]!Data,301,FALSE)</f>
        <v>9768</v>
      </c>
      <c r="L11" s="322">
        <f>VLOOKUP($A11,[0]!Data,302,FALSE)</f>
        <v>2746</v>
      </c>
      <c r="M11" s="322">
        <f>VLOOKUP($A11,[0]!Data,306,FALSE)</f>
        <v>14</v>
      </c>
      <c r="N11" s="324">
        <f>VLOOKUP($A11,[0]!Data,307,FALSE)</f>
        <v>257</v>
      </c>
    </row>
    <row r="12" spans="1:14" x14ac:dyDescent="0.25">
      <c r="A12" s="36" t="s">
        <v>484</v>
      </c>
      <c r="B12" s="36" t="s">
        <v>1510</v>
      </c>
      <c r="C12" s="322">
        <f>VLOOKUP($A12,[0]!Data,255,FALSE)</f>
        <v>138400</v>
      </c>
      <c r="D12" s="322">
        <f>VLOOKUP($A12,[0]!Data,256,FALSE)</f>
        <v>25897</v>
      </c>
      <c r="E12" s="322">
        <f>VLOOKUP($A12,[0]!Data,257,FALSE)</f>
        <v>164297</v>
      </c>
      <c r="F12" s="212">
        <f>E12/'Table 1'!D12</f>
        <v>0.63580954002616041</v>
      </c>
      <c r="G12" s="322">
        <f>VLOOKUP($A12,[0]!Data,259,FALSE)</f>
        <v>2108588</v>
      </c>
      <c r="H12" s="441">
        <f>G12/'Table 1'!D12</f>
        <v>8.1599808053992557</v>
      </c>
      <c r="I12" s="322">
        <f>VLOOKUP($A12,[0]!Data,300,FALSE)</f>
        <v>89398</v>
      </c>
      <c r="J12" s="441">
        <f>I12/'Table 1'!D12</f>
        <v>0.34595945914568549</v>
      </c>
      <c r="K12" s="322">
        <f>VLOOKUP($A12,[0]!Data,301,FALSE)</f>
        <v>14596</v>
      </c>
      <c r="L12" s="322">
        <f>VLOOKUP($A12,[0]!Data,302,FALSE)</f>
        <v>3209</v>
      </c>
      <c r="M12" s="322">
        <f>VLOOKUP($A12,[0]!Data,306,FALSE)</f>
        <v>67620</v>
      </c>
      <c r="N12" s="324">
        <f>VLOOKUP($A12,[0]!Data,307,FALSE)</f>
        <v>68360</v>
      </c>
    </row>
    <row r="13" spans="1:14" x14ac:dyDescent="0.25">
      <c r="A13" s="36" t="s">
        <v>497</v>
      </c>
      <c r="B13" s="36" t="s">
        <v>1511</v>
      </c>
      <c r="C13" s="322">
        <f>VLOOKUP($A13,[0]!Data,255,FALSE)</f>
        <v>45659</v>
      </c>
      <c r="D13" s="322">
        <f>VLOOKUP($A13,[0]!Data,256,FALSE)</f>
        <v>17262</v>
      </c>
      <c r="E13" s="322">
        <f>VLOOKUP($A13,[0]!Data,257,FALSE)</f>
        <v>62921</v>
      </c>
      <c r="F13" s="212">
        <f>E13/'Table 1'!D13</f>
        <v>0.70109307274894983</v>
      </c>
      <c r="G13" s="322">
        <f>VLOOKUP($A13,[0]!Data,259,FALSE)</f>
        <v>127855</v>
      </c>
      <c r="H13" s="441">
        <f>G13/'Table 1'!D13</f>
        <v>1.4246158645971454</v>
      </c>
      <c r="I13" s="322">
        <f>VLOOKUP($A13,[0]!Data,300,FALSE)</f>
        <v>25688</v>
      </c>
      <c r="J13" s="441">
        <f>I13/'Table 1'!D13</f>
        <v>0.28622683766588297</v>
      </c>
      <c r="K13" s="322">
        <f>VLOOKUP($A13,[0]!Data,301,FALSE)</f>
        <v>7644</v>
      </c>
      <c r="L13" s="322">
        <f>VLOOKUP($A13,[0]!Data,302,FALSE)</f>
        <v>2340</v>
      </c>
      <c r="M13" s="322">
        <f>VLOOKUP($A13,[0]!Data,306,FALSE)</f>
        <v>103</v>
      </c>
      <c r="N13" s="324">
        <f>VLOOKUP($A13,[0]!Data,307,FALSE)</f>
        <v>355</v>
      </c>
    </row>
    <row r="14" spans="1:14" x14ac:dyDescent="0.25">
      <c r="A14" s="36" t="s">
        <v>509</v>
      </c>
      <c r="B14" s="36" t="s">
        <v>1512</v>
      </c>
      <c r="C14" s="322">
        <f>VLOOKUP($A14,[0]!Data,255,FALSE)</f>
        <v>58307</v>
      </c>
      <c r="D14" s="322">
        <f>VLOOKUP($A14,[0]!Data,256,FALSE)</f>
        <v>14720</v>
      </c>
      <c r="E14" s="322">
        <f>VLOOKUP($A14,[0]!Data,257,FALSE)</f>
        <v>73027</v>
      </c>
      <c r="F14" s="212">
        <f>E14/'Table 1'!D14</f>
        <v>0.36392857676801404</v>
      </c>
      <c r="G14" s="322">
        <f>VLOOKUP($A14,[0]!Data,259,FALSE)</f>
        <v>440041</v>
      </c>
      <c r="H14" s="441">
        <f>G14/'Table 1'!D14</f>
        <v>2.1929354190857309</v>
      </c>
      <c r="I14" s="322">
        <f>VLOOKUP($A14,[0]!Data,300,FALSE)</f>
        <v>77891</v>
      </c>
      <c r="J14" s="441">
        <f>I14/'Table 1'!D14</f>
        <v>0.38816822234293319</v>
      </c>
      <c r="K14" s="322">
        <f>VLOOKUP($A14,[0]!Data,301,FALSE)</f>
        <v>30863</v>
      </c>
      <c r="L14" s="322">
        <f>VLOOKUP($A14,[0]!Data,302,FALSE)</f>
        <v>4905</v>
      </c>
      <c r="M14" s="322">
        <f>VLOOKUP($A14,[0]!Data,306,FALSE)</f>
        <v>357</v>
      </c>
      <c r="N14" s="324">
        <f>VLOOKUP($A14,[0]!Data,307,FALSE)</f>
        <v>341</v>
      </c>
    </row>
    <row r="15" spans="1:14" x14ac:dyDescent="0.25">
      <c r="A15" s="36" t="s">
        <v>521</v>
      </c>
      <c r="B15" s="36" t="s">
        <v>1513</v>
      </c>
      <c r="C15" s="322">
        <f>VLOOKUP($A15,[0]!Data,255,FALSE)</f>
        <v>31892</v>
      </c>
      <c r="D15" s="322">
        <f>VLOOKUP($A15,[0]!Data,256,FALSE)</f>
        <v>8190</v>
      </c>
      <c r="E15" s="322">
        <f>VLOOKUP($A15,[0]!Data,257,FALSE)</f>
        <v>40082</v>
      </c>
      <c r="F15" s="212">
        <f>E15/'Table 1'!D15</f>
        <v>0.48424588024935966</v>
      </c>
      <c r="G15" s="322">
        <f>VLOOKUP($A15,[0]!Data,259,FALSE)</f>
        <v>297928</v>
      </c>
      <c r="H15" s="441">
        <f>G15/'Table 1'!D15</f>
        <v>3.5993814333349441</v>
      </c>
      <c r="I15" s="322">
        <f>VLOOKUP($A15,[0]!Data,300,FALSE)</f>
        <v>50856</v>
      </c>
      <c r="J15" s="441">
        <f>I15/'Table 1'!D15</f>
        <v>0.6144106702749722</v>
      </c>
      <c r="K15" s="322">
        <f>VLOOKUP($A15,[0]!Data,301,FALSE)</f>
        <v>10140</v>
      </c>
      <c r="L15" s="322">
        <f>VLOOKUP($A15,[0]!Data,302,FALSE)</f>
        <v>780</v>
      </c>
      <c r="M15" s="322">
        <f>VLOOKUP($A15,[0]!Data,306,FALSE)</f>
        <v>15592</v>
      </c>
      <c r="N15" s="324">
        <f>VLOOKUP($A15,[0]!Data,307,FALSE)</f>
        <v>15659</v>
      </c>
    </row>
    <row r="16" spans="1:14" x14ac:dyDescent="0.25">
      <c r="A16" s="36" t="s">
        <v>531</v>
      </c>
      <c r="B16" s="36" t="s">
        <v>1514</v>
      </c>
      <c r="C16" s="322">
        <f>VLOOKUP($A16,[0]!Data,255,FALSE)</f>
        <v>8183</v>
      </c>
      <c r="D16" s="322">
        <f>VLOOKUP($A16,[0]!Data,256,FALSE)</f>
        <v>2738</v>
      </c>
      <c r="E16" s="322">
        <f>VLOOKUP($A16,[0]!Data,257,FALSE)</f>
        <v>10921</v>
      </c>
      <c r="F16" s="212">
        <f>E16/'Table 1'!D16</f>
        <v>0.46101566127738614</v>
      </c>
      <c r="G16" s="322">
        <f>VLOOKUP($A16,[0]!Data,259,FALSE)</f>
        <v>76884</v>
      </c>
      <c r="H16" s="441">
        <f>G16/'Table 1'!D16</f>
        <v>3.2455570095825066</v>
      </c>
      <c r="I16" s="322">
        <f>VLOOKUP($A16,[0]!Data,300,FALSE)</f>
        <v>8539</v>
      </c>
      <c r="J16" s="441">
        <f>I16/'Table 1'!D16</f>
        <v>0.36046266199501881</v>
      </c>
      <c r="K16" s="322">
        <f>VLOOKUP($A16,[0]!Data,301,FALSE)</f>
        <v>5836</v>
      </c>
      <c r="L16" s="322">
        <f>VLOOKUP($A16,[0]!Data,302,FALSE)</f>
        <v>924</v>
      </c>
      <c r="M16" s="322">
        <f>VLOOKUP($A16,[0]!Data,306,FALSE)</f>
        <v>3823</v>
      </c>
      <c r="N16" s="324">
        <f>VLOOKUP($A16,[0]!Data,307,FALSE)</f>
        <v>3822</v>
      </c>
    </row>
    <row r="17" spans="1:14" x14ac:dyDescent="0.25">
      <c r="A17" s="36" t="s">
        <v>544</v>
      </c>
      <c r="B17" s="36" t="s">
        <v>1515</v>
      </c>
      <c r="C17" s="322">
        <f>VLOOKUP($A17,[0]!Data,255,FALSE)</f>
        <v>69521</v>
      </c>
      <c r="D17" s="322">
        <f>VLOOKUP($A17,[0]!Data,256,FALSE)</f>
        <v>14672</v>
      </c>
      <c r="E17" s="322">
        <f>VLOOKUP($A17,[0]!Data,257,FALSE)</f>
        <v>84193</v>
      </c>
      <c r="F17" s="212">
        <f>E17/'Table 1'!D17</f>
        <v>0.7251266062631343</v>
      </c>
      <c r="G17" s="322">
        <f>VLOOKUP($A17,[0]!Data,259,FALSE)</f>
        <v>408275</v>
      </c>
      <c r="H17" s="441">
        <f>G17/'Table 1'!D17</f>
        <v>3.5163382368140006</v>
      </c>
      <c r="I17" s="322">
        <f>VLOOKUP($A17,[0]!Data,300,FALSE)</f>
        <v>30805</v>
      </c>
      <c r="J17" s="441">
        <f>I17/'Table 1'!D17</f>
        <v>0.26531332896958004</v>
      </c>
      <c r="K17" s="322">
        <f>VLOOKUP($A17,[0]!Data,301,FALSE)</f>
        <v>23210</v>
      </c>
      <c r="L17" s="322">
        <f>VLOOKUP($A17,[0]!Data,302,FALSE)</f>
        <v>4309</v>
      </c>
      <c r="M17" s="322">
        <f>VLOOKUP($A17,[0]!Data,306,FALSE)</f>
        <v>0</v>
      </c>
      <c r="N17" s="324">
        <f>VLOOKUP($A17,[0]!Data,307,FALSE)</f>
        <v>129</v>
      </c>
    </row>
    <row r="18" spans="1:14" x14ac:dyDescent="0.25">
      <c r="A18" s="36" t="s">
        <v>590</v>
      </c>
      <c r="B18" s="36" t="s">
        <v>1516</v>
      </c>
      <c r="C18" s="322">
        <f>VLOOKUP($A18,[0]!Data,255,FALSE)</f>
        <v>30845</v>
      </c>
      <c r="D18" s="322">
        <f>VLOOKUP($A18,[0]!Data,256,FALSE)</f>
        <v>4968</v>
      </c>
      <c r="E18" s="322">
        <f>VLOOKUP($A18,[0]!Data,257,FALSE)</f>
        <v>35813</v>
      </c>
      <c r="F18" s="212">
        <f>E18/'Table 1'!D18</f>
        <v>0.48867450809158641</v>
      </c>
      <c r="G18" s="322">
        <f>VLOOKUP($A18,[0]!Data,259,FALSE)</f>
        <v>180771</v>
      </c>
      <c r="H18" s="441">
        <f>G18/'Table 1'!D18</f>
        <v>2.466651202139563</v>
      </c>
      <c r="I18" s="322">
        <f>VLOOKUP($A18,[0]!Data,300,FALSE)</f>
        <v>19855</v>
      </c>
      <c r="J18" s="441">
        <f>I18/'Table 1'!D18</f>
        <v>0.27092486968861718</v>
      </c>
      <c r="K18" s="322">
        <f>VLOOKUP($A18,[0]!Data,301,FALSE)</f>
        <v>23466</v>
      </c>
      <c r="L18" s="322">
        <f>VLOOKUP($A18,[0]!Data,302,FALSE)</f>
        <v>913</v>
      </c>
      <c r="M18" s="322">
        <f>VLOOKUP($A18,[0]!Data,306,FALSE)</f>
        <v>2</v>
      </c>
      <c r="N18" s="324">
        <f>VLOOKUP($A18,[0]!Data,307,FALSE)</f>
        <v>253</v>
      </c>
    </row>
    <row r="19" spans="1:14" x14ac:dyDescent="0.25">
      <c r="A19" s="36" t="s">
        <v>604</v>
      </c>
      <c r="B19" s="36" t="s">
        <v>1517</v>
      </c>
      <c r="C19" s="322">
        <f>VLOOKUP($A19,[0]!Data,255,FALSE)</f>
        <v>36641</v>
      </c>
      <c r="D19" s="322">
        <f>VLOOKUP($A19,[0]!Data,256,FALSE)</f>
        <v>0</v>
      </c>
      <c r="E19" s="322">
        <f>VLOOKUP($A19,[0]!Data,257,FALSE)</f>
        <v>36641</v>
      </c>
      <c r="F19" s="212">
        <f>E19/'Table 1'!D19</f>
        <v>0.41355063712599183</v>
      </c>
      <c r="G19" s="322">
        <f>VLOOKUP($A19,[0]!Data,259,FALSE)</f>
        <v>162689</v>
      </c>
      <c r="H19" s="441">
        <f>G19/'Table 1'!D19</f>
        <v>1.8361982370402139</v>
      </c>
      <c r="I19" s="322">
        <f>VLOOKUP($A19,[0]!Data,300,FALSE)</f>
        <v>48998</v>
      </c>
      <c r="J19" s="441">
        <f>I19/'Table 1'!D19</f>
        <v>0.55301858895497791</v>
      </c>
      <c r="K19" s="322">
        <f>VLOOKUP($A19,[0]!Data,301,FALSE)</f>
        <v>34654</v>
      </c>
      <c r="L19" s="322">
        <f>VLOOKUP($A19,[0]!Data,302,FALSE)</f>
        <v>14344</v>
      </c>
      <c r="M19" s="322">
        <f>VLOOKUP($A19,[0]!Data,306,FALSE)</f>
        <v>13963</v>
      </c>
      <c r="N19" s="324">
        <f>VLOOKUP($A19,[0]!Data,307,FALSE)</f>
        <v>14399</v>
      </c>
    </row>
    <row r="20" spans="1:14" x14ac:dyDescent="0.25">
      <c r="A20" s="36" t="s">
        <v>617</v>
      </c>
      <c r="B20" s="36" t="s">
        <v>1518</v>
      </c>
      <c r="C20" s="322">
        <f>VLOOKUP($A20,[0]!Data,255,FALSE)</f>
        <v>29868</v>
      </c>
      <c r="D20" s="322">
        <f>VLOOKUP($A20,[0]!Data,256,FALSE)</f>
        <v>0</v>
      </c>
      <c r="E20" s="322">
        <f>VLOOKUP($A20,[0]!Data,257,FALSE)</f>
        <v>29868</v>
      </c>
      <c r="F20" s="212">
        <f>E20/'Table 1'!D20</f>
        <v>0.52233220244132772</v>
      </c>
      <c r="G20" s="322">
        <f>VLOOKUP($A20,[0]!Data,259,FALSE)</f>
        <v>98644</v>
      </c>
      <c r="H20" s="441">
        <f>G20/'Table 1'!D20</f>
        <v>1.7250883145045643</v>
      </c>
      <c r="I20" s="322">
        <f>VLOOKUP($A20,[0]!Data,300,FALSE)</f>
        <v>43078</v>
      </c>
      <c r="J20" s="441">
        <f>I20/'Table 1'!D20</f>
        <v>0.75334895596516382</v>
      </c>
      <c r="K20" s="322">
        <f>VLOOKUP($A20,[0]!Data,301,FALSE)</f>
        <v>12851</v>
      </c>
      <c r="L20" s="322">
        <f>VLOOKUP($A20,[0]!Data,302,FALSE)</f>
        <v>3212</v>
      </c>
      <c r="M20" s="322">
        <f>VLOOKUP($A20,[0]!Data,306,FALSE)</f>
        <v>1</v>
      </c>
      <c r="N20" s="324">
        <f>VLOOKUP($A20,[0]!Data,307,FALSE)</f>
        <v>13</v>
      </c>
    </row>
    <row r="21" spans="1:14" x14ac:dyDescent="0.25">
      <c r="A21" s="36" t="s">
        <v>645</v>
      </c>
      <c r="B21" s="36" t="s">
        <v>1519</v>
      </c>
      <c r="C21" s="322">
        <f>VLOOKUP($A21,[0]!Data,255,FALSE)</f>
        <v>179165</v>
      </c>
      <c r="D21" s="322">
        <f>VLOOKUP($A21,[0]!Data,256,FALSE)</f>
        <v>27429</v>
      </c>
      <c r="E21" s="322">
        <f>VLOOKUP($A21,[0]!Data,257,FALSE)</f>
        <v>206594</v>
      </c>
      <c r="F21" s="212">
        <f>E21/'Table 1'!D21</f>
        <v>0.62637649170466669</v>
      </c>
      <c r="G21" s="322">
        <f>VLOOKUP($A21,[0]!Data,259,FALSE)</f>
        <v>1262216</v>
      </c>
      <c r="H21" s="441">
        <f>G21/'Table 1'!D21</f>
        <v>3.826938003298729</v>
      </c>
      <c r="I21" s="322">
        <f>VLOOKUP($A21,[0]!Data,300,FALSE)</f>
        <v>236732</v>
      </c>
      <c r="J21" s="441">
        <f>I21/'Table 1'!D21</f>
        <v>0.71775249830212473</v>
      </c>
      <c r="K21" s="322">
        <f>VLOOKUP($A21,[0]!Data,301,FALSE)</f>
        <v>110738</v>
      </c>
      <c r="L21" s="322">
        <f>VLOOKUP($A21,[0]!Data,302,FALSE)</f>
        <v>7147</v>
      </c>
      <c r="M21" s="322">
        <f>VLOOKUP($A21,[0]!Data,306,FALSE)</f>
        <v>36302</v>
      </c>
      <c r="N21" s="324">
        <f>VLOOKUP($A21,[0]!Data,307,FALSE)</f>
        <v>28814</v>
      </c>
    </row>
    <row r="22" spans="1:14" x14ac:dyDescent="0.25">
      <c r="A22" s="36" t="s">
        <v>658</v>
      </c>
      <c r="B22" s="36" t="s">
        <v>1520</v>
      </c>
      <c r="C22" s="322">
        <f>VLOOKUP($A22,[0]!Data,255,FALSE)</f>
        <v>69759</v>
      </c>
      <c r="D22" s="322">
        <f>VLOOKUP($A22,[0]!Data,256,FALSE)</f>
        <v>32389</v>
      </c>
      <c r="E22" s="322">
        <f>VLOOKUP($A22,[0]!Data,257,FALSE)</f>
        <v>102148</v>
      </c>
      <c r="F22" s="212">
        <f>E22/'Table 1'!D22</f>
        <v>0.63791466826538767</v>
      </c>
      <c r="G22" s="322">
        <f>VLOOKUP($A22,[0]!Data,259,FALSE)</f>
        <v>516959</v>
      </c>
      <c r="H22" s="441">
        <f>G22/'Table 1'!D22</f>
        <v>3.2284110211830535</v>
      </c>
      <c r="I22" s="322">
        <f>VLOOKUP($A22,[0]!Data,300,FALSE)</f>
        <v>101198</v>
      </c>
      <c r="J22" s="441">
        <f>I22/'Table 1'!D22</f>
        <v>0.63198191446842522</v>
      </c>
      <c r="K22" s="322">
        <f>VLOOKUP($A22,[0]!Data,301,FALSE)</f>
        <v>95737</v>
      </c>
      <c r="L22" s="322">
        <f>VLOOKUP($A22,[0]!Data,302,FALSE)</f>
        <v>5461</v>
      </c>
      <c r="M22" s="322">
        <f>VLOOKUP($A22,[0]!Data,306,FALSE)</f>
        <v>32971</v>
      </c>
      <c r="N22" s="324">
        <f>VLOOKUP($A22,[0]!Data,307,FALSE)</f>
        <v>33201</v>
      </c>
    </row>
    <row r="23" spans="1:14" x14ac:dyDescent="0.25">
      <c r="A23" s="36" t="s">
        <v>674</v>
      </c>
      <c r="B23" s="36" t="s">
        <v>1521</v>
      </c>
      <c r="C23" s="322">
        <f>VLOOKUP($A23,[0]!Data,255,FALSE)</f>
        <v>16050</v>
      </c>
      <c r="D23" s="322">
        <f>VLOOKUP($A23,[0]!Data,256,FALSE)</f>
        <v>5459</v>
      </c>
      <c r="E23" s="322">
        <f>VLOOKUP($A23,[0]!Data,257,FALSE)</f>
        <v>21509</v>
      </c>
      <c r="F23" s="212">
        <f>E23/'Table 1'!D23</f>
        <v>0.50955911966075196</v>
      </c>
      <c r="G23" s="322">
        <f>VLOOKUP($A23,[0]!Data,259,FALSE)</f>
        <v>60961</v>
      </c>
      <c r="H23" s="441">
        <f>G23/'Table 1'!D23</f>
        <v>1.4441970102579895</v>
      </c>
      <c r="I23" s="322">
        <f>VLOOKUP($A23,[0]!Data,300,FALSE)</f>
        <v>3981</v>
      </c>
      <c r="J23" s="441">
        <f>I23/'Table 1'!D23</f>
        <v>9.4311909217976359E-2</v>
      </c>
      <c r="K23" s="322">
        <f>VLOOKUP($A23,[0]!Data,301,FALSE)</f>
        <v>1563</v>
      </c>
      <c r="L23" s="322">
        <f>VLOOKUP($A23,[0]!Data,302,FALSE)</f>
        <v>327</v>
      </c>
      <c r="M23" s="322">
        <f>VLOOKUP($A23,[0]!Data,306,FALSE)</f>
        <v>6682</v>
      </c>
      <c r="N23" s="324">
        <f>VLOOKUP($A23,[0]!Data,307,FALSE)</f>
        <v>6320</v>
      </c>
    </row>
    <row r="24" spans="1:14" x14ac:dyDescent="0.25">
      <c r="A24" s="36" t="s">
        <v>686</v>
      </c>
      <c r="B24" s="36" t="s">
        <v>1522</v>
      </c>
      <c r="C24" s="322">
        <f>VLOOKUP($A24,[0]!Data,255,FALSE)</f>
        <v>3481</v>
      </c>
      <c r="D24" s="322">
        <f>VLOOKUP($A24,[0]!Data,256,FALSE)</f>
        <v>1177</v>
      </c>
      <c r="E24" s="322">
        <f>VLOOKUP($A24,[0]!Data,257,FALSE)</f>
        <v>4658</v>
      </c>
      <c r="F24" s="212">
        <f>E24/'Table 1'!D24</f>
        <v>7.815829655855161E-2</v>
      </c>
      <c r="G24" s="322">
        <f>VLOOKUP($A24,[0]!Data,259,FALSE)</f>
        <v>36864</v>
      </c>
      <c r="H24" s="441">
        <f>G24/'Table 1'!D24</f>
        <v>0.61855462523281368</v>
      </c>
      <c r="I24" s="322">
        <f>VLOOKUP($A24,[0]!Data,300,FALSE)</f>
        <v>5268</v>
      </c>
      <c r="J24" s="441">
        <f>I24/'Table 1'!D24</f>
        <v>8.8393711092840249E-2</v>
      </c>
      <c r="K24" s="322">
        <f>VLOOKUP($A24,[0]!Data,301,FALSE)</f>
        <v>2208</v>
      </c>
      <c r="L24" s="322">
        <f>VLOOKUP($A24,[0]!Data,302,FALSE)</f>
        <v>234</v>
      </c>
      <c r="M24" s="322">
        <f>VLOOKUP($A24,[0]!Data,306,FALSE)</f>
        <v>10</v>
      </c>
      <c r="N24" s="324">
        <f>VLOOKUP($A24,[0]!Data,307,FALSE)</f>
        <v>267</v>
      </c>
    </row>
    <row r="25" spans="1:14" x14ac:dyDescent="0.25">
      <c r="A25" s="36" t="s">
        <v>699</v>
      </c>
      <c r="B25" s="36" t="s">
        <v>1523</v>
      </c>
      <c r="C25" s="322">
        <f>VLOOKUP($A25,[0]!Data,255,FALSE)</f>
        <v>162784</v>
      </c>
      <c r="D25" s="322">
        <f>VLOOKUP($A25,[0]!Data,256,FALSE)</f>
        <v>53645</v>
      </c>
      <c r="E25" s="322">
        <f>VLOOKUP($A25,[0]!Data,257,FALSE)</f>
        <v>216429</v>
      </c>
      <c r="F25" s="212">
        <f>E25/'Table 1'!D25</f>
        <v>0.72539549537471515</v>
      </c>
      <c r="G25" s="322">
        <f>VLOOKUP($A25,[0]!Data,259,FALSE)</f>
        <v>1106403</v>
      </c>
      <c r="H25" s="441">
        <f>G25/'Table 1'!D25</f>
        <v>3.708281941278992</v>
      </c>
      <c r="I25" s="322">
        <f>VLOOKUP($A25,[0]!Data,300,FALSE)</f>
        <v>178152</v>
      </c>
      <c r="J25" s="441">
        <f>I25/'Table 1'!D25</f>
        <v>0.59710416945971312</v>
      </c>
      <c r="K25" s="322">
        <f>VLOOKUP($A25,[0]!Data,301,FALSE)</f>
        <v>82732</v>
      </c>
      <c r="L25" s="322">
        <f>VLOOKUP($A25,[0]!Data,302,FALSE)</f>
        <v>121732</v>
      </c>
      <c r="M25" s="322">
        <f>VLOOKUP($A25,[0]!Data,306,FALSE)</f>
        <v>1141</v>
      </c>
      <c r="N25" s="324">
        <f>VLOOKUP($A25,[0]!Data,307,FALSE)</f>
        <v>2524</v>
      </c>
    </row>
    <row r="26" spans="1:14" x14ac:dyDescent="0.25">
      <c r="A26" s="36" t="s">
        <v>729</v>
      </c>
      <c r="B26" s="36" t="s">
        <v>1524</v>
      </c>
      <c r="C26" s="322">
        <f>VLOOKUP($A26,[0]!Data,255,FALSE)</f>
        <v>12895</v>
      </c>
      <c r="D26" s="322">
        <f>VLOOKUP($A26,[0]!Data,256,FALSE)</f>
        <v>3975</v>
      </c>
      <c r="E26" s="322">
        <f>VLOOKUP($A26,[0]!Data,257,FALSE)</f>
        <v>16870</v>
      </c>
      <c r="F26" s="212">
        <f>E26/'Table 1'!D26</f>
        <v>0.31531531531531531</v>
      </c>
      <c r="G26" s="322">
        <f>VLOOKUP($A26,[0]!Data,259,FALSE)</f>
        <v>133051</v>
      </c>
      <c r="H26" s="441">
        <f>G26/'Table 1'!D26</f>
        <v>2.4868416133976301</v>
      </c>
      <c r="I26" s="322">
        <f>VLOOKUP($A26,[0]!Data,300,FALSE)</f>
        <v>6808</v>
      </c>
      <c r="J26" s="441">
        <f>I26/'Table 1'!D26</f>
        <v>0.1272475795297372</v>
      </c>
      <c r="K26" s="322">
        <f>VLOOKUP($A26,[0]!Data,301,FALSE)</f>
        <v>4360</v>
      </c>
      <c r="L26" s="322">
        <f>VLOOKUP($A26,[0]!Data,302,FALSE)</f>
        <v>705</v>
      </c>
      <c r="M26" s="322">
        <f>VLOOKUP($A26,[0]!Data,306,FALSE)</f>
        <v>41</v>
      </c>
      <c r="N26" s="324">
        <f>VLOOKUP($A26,[0]!Data,307,FALSE)</f>
        <v>30</v>
      </c>
    </row>
    <row r="27" spans="1:14" x14ac:dyDescent="0.25">
      <c r="A27" s="36" t="s">
        <v>774</v>
      </c>
      <c r="B27" s="36" t="s">
        <v>1525</v>
      </c>
      <c r="C27" s="322">
        <f>VLOOKUP($A27,[0]!Data,255,FALSE)</f>
        <v>146991</v>
      </c>
      <c r="D27" s="322">
        <f>VLOOKUP($A27,[0]!Data,256,FALSE)</f>
        <v>38538</v>
      </c>
      <c r="E27" s="322">
        <f>VLOOKUP($A27,[0]!Data,257,FALSE)</f>
        <v>185529</v>
      </c>
      <c r="F27" s="212">
        <f>E27/'Table 1'!D27</f>
        <v>0.50263469452444098</v>
      </c>
      <c r="G27" s="322">
        <f>VLOOKUP($A27,[0]!Data,259,FALSE)</f>
        <v>1051020</v>
      </c>
      <c r="H27" s="441">
        <f>G27/'Table 1'!D27</f>
        <v>2.8474207085635022</v>
      </c>
      <c r="I27" s="322">
        <f>VLOOKUP($A27,[0]!Data,300,FALSE)</f>
        <v>317518</v>
      </c>
      <c r="J27" s="441">
        <f>I27/'Table 1'!D27</f>
        <v>0.8602189573382677</v>
      </c>
      <c r="K27" s="322">
        <f>VLOOKUP($A27,[0]!Data,301,FALSE)</f>
        <v>89117</v>
      </c>
      <c r="L27" s="322">
        <f>VLOOKUP($A27,[0]!Data,302,FALSE)</f>
        <v>17765</v>
      </c>
      <c r="M27" s="322">
        <f>VLOOKUP($A27,[0]!Data,306,FALSE)</f>
        <v>418</v>
      </c>
      <c r="N27" s="324">
        <f>VLOOKUP($A27,[0]!Data,307,FALSE)</f>
        <v>855</v>
      </c>
    </row>
    <row r="28" spans="1:14" x14ac:dyDescent="0.25">
      <c r="A28" s="36" t="s">
        <v>788</v>
      </c>
      <c r="B28" s="36" t="s">
        <v>1526</v>
      </c>
      <c r="C28" s="322">
        <f>VLOOKUP($A28,[0]!Data,255,FALSE)</f>
        <v>25258</v>
      </c>
      <c r="D28" s="322">
        <f>VLOOKUP($A28,[0]!Data,256,FALSE)</f>
        <v>8927</v>
      </c>
      <c r="E28" s="322">
        <f>VLOOKUP($A28,[0]!Data,257,FALSE)</f>
        <v>34185</v>
      </c>
      <c r="F28" s="212">
        <f>E28/'Table 1'!D28</f>
        <v>0.52234700893880359</v>
      </c>
      <c r="G28" s="322">
        <f>VLOOKUP($A28,[0]!Data,259,FALSE)</f>
        <v>213050</v>
      </c>
      <c r="H28" s="441">
        <f>G28/'Table 1'!D28</f>
        <v>3.2554053021621208</v>
      </c>
      <c r="I28" s="322">
        <f>VLOOKUP($A28,[0]!Data,300,FALSE)</f>
        <v>12240</v>
      </c>
      <c r="J28" s="441">
        <f>I28/'Table 1'!D28</f>
        <v>0.18702727481090992</v>
      </c>
      <c r="K28" s="322">
        <f>VLOOKUP($A28,[0]!Data,301,FALSE)</f>
        <v>5600</v>
      </c>
      <c r="L28" s="322">
        <f>VLOOKUP($A28,[0]!Data,302,FALSE)</f>
        <v>2150</v>
      </c>
      <c r="M28" s="322">
        <f>VLOOKUP($A28,[0]!Data,306,FALSE)</f>
        <v>10484</v>
      </c>
      <c r="N28" s="324">
        <f>VLOOKUP($A28,[0]!Data,307,FALSE)</f>
        <v>10338</v>
      </c>
    </row>
    <row r="29" spans="1:14" x14ac:dyDescent="0.25">
      <c r="A29" s="36" t="s">
        <v>802</v>
      </c>
      <c r="B29" s="36" t="s">
        <v>817</v>
      </c>
      <c r="C29" s="322">
        <f>VLOOKUP($A29,[0]!Data,255,FALSE)</f>
        <v>73389</v>
      </c>
      <c r="D29" s="322">
        <f>VLOOKUP($A29,[0]!Data,256,FALSE)</f>
        <v>22700</v>
      </c>
      <c r="E29" s="322">
        <f>VLOOKUP($A29,[0]!Data,257,FALSE)</f>
        <v>96089</v>
      </c>
      <c r="F29" s="212">
        <f>E29/'Table 1'!D29</f>
        <v>0.44814913274848073</v>
      </c>
      <c r="G29" s="322">
        <f>VLOOKUP($A29,[0]!Data,259,FALSE)</f>
        <v>530498</v>
      </c>
      <c r="H29" s="441">
        <f>G29/'Table 1'!D29</f>
        <v>2.4741876658598128</v>
      </c>
      <c r="I29" s="322">
        <f>VLOOKUP($A29,[0]!Data,300,FALSE)</f>
        <v>126932</v>
      </c>
      <c r="J29" s="441">
        <f>I29/'Table 1'!D29</f>
        <v>0.59199768670742914</v>
      </c>
      <c r="K29" s="322">
        <f>VLOOKUP($A29,[0]!Data,301,FALSE)</f>
        <v>50388</v>
      </c>
      <c r="L29" s="322">
        <f>VLOOKUP($A29,[0]!Data,302,FALSE)</f>
        <v>3900</v>
      </c>
      <c r="M29" s="322">
        <f>VLOOKUP($A29,[0]!Data,306,FALSE)</f>
        <v>291</v>
      </c>
      <c r="N29" s="324">
        <f>VLOOKUP($A29,[0]!Data,307,FALSE)</f>
        <v>1543</v>
      </c>
    </row>
    <row r="30" spans="1:14" x14ac:dyDescent="0.25">
      <c r="A30" s="36" t="s">
        <v>828</v>
      </c>
      <c r="B30" s="36" t="s">
        <v>1527</v>
      </c>
      <c r="C30" s="322">
        <f>VLOOKUP($A30,[0]!Data,255,FALSE)</f>
        <v>28905</v>
      </c>
      <c r="D30" s="322">
        <f>VLOOKUP($A30,[0]!Data,256,FALSE)</f>
        <v>11179</v>
      </c>
      <c r="E30" s="322">
        <f>VLOOKUP($A30,[0]!Data,257,FALSE)</f>
        <v>40084</v>
      </c>
      <c r="F30" s="212">
        <f>E30/'Table 1'!D30</f>
        <v>0.67444012585600588</v>
      </c>
      <c r="G30" s="322">
        <f>VLOOKUP($A30,[0]!Data,259,FALSE)</f>
        <v>186749</v>
      </c>
      <c r="H30" s="441">
        <f>G30/'Table 1'!D30</f>
        <v>3.1421769050863997</v>
      </c>
      <c r="I30" s="322">
        <f>VLOOKUP($A30,[0]!Data,300,FALSE)</f>
        <v>23714</v>
      </c>
      <c r="J30" s="441">
        <f>I30/'Table 1'!D30</f>
        <v>0.39900392038093313</v>
      </c>
      <c r="K30" s="322">
        <f>VLOOKUP($A30,[0]!Data,301,FALSE)</f>
        <v>9847</v>
      </c>
      <c r="L30" s="322">
        <f>VLOOKUP($A30,[0]!Data,302,FALSE)</f>
        <v>857</v>
      </c>
      <c r="M30" s="322">
        <f>VLOOKUP($A30,[0]!Data,306,FALSE)</f>
        <v>26</v>
      </c>
      <c r="N30" s="324">
        <f>VLOOKUP($A30,[0]!Data,307,FALSE)</f>
        <v>76</v>
      </c>
    </row>
    <row r="31" spans="1:14" x14ac:dyDescent="0.25">
      <c r="A31" s="36" t="s">
        <v>842</v>
      </c>
      <c r="B31" s="36" t="s">
        <v>1528</v>
      </c>
      <c r="C31" s="322">
        <f>VLOOKUP($A31,[0]!Data,255,FALSE)</f>
        <v>205084</v>
      </c>
      <c r="D31" s="322">
        <f>VLOOKUP($A31,[0]!Data,256,FALSE)</f>
        <v>59586</v>
      </c>
      <c r="E31" s="322">
        <f>VLOOKUP($A31,[0]!Data,257,FALSE)</f>
        <v>264670</v>
      </c>
      <c r="F31" s="212">
        <f>E31/'Table 1'!D31</f>
        <v>0.63617090828678291</v>
      </c>
      <c r="G31" s="322">
        <f>VLOOKUP($A31,[0]!Data,259,FALSE)</f>
        <v>2761627</v>
      </c>
      <c r="H31" s="441">
        <f>G31/'Table 1'!D31</f>
        <v>6.6379520041534867</v>
      </c>
      <c r="I31" s="322">
        <f>VLOOKUP($A31,[0]!Data,300,FALSE)</f>
        <v>339183</v>
      </c>
      <c r="J31" s="441">
        <f>I31/'Table 1'!D31</f>
        <v>0.81527319751175376</v>
      </c>
      <c r="K31" s="322">
        <f>VLOOKUP($A31,[0]!Data,301,FALSE)</f>
        <v>75751</v>
      </c>
      <c r="L31" s="322">
        <f>VLOOKUP($A31,[0]!Data,302,FALSE)</f>
        <v>298</v>
      </c>
      <c r="M31" s="322">
        <f>VLOOKUP($A31,[0]!Data,306,FALSE)</f>
        <v>692</v>
      </c>
      <c r="N31" s="324">
        <f>VLOOKUP($A31,[0]!Data,307,FALSE)</f>
        <v>463</v>
      </c>
    </row>
    <row r="32" spans="1:14" x14ac:dyDescent="0.25">
      <c r="A32" s="36" t="s">
        <v>857</v>
      </c>
      <c r="B32" s="36" t="s">
        <v>1529</v>
      </c>
      <c r="C32" s="322">
        <f>VLOOKUP($A32,[0]!Data,255,FALSE)</f>
        <v>16200</v>
      </c>
      <c r="D32" s="322">
        <f>VLOOKUP($A32,[0]!Data,256,FALSE)</f>
        <v>5265</v>
      </c>
      <c r="E32" s="322">
        <f>VLOOKUP($A32,[0]!Data,257,FALSE)</f>
        <v>21465</v>
      </c>
      <c r="F32" s="212">
        <f>E32/'Table 1'!D32</f>
        <v>0.5792115275641545</v>
      </c>
      <c r="G32" s="322">
        <f>VLOOKUP($A32,[0]!Data,259,FALSE)</f>
        <v>73462</v>
      </c>
      <c r="H32" s="441">
        <f>G32/'Table 1'!D32</f>
        <v>1.9822984969912842</v>
      </c>
      <c r="I32" s="322">
        <f>VLOOKUP($A32,[0]!Data,300,FALSE)</f>
        <v>21193</v>
      </c>
      <c r="J32" s="441">
        <f>I32/'Table 1'!D32</f>
        <v>0.57187187997517475</v>
      </c>
      <c r="K32" s="322">
        <f>VLOOKUP($A32,[0]!Data,301,FALSE)</f>
        <v>11471</v>
      </c>
      <c r="L32" s="322">
        <f>VLOOKUP($A32,[0]!Data,302,FALSE)</f>
        <v>7914</v>
      </c>
      <c r="M32" s="322">
        <f>VLOOKUP($A32,[0]!Data,306,FALSE)</f>
        <v>4</v>
      </c>
      <c r="N32" s="324">
        <f>VLOOKUP($A32,[0]!Data,307,FALSE)</f>
        <v>21</v>
      </c>
    </row>
    <row r="33" spans="1:14" x14ac:dyDescent="0.25">
      <c r="A33" s="36" t="s">
        <v>871</v>
      </c>
      <c r="B33" s="36" t="s">
        <v>1530</v>
      </c>
      <c r="C33" s="322">
        <f>VLOOKUP($A33,[0]!Data,255,FALSE)</f>
        <v>47226</v>
      </c>
      <c r="D33" s="322">
        <f>VLOOKUP($A33,[0]!Data,256,FALSE)</f>
        <v>11007</v>
      </c>
      <c r="E33" s="322">
        <f>VLOOKUP($A33,[0]!Data,257,FALSE)</f>
        <v>58233</v>
      </c>
      <c r="F33" s="212">
        <f>E33/'Table 1'!D33</f>
        <v>0.45217924726089626</v>
      </c>
      <c r="G33" s="322">
        <f>VLOOKUP($A33,[0]!Data,259,FALSE)</f>
        <v>241213</v>
      </c>
      <c r="H33" s="441">
        <f>G33/'Table 1'!D33</f>
        <v>1.8730189543650948</v>
      </c>
      <c r="I33" s="322">
        <f>VLOOKUP($A33,[0]!Data,300,FALSE)</f>
        <v>8123</v>
      </c>
      <c r="J33" s="441">
        <f>I33/'Table 1'!D33</f>
        <v>6.3075095315375473E-2</v>
      </c>
      <c r="K33" s="322">
        <f>VLOOKUP($A33,[0]!Data,301,FALSE)</f>
        <v>4299</v>
      </c>
      <c r="L33" s="322">
        <f>VLOOKUP($A33,[0]!Data,302,FALSE)</f>
        <v>2567</v>
      </c>
      <c r="M33" s="322">
        <f>VLOOKUP($A33,[0]!Data,306,FALSE)</f>
        <v>18273</v>
      </c>
      <c r="N33" s="324">
        <f>VLOOKUP($A33,[0]!Data,307,FALSE)</f>
        <v>18554</v>
      </c>
    </row>
    <row r="34" spans="1:14" x14ac:dyDescent="0.25">
      <c r="A34" s="36" t="s">
        <v>893</v>
      </c>
      <c r="B34" s="36" t="s">
        <v>1531</v>
      </c>
      <c r="C34" s="322">
        <f>VLOOKUP($A34,[0]!Data,255,FALSE)</f>
        <v>31946</v>
      </c>
      <c r="D34" s="322">
        <f>VLOOKUP($A34,[0]!Data,256,FALSE)</f>
        <v>5756</v>
      </c>
      <c r="E34" s="322">
        <f>VLOOKUP($A34,[0]!Data,257,FALSE)</f>
        <v>37702</v>
      </c>
      <c r="F34" s="212">
        <f>E34/'Table 1'!D34</f>
        <v>0.61035113564617705</v>
      </c>
      <c r="G34" s="322">
        <f>VLOOKUP($A34,[0]!Data,259,FALSE)</f>
        <v>273820</v>
      </c>
      <c r="H34" s="441">
        <f>G34/'Table 1'!D34</f>
        <v>4.4328244645545647</v>
      </c>
      <c r="I34" s="322">
        <f>VLOOKUP($A34,[0]!Data,300,FALSE)</f>
        <v>892</v>
      </c>
      <c r="J34" s="441">
        <f>I34/'Table 1'!D34</f>
        <v>1.444043321299639E-2</v>
      </c>
      <c r="K34" s="322">
        <f>VLOOKUP($A34,[0]!Data,301,FALSE)</f>
        <v>840</v>
      </c>
      <c r="L34" s="322">
        <f>VLOOKUP($A34,[0]!Data,302,FALSE)</f>
        <v>52</v>
      </c>
      <c r="M34" s="322">
        <f>VLOOKUP($A34,[0]!Data,306,FALSE)</f>
        <v>24481</v>
      </c>
      <c r="N34" s="324">
        <f>VLOOKUP($A34,[0]!Data,307,FALSE)</f>
        <v>24694</v>
      </c>
    </row>
    <row r="35" spans="1:14" x14ac:dyDescent="0.25">
      <c r="A35" s="36" t="s">
        <v>905</v>
      </c>
      <c r="B35" s="36" t="s">
        <v>1532</v>
      </c>
      <c r="C35" s="322">
        <f>VLOOKUP($A35,[0]!Data,255,FALSE)</f>
        <v>58161</v>
      </c>
      <c r="D35" s="322">
        <f>VLOOKUP($A35,[0]!Data,256,FALSE)</f>
        <v>11453</v>
      </c>
      <c r="E35" s="322">
        <f>VLOOKUP($A35,[0]!Data,257,FALSE)</f>
        <v>69614</v>
      </c>
      <c r="F35" s="212">
        <f>E35/'Table 1'!D35</f>
        <v>0.60859378415001963</v>
      </c>
      <c r="G35" s="322">
        <f>VLOOKUP($A35,[0]!Data,259,FALSE)</f>
        <v>562206</v>
      </c>
      <c r="H35" s="441">
        <f>G35/'Table 1'!D35</f>
        <v>4.9150325654587581</v>
      </c>
      <c r="I35" s="322">
        <f>VLOOKUP($A35,[0]!Data,300,FALSE)</f>
        <v>131262</v>
      </c>
      <c r="J35" s="441">
        <f>I35/'Table 1'!D35</f>
        <v>1.1475455697862482</v>
      </c>
      <c r="K35" s="322">
        <f>VLOOKUP($A35,[0]!Data,301,FALSE)</f>
        <v>23110</v>
      </c>
      <c r="L35" s="322">
        <f>VLOOKUP($A35,[0]!Data,302,FALSE)</f>
        <v>2472</v>
      </c>
      <c r="M35" s="322">
        <f>VLOOKUP($A35,[0]!Data,306,FALSE)</f>
        <v>419</v>
      </c>
      <c r="N35" s="324">
        <f>VLOOKUP($A35,[0]!Data,307,FALSE)</f>
        <v>414</v>
      </c>
    </row>
    <row r="36" spans="1:14" x14ac:dyDescent="0.25">
      <c r="A36" s="36" t="s">
        <v>957</v>
      </c>
      <c r="B36" s="36" t="s">
        <v>1533</v>
      </c>
      <c r="C36" s="322">
        <f>VLOOKUP($A36,[0]!Data,255,FALSE)</f>
        <v>31915</v>
      </c>
      <c r="D36" s="322">
        <f>VLOOKUP($A36,[0]!Data,256,FALSE)</f>
        <v>9646</v>
      </c>
      <c r="E36" s="322">
        <f>VLOOKUP($A36,[0]!Data,257,FALSE)</f>
        <v>41561</v>
      </c>
      <c r="F36" s="212">
        <f>E36/'Table 1'!D36</f>
        <v>0.30941089761247142</v>
      </c>
      <c r="G36" s="322">
        <f>VLOOKUP($A36,[0]!Data,259,FALSE)</f>
        <v>257940</v>
      </c>
      <c r="H36" s="441">
        <f>G36/'Table 1'!D36</f>
        <v>1.9202965984976512</v>
      </c>
      <c r="I36" s="322">
        <f>VLOOKUP($A36,[0]!Data,300,FALSE)</f>
        <v>80799</v>
      </c>
      <c r="J36" s="441">
        <f>I36/'Table 1'!D36</f>
        <v>0.60152766093669741</v>
      </c>
      <c r="K36" s="322">
        <f>VLOOKUP($A36,[0]!Data,301,FALSE)</f>
        <v>27688</v>
      </c>
      <c r="L36" s="322">
        <f>VLOOKUP($A36,[0]!Data,302,FALSE)</f>
        <v>3860</v>
      </c>
      <c r="M36" s="322">
        <f>VLOOKUP($A36,[0]!Data,306,FALSE)</f>
        <v>52</v>
      </c>
      <c r="N36" s="324">
        <f>VLOOKUP($A36,[0]!Data,307,FALSE)</f>
        <v>55</v>
      </c>
    </row>
    <row r="37" spans="1:14" x14ac:dyDescent="0.25">
      <c r="A37" s="36" t="s">
        <v>1198</v>
      </c>
      <c r="B37" s="36" t="s">
        <v>950</v>
      </c>
      <c r="C37" s="322">
        <f>VLOOKUP($A37,[0]!Data,255,FALSE)</f>
        <v>37240</v>
      </c>
      <c r="D37" s="322">
        <f>VLOOKUP($A37,[0]!Data,256,FALSE)</f>
        <v>10755</v>
      </c>
      <c r="E37" s="322">
        <f>VLOOKUP($A37,[0]!Data,257,FALSE)</f>
        <v>47995</v>
      </c>
      <c r="F37" s="212">
        <f>E37/'Table 1'!D37</f>
        <v>0.28226873606888075</v>
      </c>
      <c r="G37" s="322">
        <f>VLOOKUP($A37,[0]!Data,259,FALSE)</f>
        <v>223426</v>
      </c>
      <c r="H37" s="441">
        <f>G37/'Table 1'!D37</f>
        <v>1.3140155146353942</v>
      </c>
      <c r="I37" s="322">
        <f>VLOOKUP($A37,[0]!Data,300,FALSE)</f>
        <v>138181</v>
      </c>
      <c r="J37" s="441">
        <f>I37/'Table 1'!D37</f>
        <v>0.81267165785465179</v>
      </c>
      <c r="K37" s="322">
        <f>VLOOKUP($A37,[0]!Data,301,FALSE)</f>
        <v>21574</v>
      </c>
      <c r="L37" s="322">
        <f>VLOOKUP($A37,[0]!Data,302,FALSE)</f>
        <v>3203</v>
      </c>
      <c r="M37" s="322">
        <f>VLOOKUP($A37,[0]!Data,306,FALSE)</f>
        <v>0</v>
      </c>
      <c r="N37" s="324">
        <f>VLOOKUP($A37,[0]!Data,307,FALSE)</f>
        <v>69</v>
      </c>
    </row>
    <row r="38" spans="1:14" x14ac:dyDescent="0.25">
      <c r="A38" s="36" t="s">
        <v>981</v>
      </c>
      <c r="B38" s="36" t="s">
        <v>1534</v>
      </c>
      <c r="C38" s="322">
        <f>VLOOKUP($A38,[0]!Data,255,FALSE)</f>
        <v>44255</v>
      </c>
      <c r="D38" s="322">
        <f>VLOOKUP($A38,[0]!Data,256,FALSE)</f>
        <v>13375</v>
      </c>
      <c r="E38" s="322">
        <f>VLOOKUP($A38,[0]!Data,257,FALSE)</f>
        <v>57630</v>
      </c>
      <c r="F38" s="212">
        <f>E38/'Table 1'!D38</f>
        <v>0.9727567348592262</v>
      </c>
      <c r="G38" s="322">
        <f>VLOOKUP($A38,[0]!Data,259,FALSE)</f>
        <v>115109</v>
      </c>
      <c r="H38" s="441">
        <f>G38/'Table 1'!D38</f>
        <v>1.9429646884072649</v>
      </c>
      <c r="I38" s="322">
        <f>VLOOKUP($A38,[0]!Data,300,FALSE)</f>
        <v>15834</v>
      </c>
      <c r="J38" s="441">
        <f>I38/'Table 1'!D38</f>
        <v>0.26726757139963542</v>
      </c>
      <c r="K38" s="322">
        <f>VLOOKUP($A38,[0]!Data,301,FALSE)</f>
        <v>6942</v>
      </c>
      <c r="L38" s="322">
        <f>VLOOKUP($A38,[0]!Data,302,FALSE)</f>
        <v>1678</v>
      </c>
      <c r="M38" s="322">
        <f>VLOOKUP($A38,[0]!Data,306,FALSE)</f>
        <v>7874</v>
      </c>
      <c r="N38" s="324">
        <f>VLOOKUP($A38,[0]!Data,307,FALSE)</f>
        <v>7874</v>
      </c>
    </row>
    <row r="39" spans="1:14" x14ac:dyDescent="0.25">
      <c r="A39" s="36" t="s">
        <v>992</v>
      </c>
      <c r="B39" s="36" t="s">
        <v>1535</v>
      </c>
      <c r="C39" s="322">
        <f>VLOOKUP($A39,[0]!Data,255,FALSE)</f>
        <v>40698</v>
      </c>
      <c r="D39" s="322">
        <f>VLOOKUP($A39,[0]!Data,256,FALSE)</f>
        <v>13300</v>
      </c>
      <c r="E39" s="322">
        <f>VLOOKUP($A39,[0]!Data,257,FALSE)</f>
        <v>53998</v>
      </c>
      <c r="F39" s="212">
        <f>E39/'Table 1'!D39</f>
        <v>0.65824729072446453</v>
      </c>
      <c r="G39" s="322">
        <f>VLOOKUP($A39,[0]!Data,259,FALSE)</f>
        <v>200380</v>
      </c>
      <c r="H39" s="441">
        <f>G39/'Table 1'!D39</f>
        <v>2.4426755086367682</v>
      </c>
      <c r="I39" s="322">
        <f>VLOOKUP($A39,[0]!Data,300,FALSE)</f>
        <v>16847</v>
      </c>
      <c r="J39" s="441">
        <f>I39/'Table 1'!D39</f>
        <v>0.20536857118476712</v>
      </c>
      <c r="K39" s="322">
        <f>VLOOKUP($A39,[0]!Data,301,FALSE)</f>
        <v>9981</v>
      </c>
      <c r="L39" s="322">
        <f>VLOOKUP($A39,[0]!Data,302,FALSE)</f>
        <v>1601</v>
      </c>
      <c r="M39" s="322">
        <f>VLOOKUP($A39,[0]!Data,306,FALSE)</f>
        <v>0</v>
      </c>
      <c r="N39" s="324">
        <f>VLOOKUP($A39,[0]!Data,307,FALSE)</f>
        <v>24</v>
      </c>
    </row>
    <row r="40" spans="1:14" x14ac:dyDescent="0.25">
      <c r="A40" s="36" t="s">
        <v>1009</v>
      </c>
      <c r="B40" s="36" t="s">
        <v>1536</v>
      </c>
      <c r="C40" s="322">
        <f>VLOOKUP($A40,[0]!Data,255,FALSE)</f>
        <v>8890</v>
      </c>
      <c r="D40" s="322">
        <f>VLOOKUP($A40,[0]!Data,256,FALSE)</f>
        <v>2442</v>
      </c>
      <c r="E40" s="322">
        <f>VLOOKUP($A40,[0]!Data,257,FALSE)</f>
        <v>11332</v>
      </c>
      <c r="F40" s="212">
        <f>E40/'Table 1'!D40</f>
        <v>0.5155830565539834</v>
      </c>
      <c r="G40" s="322">
        <f>VLOOKUP($A40,[0]!Data,259,FALSE)</f>
        <v>117985</v>
      </c>
      <c r="H40" s="441">
        <f>G40/'Table 1'!D40</f>
        <v>5.3680786205013877</v>
      </c>
      <c r="I40" s="322">
        <f>VLOOKUP($A40,[0]!Data,300,FALSE)</f>
        <v>3444</v>
      </c>
      <c r="J40" s="441">
        <f>I40/'Table 1'!D40</f>
        <v>0.15669502707129532</v>
      </c>
      <c r="K40" s="322">
        <f>VLOOKUP($A40,[0]!Data,301,FALSE)</f>
        <v>2272</v>
      </c>
      <c r="L40" s="322">
        <f>VLOOKUP($A40,[0]!Data,302,FALSE)</f>
        <v>802</v>
      </c>
      <c r="M40" s="322">
        <f>VLOOKUP($A40,[0]!Data,306,FALSE)</f>
        <v>10</v>
      </c>
      <c r="N40" s="324">
        <f>VLOOKUP($A40,[0]!Data,307,FALSE)</f>
        <v>8</v>
      </c>
    </row>
    <row r="41" spans="1:14" x14ac:dyDescent="0.25">
      <c r="A41" s="36" t="s">
        <v>1021</v>
      </c>
      <c r="B41" s="36" t="s">
        <v>1537</v>
      </c>
      <c r="C41" s="322">
        <f>VLOOKUP($A41,[0]!Data,255,FALSE)</f>
        <v>22884</v>
      </c>
      <c r="D41" s="322">
        <f>VLOOKUP($A41,[0]!Data,256,FALSE)</f>
        <v>5110</v>
      </c>
      <c r="E41" s="322">
        <f>VLOOKUP($A41,[0]!Data,257,FALSE)</f>
        <v>27994</v>
      </c>
      <c r="F41" s="212">
        <f>E41/'Table 1'!D41</f>
        <v>0.61511755658097123</v>
      </c>
      <c r="G41" s="322">
        <f>VLOOKUP($A41,[0]!Data,259,FALSE)</f>
        <v>110986</v>
      </c>
      <c r="H41" s="441">
        <f>G41/'Table 1'!D41</f>
        <v>2.438716765546034</v>
      </c>
      <c r="I41" s="322">
        <f>VLOOKUP($A41,[0]!Data,300,FALSE)</f>
        <v>23726</v>
      </c>
      <c r="J41" s="441">
        <f>I41/'Table 1'!D41</f>
        <v>0.52133597011645794</v>
      </c>
      <c r="K41" s="322">
        <f>VLOOKUP($A41,[0]!Data,301,FALSE)</f>
        <v>13726</v>
      </c>
      <c r="L41" s="322">
        <f>VLOOKUP($A41,[0]!Data,302,FALSE)</f>
        <v>1515</v>
      </c>
      <c r="M41" s="322">
        <f>VLOOKUP($A41,[0]!Data,306,FALSE)</f>
        <v>10433</v>
      </c>
      <c r="N41" s="324">
        <f>VLOOKUP($A41,[0]!Data,307,FALSE)</f>
        <v>10031</v>
      </c>
    </row>
    <row r="42" spans="1:14" x14ac:dyDescent="0.25">
      <c r="A42" s="36" t="s">
        <v>574</v>
      </c>
      <c r="B42" s="36" t="s">
        <v>1538</v>
      </c>
      <c r="C42" s="322">
        <f>VLOOKUP($A42,[0]!Data,255,FALSE)</f>
        <v>576228</v>
      </c>
      <c r="D42" s="322">
        <f>VLOOKUP($A42,[0]!Data,256,FALSE)</f>
        <v>353494</v>
      </c>
      <c r="E42" s="322">
        <f>VLOOKUP($A42,[0]!Data,257,FALSE)</f>
        <v>929722</v>
      </c>
      <c r="F42" s="212">
        <f>E42/'Table 1'!D42</f>
        <v>0.88247013653901829</v>
      </c>
      <c r="G42" s="322">
        <f>VLOOKUP($A42,[0]!Data,259,FALSE)</f>
        <v>3391653</v>
      </c>
      <c r="H42" s="441">
        <f>G42/'Table 1'!D42</f>
        <v>3.2192768225372435</v>
      </c>
      <c r="I42" s="322">
        <f>VLOOKUP($A42,[0]!Data,300,FALSE)</f>
        <v>1181215</v>
      </c>
      <c r="J42" s="441">
        <f>I42/'Table 1'!D42</f>
        <v>1.1211813448879735</v>
      </c>
      <c r="K42" s="322">
        <f>VLOOKUP($A42,[0]!Data,301,FALSE)</f>
        <v>250727</v>
      </c>
      <c r="L42" s="322">
        <f>VLOOKUP($A42,[0]!Data,302,FALSE)</f>
        <v>81623</v>
      </c>
      <c r="M42" s="322">
        <f>VLOOKUP($A42,[0]!Data,306,FALSE)</f>
        <v>3786</v>
      </c>
      <c r="N42" s="324">
        <f>VLOOKUP($A42,[0]!Data,307,FALSE)</f>
        <v>2392</v>
      </c>
    </row>
    <row r="43" spans="1:14" x14ac:dyDescent="0.25">
      <c r="A43" s="36" t="s">
        <v>455</v>
      </c>
      <c r="B43" s="36" t="s">
        <v>1539</v>
      </c>
      <c r="C43" s="322">
        <f>VLOOKUP($A43,[0]!Data,255,FALSE)</f>
        <v>12391</v>
      </c>
      <c r="D43" s="322">
        <f>VLOOKUP($A43,[0]!Data,256,FALSE)</f>
        <v>5177</v>
      </c>
      <c r="E43" s="322">
        <f>VLOOKUP($A43,[0]!Data,257,FALSE)</f>
        <v>17568</v>
      </c>
      <c r="F43" s="212">
        <f>E43/'Table 1'!D43</f>
        <v>0.19697275479313825</v>
      </c>
      <c r="G43" s="322">
        <f>VLOOKUP($A43,[0]!Data,259,FALSE)</f>
        <v>195064</v>
      </c>
      <c r="H43" s="441">
        <f>G43/'Table 1'!D43</f>
        <v>2.1870613297454873</v>
      </c>
      <c r="I43" s="322">
        <f>VLOOKUP($A43,[0]!Data,300,FALSE)</f>
        <v>38998</v>
      </c>
      <c r="J43" s="441">
        <f>I43/'Table 1'!D43</f>
        <v>0.43724632806368424</v>
      </c>
      <c r="K43" s="322">
        <f>VLOOKUP($A43,[0]!Data,301,FALSE)</f>
        <v>14261</v>
      </c>
      <c r="L43" s="322">
        <f>VLOOKUP($A43,[0]!Data,302,FALSE)</f>
        <v>4128</v>
      </c>
      <c r="M43" s="322">
        <f>VLOOKUP($A43,[0]!Data,306,FALSE)</f>
        <v>44</v>
      </c>
      <c r="N43" s="324">
        <f>VLOOKUP($A43,[0]!Data,307,FALSE)</f>
        <v>144</v>
      </c>
    </row>
    <row r="44" spans="1:14" x14ac:dyDescent="0.25">
      <c r="A44" s="36" t="s">
        <v>1078</v>
      </c>
      <c r="B44" s="36" t="s">
        <v>1540</v>
      </c>
      <c r="C44" s="322">
        <f>VLOOKUP($A44,[0]!Data,255,FALSE)</f>
        <v>80760</v>
      </c>
      <c r="D44" s="322">
        <f>VLOOKUP($A44,[0]!Data,256,FALSE)</f>
        <v>17776</v>
      </c>
      <c r="E44" s="322">
        <f>VLOOKUP($A44,[0]!Data,257,FALSE)</f>
        <v>98536</v>
      </c>
      <c r="F44" s="212">
        <f>E44/'Table 1'!D44</f>
        <v>0.44066401917641584</v>
      </c>
      <c r="G44" s="322">
        <f>VLOOKUP($A44,[0]!Data,259,FALSE)</f>
        <v>857974</v>
      </c>
      <c r="H44" s="441">
        <f>G44/'Table 1'!D44</f>
        <v>3.8369557439805373</v>
      </c>
      <c r="I44" s="322">
        <f>VLOOKUP($A44,[0]!Data,300,FALSE)</f>
        <v>277777</v>
      </c>
      <c r="J44" s="441">
        <f>I44/'Table 1'!D44</f>
        <v>1.2422498300597473</v>
      </c>
      <c r="K44" s="322">
        <f>VLOOKUP($A44,[0]!Data,301,FALSE)</f>
        <v>72699</v>
      </c>
      <c r="L44" s="322">
        <f>VLOOKUP($A44,[0]!Data,302,FALSE)</f>
        <v>13059</v>
      </c>
      <c r="M44" s="322">
        <f>VLOOKUP($A44,[0]!Data,306,FALSE)</f>
        <v>1752</v>
      </c>
      <c r="N44" s="324">
        <f>VLOOKUP($A44,[0]!Data,307,FALSE)</f>
        <v>1007</v>
      </c>
    </row>
    <row r="45" spans="1:14" x14ac:dyDescent="0.25">
      <c r="A45" s="36" t="s">
        <v>1108</v>
      </c>
      <c r="B45" s="36" t="s">
        <v>1541</v>
      </c>
      <c r="C45" s="322">
        <f>VLOOKUP($A45,[0]!Data,255,FALSE)</f>
        <v>40770</v>
      </c>
      <c r="D45" s="322">
        <f>VLOOKUP($A45,[0]!Data,256,FALSE)</f>
        <v>12035</v>
      </c>
      <c r="E45" s="322">
        <f>VLOOKUP($A45,[0]!Data,257,FALSE)</f>
        <v>52805</v>
      </c>
      <c r="F45" s="212">
        <f>E45/'Table 1'!D45</f>
        <v>0.27231143702878596</v>
      </c>
      <c r="G45" s="322">
        <f>VLOOKUP($A45,[0]!Data,259,FALSE)</f>
        <v>418004</v>
      </c>
      <c r="H45" s="441">
        <f>G45/'Table 1'!D45</f>
        <v>2.1556153758882806</v>
      </c>
      <c r="I45" s="322">
        <f>VLOOKUP($A45,[0]!Data,300,FALSE)</f>
        <v>71776</v>
      </c>
      <c r="J45" s="441">
        <f>I45/'Table 1'!D45</f>
        <v>0.37014346566003486</v>
      </c>
      <c r="K45" s="322">
        <f>VLOOKUP($A45,[0]!Data,301,FALSE)</f>
        <v>24427</v>
      </c>
      <c r="L45" s="322">
        <f>VLOOKUP($A45,[0]!Data,302,FALSE)</f>
        <v>1961</v>
      </c>
      <c r="M45" s="322">
        <f>VLOOKUP($A45,[0]!Data,306,FALSE)</f>
        <v>743</v>
      </c>
      <c r="N45" s="324">
        <f>VLOOKUP($A45,[0]!Data,307,FALSE)</f>
        <v>212</v>
      </c>
    </row>
    <row r="46" spans="1:14" x14ac:dyDescent="0.25">
      <c r="A46" s="36" t="s">
        <v>1117</v>
      </c>
      <c r="B46" s="36" t="s">
        <v>1131</v>
      </c>
      <c r="C46" s="322">
        <f>VLOOKUP($A46,[0]!Data,255,FALSE)</f>
        <v>14016</v>
      </c>
      <c r="D46" s="322">
        <f>VLOOKUP($A46,[0]!Data,256,FALSE)</f>
        <v>2753</v>
      </c>
      <c r="E46" s="322">
        <f>VLOOKUP($A46,[0]!Data,257,FALSE)</f>
        <v>16769</v>
      </c>
      <c r="F46" s="212">
        <f>E46/'Table 1'!D46</f>
        <v>0.19924905835244353</v>
      </c>
      <c r="G46" s="322">
        <f>VLOOKUP($A46,[0]!Data,259,FALSE)</f>
        <v>300004</v>
      </c>
      <c r="H46" s="441">
        <f>G46/'Table 1'!D46</f>
        <v>3.5646439562267558</v>
      </c>
      <c r="I46" s="322">
        <f>VLOOKUP($A46,[0]!Data,300,FALSE)</f>
        <v>23409</v>
      </c>
      <c r="J46" s="441">
        <f>I46/'Table 1'!D46</f>
        <v>0.2781454592982498</v>
      </c>
      <c r="K46" s="322">
        <f>VLOOKUP($A46,[0]!Data,301,FALSE)</f>
        <v>7407</v>
      </c>
      <c r="L46" s="322">
        <f>VLOOKUP($A46,[0]!Data,302,FALSE)</f>
        <v>321</v>
      </c>
      <c r="M46" s="322">
        <f>VLOOKUP($A46,[0]!Data,306,FALSE)</f>
        <v>6</v>
      </c>
      <c r="N46" s="324">
        <f>VLOOKUP($A46,[0]!Data,307,FALSE)</f>
        <v>147</v>
      </c>
    </row>
    <row r="47" spans="1:14" x14ac:dyDescent="0.25">
      <c r="A47" s="36" t="s">
        <v>1133</v>
      </c>
      <c r="B47" s="36" t="s">
        <v>1542</v>
      </c>
      <c r="C47" s="322">
        <f>VLOOKUP($A47,[0]!Data,255,FALSE)</f>
        <v>13279</v>
      </c>
      <c r="D47" s="322">
        <f>VLOOKUP($A47,[0]!Data,256,FALSE)</f>
        <v>4634</v>
      </c>
      <c r="E47" s="322">
        <f>VLOOKUP($A47,[0]!Data,257,FALSE)</f>
        <v>17913</v>
      </c>
      <c r="F47" s="212">
        <f>E47/'Table 1'!D47</f>
        <v>0.30126641887687317</v>
      </c>
      <c r="G47" s="322">
        <f>VLOOKUP($A47,[0]!Data,259,FALSE)</f>
        <v>142133</v>
      </c>
      <c r="H47" s="441">
        <f>G47/'Table 1'!D47</f>
        <v>2.3904371079231068</v>
      </c>
      <c r="I47" s="322">
        <f>VLOOKUP($A47,[0]!Data,300,FALSE)</f>
        <v>14341</v>
      </c>
      <c r="J47" s="441">
        <f>I47/'Table 1'!D47</f>
        <v>0.24119140920634385</v>
      </c>
      <c r="K47" s="322">
        <f>VLOOKUP($A47,[0]!Data,301,FALSE)</f>
        <v>2123</v>
      </c>
      <c r="L47" s="322">
        <f>VLOOKUP($A47,[0]!Data,302,FALSE)</f>
        <v>939</v>
      </c>
      <c r="M47" s="322">
        <f>VLOOKUP($A47,[0]!Data,306,FALSE)</f>
        <v>20</v>
      </c>
      <c r="N47" s="324">
        <f>VLOOKUP($A47,[0]!Data,307,FALSE)</f>
        <v>99</v>
      </c>
    </row>
    <row r="48" spans="1:14" x14ac:dyDescent="0.25">
      <c r="A48" s="36" t="s">
        <v>1159</v>
      </c>
      <c r="B48" s="36" t="s">
        <v>1543</v>
      </c>
      <c r="C48" s="322">
        <f>VLOOKUP($A48,[0]!Data,255,FALSE)</f>
        <v>25017</v>
      </c>
      <c r="D48" s="322">
        <f>VLOOKUP($A48,[0]!Data,256,FALSE)</f>
        <v>7133</v>
      </c>
      <c r="E48" s="322">
        <f>VLOOKUP($A48,[0]!Data,257,FALSE)</f>
        <v>32150</v>
      </c>
      <c r="F48" s="212">
        <f>E48/'Table 1'!D48</f>
        <v>0.80925291985501413</v>
      </c>
      <c r="G48" s="322">
        <f>VLOOKUP($A48,[0]!Data,259,FALSE)</f>
        <v>107847</v>
      </c>
      <c r="H48" s="441">
        <f>G48/'Table 1'!D48</f>
        <v>2.7146345146999598</v>
      </c>
      <c r="I48" s="322">
        <f>VLOOKUP($A48,[0]!Data,300,FALSE)</f>
        <v>8872</v>
      </c>
      <c r="J48" s="441">
        <f>I48/'Table 1'!D48</f>
        <v>0.22331856625050342</v>
      </c>
      <c r="K48" s="322">
        <f>VLOOKUP($A48,[0]!Data,301,FALSE)</f>
        <v>2442</v>
      </c>
      <c r="L48" s="322">
        <f>VLOOKUP($A48,[0]!Data,302,FALSE)</f>
        <v>217</v>
      </c>
      <c r="M48" s="322">
        <f>VLOOKUP($A48,[0]!Data,306,FALSE)</f>
        <v>20</v>
      </c>
      <c r="N48" s="324">
        <f>VLOOKUP($A48,[0]!Data,307,FALSE)</f>
        <v>100</v>
      </c>
    </row>
    <row r="49" spans="1:14" x14ac:dyDescent="0.25">
      <c r="A49" s="36" t="s">
        <v>1335</v>
      </c>
      <c r="B49" s="36" t="s">
        <v>1544</v>
      </c>
      <c r="C49" s="322">
        <f>VLOOKUP($A49,[0]!Data,255,FALSE)</f>
        <v>54250</v>
      </c>
      <c r="D49" s="322">
        <f>VLOOKUP($A49,[0]!Data,256,FALSE)</f>
        <v>12912</v>
      </c>
      <c r="E49" s="322">
        <f>VLOOKUP($A49,[0]!Data,257,FALSE)</f>
        <v>67162</v>
      </c>
      <c r="F49" s="212">
        <f>E49/'Table 1'!D49</f>
        <v>0.39226703267821161</v>
      </c>
      <c r="G49" s="322">
        <f>VLOOKUP($A49,[0]!Data,259,FALSE)</f>
        <v>508263</v>
      </c>
      <c r="H49" s="441">
        <f>G49/'Table 1'!D49</f>
        <v>2.9685658382735158</v>
      </c>
      <c r="I49" s="322">
        <f>VLOOKUP($A49,[0]!Data,300,FALSE)</f>
        <v>95508</v>
      </c>
      <c r="J49" s="441">
        <f>I49/'Table 1'!D49</f>
        <v>0.55782495692550305</v>
      </c>
      <c r="K49" s="322">
        <f>VLOOKUP($A49,[0]!Data,301,FALSE)</f>
        <v>16917</v>
      </c>
      <c r="L49" s="322">
        <f>VLOOKUP($A49,[0]!Data,302,FALSE)</f>
        <v>2019</v>
      </c>
      <c r="M49" s="322">
        <f>VLOOKUP($A49,[0]!Data,306,FALSE)</f>
        <v>0</v>
      </c>
      <c r="N49" s="324">
        <f>VLOOKUP($A49,[0]!Data,307,FALSE)</f>
        <v>0</v>
      </c>
    </row>
    <row r="50" spans="1:14" x14ac:dyDescent="0.25">
      <c r="A50" s="36" t="s">
        <v>1187</v>
      </c>
      <c r="B50" s="36" t="s">
        <v>1545</v>
      </c>
      <c r="C50" s="322">
        <f>VLOOKUP($A50,[0]!Data,255,FALSE)</f>
        <v>6873</v>
      </c>
      <c r="D50" s="322">
        <f>VLOOKUP($A50,[0]!Data,256,FALSE)</f>
        <v>917</v>
      </c>
      <c r="E50" s="322">
        <f>VLOOKUP($A50,[0]!Data,257,FALSE)</f>
        <v>7790</v>
      </c>
      <c r="F50" s="212">
        <f>E50/'Table 1'!D50</f>
        <v>0.37042320494531622</v>
      </c>
      <c r="G50" s="322">
        <f>VLOOKUP($A50,[0]!Data,259,FALSE)</f>
        <v>95954</v>
      </c>
      <c r="H50" s="441">
        <f>G50/'Table 1'!D50</f>
        <v>4.5627199239182117</v>
      </c>
      <c r="I50" s="322">
        <f>VLOOKUP($A50,[0]!Data,300,FALSE)</f>
        <v>9450</v>
      </c>
      <c r="J50" s="441">
        <f>I50/'Table 1'!D50</f>
        <v>0.44935805991440797</v>
      </c>
      <c r="K50" s="322">
        <f>VLOOKUP($A50,[0]!Data,301,FALSE)</f>
        <v>6225</v>
      </c>
      <c r="L50" s="322">
        <f>VLOOKUP($A50,[0]!Data,302,FALSE)</f>
        <v>680</v>
      </c>
      <c r="M50" s="322">
        <f>VLOOKUP($A50,[0]!Data,306,FALSE)</f>
        <v>3515</v>
      </c>
      <c r="N50" s="324">
        <f>VLOOKUP($A50,[0]!Data,307,FALSE)</f>
        <v>4250</v>
      </c>
    </row>
    <row r="51" spans="1:14" x14ac:dyDescent="0.25">
      <c r="A51" s="36" t="s">
        <v>1210</v>
      </c>
      <c r="B51" s="36" t="s">
        <v>1546</v>
      </c>
      <c r="C51" s="322">
        <f>VLOOKUP($A51,[0]!Data,255,FALSE)</f>
        <v>89196</v>
      </c>
      <c r="D51" s="322">
        <f>VLOOKUP($A51,[0]!Data,256,FALSE)</f>
        <v>26920</v>
      </c>
      <c r="E51" s="322">
        <f>VLOOKUP($A51,[0]!Data,257,FALSE)</f>
        <v>116116</v>
      </c>
      <c r="F51" s="212">
        <f>E51/'Table 1'!D51</f>
        <v>0.80803891413420925</v>
      </c>
      <c r="G51" s="322">
        <f>VLOOKUP($A51,[0]!Data,259,FALSE)</f>
        <v>533842</v>
      </c>
      <c r="H51" s="441">
        <f>G51/'Table 1'!D51</f>
        <v>3.7149497915811303</v>
      </c>
      <c r="I51" s="322">
        <f>VLOOKUP($A51,[0]!Data,300,FALSE)</f>
        <v>109591</v>
      </c>
      <c r="J51" s="441">
        <f>I51/'Table 1'!D51</f>
        <v>0.76263213199629787</v>
      </c>
      <c r="K51" s="322">
        <f>VLOOKUP($A51,[0]!Data,301,FALSE)</f>
        <v>39940</v>
      </c>
      <c r="L51" s="322">
        <f>VLOOKUP($A51,[0]!Data,302,FALSE)</f>
        <v>7086</v>
      </c>
      <c r="M51" s="322">
        <f>VLOOKUP($A51,[0]!Data,306,FALSE)</f>
        <v>111</v>
      </c>
      <c r="N51" s="324">
        <f>VLOOKUP($A51,[0]!Data,307,FALSE)</f>
        <v>140</v>
      </c>
    </row>
    <row r="52" spans="1:14" x14ac:dyDescent="0.25">
      <c r="A52" s="36" t="s">
        <v>1236</v>
      </c>
      <c r="B52" s="36" t="s">
        <v>1547</v>
      </c>
      <c r="C52" s="322">
        <f>VLOOKUP($A52,[0]!Data,255,FALSE)</f>
        <v>16388</v>
      </c>
      <c r="D52" s="322">
        <f>VLOOKUP($A52,[0]!Data,256,FALSE)</f>
        <v>4976</v>
      </c>
      <c r="E52" s="322">
        <f>VLOOKUP($A52,[0]!Data,257,FALSE)</f>
        <v>21364</v>
      </c>
      <c r="F52" s="212">
        <f>E52/'Table 1'!D52</f>
        <v>0.16104691045327424</v>
      </c>
      <c r="G52" s="322">
        <f>VLOOKUP($A52,[0]!Data,259,FALSE)</f>
        <v>183986</v>
      </c>
      <c r="H52" s="441">
        <f>G52/'Table 1'!D52</f>
        <v>1.3869302034570359</v>
      </c>
      <c r="I52" s="322">
        <f>VLOOKUP($A52,[0]!Data,300,FALSE)</f>
        <v>29315</v>
      </c>
      <c r="J52" s="441">
        <f>I52/'Table 1'!D52</f>
        <v>0.2209834384917494</v>
      </c>
      <c r="K52" s="322">
        <f>VLOOKUP($A52,[0]!Data,301,FALSE)</f>
        <v>39379</v>
      </c>
      <c r="L52" s="322">
        <f>VLOOKUP($A52,[0]!Data,302,FALSE)</f>
        <v>11568</v>
      </c>
      <c r="M52" s="322">
        <f>VLOOKUP($A52,[0]!Data,306,FALSE)</f>
        <v>36</v>
      </c>
      <c r="N52" s="324">
        <f>VLOOKUP($A52,[0]!Data,307,FALSE)</f>
        <v>241</v>
      </c>
    </row>
    <row r="53" spans="1:14" x14ac:dyDescent="0.25">
      <c r="A53" s="36" t="s">
        <v>1249</v>
      </c>
      <c r="B53" s="36" t="s">
        <v>1548</v>
      </c>
      <c r="C53" s="322">
        <f>VLOOKUP($A53,[0]!Data,255,FALSE)</f>
        <v>37422</v>
      </c>
      <c r="D53" s="322">
        <f>VLOOKUP($A53,[0]!Data,256,FALSE)</f>
        <v>9886</v>
      </c>
      <c r="E53" s="322">
        <f>VLOOKUP($A53,[0]!Data,257,FALSE)</f>
        <v>47308</v>
      </c>
      <c r="F53" s="212">
        <f>E53/'Table 1'!D53</f>
        <v>0.51482734979486566</v>
      </c>
      <c r="G53" s="322">
        <f>VLOOKUP($A53,[0]!Data,259,FALSE)</f>
        <v>436519</v>
      </c>
      <c r="H53" s="441">
        <f>G53/'Table 1'!D53</f>
        <v>4.7503999303522653</v>
      </c>
      <c r="I53" s="322">
        <f>VLOOKUP($A53,[0]!Data,300,FALSE)</f>
        <v>97513</v>
      </c>
      <c r="J53" s="441">
        <f>I53/'Table 1'!D53</f>
        <v>1.0611811820526493</v>
      </c>
      <c r="K53" s="322">
        <f>VLOOKUP($A53,[0]!Data,301,FALSE)</f>
        <v>74035</v>
      </c>
      <c r="L53" s="322">
        <f>VLOOKUP($A53,[0]!Data,302,FALSE)</f>
        <v>26468</v>
      </c>
      <c r="M53" s="322">
        <f>VLOOKUP($A53,[0]!Data,306,FALSE)</f>
        <v>25583</v>
      </c>
      <c r="N53" s="324">
        <f>VLOOKUP($A53,[0]!Data,307,FALSE)</f>
        <v>25337</v>
      </c>
    </row>
    <row r="54" spans="1:14" x14ac:dyDescent="0.25">
      <c r="A54" s="36" t="s">
        <v>1265</v>
      </c>
      <c r="B54" s="36" t="s">
        <v>1549</v>
      </c>
      <c r="C54" s="322">
        <f>VLOOKUP($A54,[0]!Data,255,FALSE)</f>
        <v>63445</v>
      </c>
      <c r="D54" s="322">
        <f>VLOOKUP($A54,[0]!Data,256,FALSE)</f>
        <v>39416</v>
      </c>
      <c r="E54" s="322">
        <f>VLOOKUP($A54,[0]!Data,257,FALSE)</f>
        <v>102861</v>
      </c>
      <c r="F54" s="212">
        <f>E54/'Table 1'!D54</f>
        <v>0.7296658863587997</v>
      </c>
      <c r="G54" s="322">
        <f>VLOOKUP($A54,[0]!Data,259,FALSE)</f>
        <v>384074</v>
      </c>
      <c r="H54" s="441">
        <f>G54/'Table 1'!D54</f>
        <v>2.7245087607292331</v>
      </c>
      <c r="I54" s="322">
        <f>VLOOKUP($A54,[0]!Data,300,FALSE)</f>
        <v>59134</v>
      </c>
      <c r="J54" s="441">
        <f>I54/'Table 1'!D54</f>
        <v>0.41947932184152659</v>
      </c>
      <c r="K54" s="322">
        <f>VLOOKUP($A54,[0]!Data,301,FALSE)</f>
        <v>28613</v>
      </c>
      <c r="L54" s="322">
        <f>VLOOKUP($A54,[0]!Data,302,FALSE)</f>
        <v>702</v>
      </c>
      <c r="M54" s="322">
        <f>VLOOKUP($A54,[0]!Data,306,FALSE)</f>
        <v>630</v>
      </c>
      <c r="N54" s="324">
        <f>VLOOKUP($A54,[0]!Data,307,FALSE)</f>
        <v>34</v>
      </c>
    </row>
    <row r="55" spans="1:14" x14ac:dyDescent="0.25">
      <c r="A55" s="36" t="s">
        <v>1280</v>
      </c>
      <c r="B55" s="36" t="s">
        <v>1550</v>
      </c>
      <c r="C55" s="322">
        <f>VLOOKUP($A55,[0]!Data,255,FALSE)</f>
        <v>11933</v>
      </c>
      <c r="D55" s="322">
        <f>VLOOKUP($A55,[0]!Data,256,FALSE)</f>
        <v>1931</v>
      </c>
      <c r="E55" s="322">
        <f>VLOOKUP($A55,[0]!Data,257,FALSE)</f>
        <v>13864</v>
      </c>
      <c r="F55" s="212">
        <f>E55/'Table 1'!D55</f>
        <v>0.20477674549133718</v>
      </c>
      <c r="G55" s="322">
        <f>VLOOKUP($A55,[0]!Data,259,FALSE)</f>
        <v>79746</v>
      </c>
      <c r="H55" s="441">
        <f>G55/'Table 1'!D55</f>
        <v>1.1778798576133997</v>
      </c>
      <c r="I55" s="322">
        <f>VLOOKUP($A55,[0]!Data,300,FALSE)</f>
        <v>31566</v>
      </c>
      <c r="J55" s="441">
        <f>I55/'Table 1'!D55</f>
        <v>0.46624226400602631</v>
      </c>
      <c r="K55" s="322">
        <f>VLOOKUP($A55,[0]!Data,301,FALSE)</f>
        <v>1726</v>
      </c>
      <c r="L55" s="322">
        <f>VLOOKUP($A55,[0]!Data,302,FALSE)</f>
        <v>273</v>
      </c>
      <c r="M55" s="322">
        <f>VLOOKUP($A55,[0]!Data,306,FALSE)</f>
        <v>3934</v>
      </c>
      <c r="N55" s="324">
        <f>VLOOKUP($A55,[0]!Data,307,FALSE)</f>
        <v>2662</v>
      </c>
    </row>
    <row r="56" spans="1:14" x14ac:dyDescent="0.25">
      <c r="A56" s="36" t="s">
        <v>1292</v>
      </c>
      <c r="B56" s="36" t="s">
        <v>1551</v>
      </c>
      <c r="C56" s="322">
        <f>VLOOKUP($A56,[0]!Data,255,FALSE)</f>
        <v>4249</v>
      </c>
      <c r="D56" s="322">
        <f>VLOOKUP($A56,[0]!Data,256,FALSE)</f>
        <v>871</v>
      </c>
      <c r="E56" s="322">
        <f>VLOOKUP($A56,[0]!Data,257,FALSE)</f>
        <v>5120</v>
      </c>
      <c r="F56" s="212">
        <f>E56/'Table 1'!D56</f>
        <v>8.0631191042378619E-2</v>
      </c>
      <c r="G56" s="322">
        <f>VLOOKUP($A56,[0]!Data,259,FALSE)</f>
        <v>85989</v>
      </c>
      <c r="H56" s="441">
        <f>G56/'Table 1'!D56</f>
        <v>1.3541788059654483</v>
      </c>
      <c r="I56" s="322">
        <f>VLOOKUP($A56,[0]!Data,300,FALSE)</f>
        <v>20000</v>
      </c>
      <c r="J56" s="441">
        <f>I56/'Table 1'!D56</f>
        <v>0.31496559000929147</v>
      </c>
      <c r="K56" s="322">
        <f>VLOOKUP($A56,[0]!Data,301,FALSE)</f>
        <v>2500</v>
      </c>
      <c r="L56" s="322">
        <f>VLOOKUP($A56,[0]!Data,302,FALSE)</f>
        <v>1000</v>
      </c>
      <c r="M56" s="322">
        <f>VLOOKUP($A56,[0]!Data,306,FALSE)</f>
        <v>8</v>
      </c>
      <c r="N56" s="324">
        <f>VLOOKUP($A56,[0]!Data,307,FALSE)</f>
        <v>162</v>
      </c>
    </row>
    <row r="57" spans="1:14" x14ac:dyDescent="0.25">
      <c r="A57" s="36" t="s">
        <v>1323</v>
      </c>
      <c r="B57" s="36" t="s">
        <v>1552</v>
      </c>
      <c r="C57" s="322">
        <f>VLOOKUP($A57,[0]!Data,255,FALSE)</f>
        <v>5881</v>
      </c>
      <c r="D57" s="322">
        <f>VLOOKUP($A57,[0]!Data,256,FALSE)</f>
        <v>1579</v>
      </c>
      <c r="E57" s="322">
        <f>VLOOKUP($A57,[0]!Data,257,FALSE)</f>
        <v>7460</v>
      </c>
      <c r="F57" s="212">
        <f>E57/'Table 1'!D57</f>
        <v>0.20844393528737881</v>
      </c>
      <c r="G57" s="322">
        <f>VLOOKUP($A57,[0]!Data,259,FALSE)</f>
        <v>89776</v>
      </c>
      <c r="H57" s="441">
        <f>G57/'Table 1'!D57</f>
        <v>2.5084802592975497</v>
      </c>
      <c r="I57" s="322">
        <f>VLOOKUP($A57,[0]!Data,300,FALSE)</f>
        <v>5673</v>
      </c>
      <c r="J57" s="441">
        <f>I57/'Table 1'!D57</f>
        <v>0.15851239207577747</v>
      </c>
      <c r="K57" s="322">
        <f>VLOOKUP($A57,[0]!Data,301,FALSE)</f>
        <v>5317</v>
      </c>
      <c r="L57" s="322">
        <f>VLOOKUP($A57,[0]!Data,302,FALSE)</f>
        <v>281</v>
      </c>
      <c r="M57" s="322">
        <f>VLOOKUP($A57,[0]!Data,306,FALSE)</f>
        <v>0</v>
      </c>
      <c r="N57" s="324">
        <f>VLOOKUP($A57,[0]!Data,307,FALSE)</f>
        <v>72</v>
      </c>
    </row>
    <row r="58" spans="1:14" x14ac:dyDescent="0.25">
      <c r="A58" s="36" t="s">
        <v>1360</v>
      </c>
      <c r="B58" s="36" t="s">
        <v>1553</v>
      </c>
      <c r="C58" s="322">
        <f>VLOOKUP($A58,[0]!Data,255,FALSE)</f>
        <v>19308</v>
      </c>
      <c r="D58" s="322">
        <f>VLOOKUP($A58,[0]!Data,256,FALSE)</f>
        <v>5269</v>
      </c>
      <c r="E58" s="322">
        <f>VLOOKUP($A58,[0]!Data,257,FALSE)</f>
        <v>24577</v>
      </c>
      <c r="F58" s="212">
        <f>E58/'Table 1'!D58</f>
        <v>0.39800165179511265</v>
      </c>
      <c r="G58" s="322">
        <f>VLOOKUP($A58,[0]!Data,259,FALSE)</f>
        <v>128327</v>
      </c>
      <c r="H58" s="441">
        <f>G58/'Table 1'!D58</f>
        <v>2.07813638645528</v>
      </c>
      <c r="I58" s="322">
        <f>VLOOKUP($A58,[0]!Data,300,FALSE)</f>
        <v>21369</v>
      </c>
      <c r="J58" s="441">
        <f>I58/'Table 1'!D58</f>
        <v>0.34605107609593366</v>
      </c>
      <c r="K58" s="322">
        <f>VLOOKUP($A58,[0]!Data,301,FALSE)</f>
        <v>12674</v>
      </c>
      <c r="L58" s="322">
        <f>VLOOKUP($A58,[0]!Data,302,FALSE)</f>
        <v>897</v>
      </c>
      <c r="M58" s="322">
        <f>VLOOKUP($A58,[0]!Data,306,FALSE)</f>
        <v>22</v>
      </c>
      <c r="N58" s="324">
        <f>VLOOKUP($A58,[0]!Data,307,FALSE)</f>
        <v>41</v>
      </c>
    </row>
    <row r="59" spans="1:14" x14ac:dyDescent="0.25">
      <c r="A59" s="36" t="s">
        <v>1371</v>
      </c>
      <c r="B59" s="36" t="s">
        <v>1554</v>
      </c>
      <c r="C59" s="322">
        <f>VLOOKUP($A59,[0]!Data,255,FALSE)</f>
        <v>14911</v>
      </c>
      <c r="D59" s="322">
        <f>VLOOKUP($A59,[0]!Data,256,FALSE)</f>
        <v>3047</v>
      </c>
      <c r="E59" s="322">
        <f>VLOOKUP($A59,[0]!Data,257,FALSE)</f>
        <v>17958</v>
      </c>
      <c r="F59" s="212">
        <f>E59/'Table 1'!D59</f>
        <v>0.52602595272269248</v>
      </c>
      <c r="G59" s="322">
        <f>VLOOKUP($A59,[0]!Data,259,FALSE)</f>
        <v>212099</v>
      </c>
      <c r="H59" s="441">
        <f>G59/'Table 1'!D59</f>
        <v>6.2128064676762644</v>
      </c>
      <c r="I59" s="322">
        <f>VLOOKUP($A59,[0]!Data,300,FALSE)</f>
        <v>14296</v>
      </c>
      <c r="J59" s="441">
        <f>I59/'Table 1'!D59</f>
        <v>0.41875860452854508</v>
      </c>
      <c r="K59" s="322">
        <f>VLOOKUP($A59,[0]!Data,301,FALSE)</f>
        <v>4630</v>
      </c>
      <c r="L59" s="322">
        <f>VLOOKUP($A59,[0]!Data,302,FALSE)</f>
        <v>410</v>
      </c>
      <c r="M59" s="322">
        <f>VLOOKUP($A59,[0]!Data,306,FALSE)</f>
        <v>1436</v>
      </c>
      <c r="N59" s="324">
        <f>VLOOKUP($A59,[0]!Data,307,FALSE)</f>
        <v>298</v>
      </c>
    </row>
    <row r="60" spans="1:14" x14ac:dyDescent="0.25">
      <c r="A60" s="36" t="s">
        <v>1383</v>
      </c>
      <c r="B60" s="36" t="s">
        <v>1555</v>
      </c>
      <c r="C60" s="322">
        <f>VLOOKUP($A60,[0]!Data,255,FALSE)</f>
        <v>65097</v>
      </c>
      <c r="D60" s="322">
        <f>VLOOKUP($A60,[0]!Data,256,FALSE)</f>
        <v>26404</v>
      </c>
      <c r="E60" s="322">
        <f>VLOOKUP($A60,[0]!Data,257,FALSE)</f>
        <v>91501</v>
      </c>
      <c r="F60" s="212">
        <f>E60/'Table 1'!D60</f>
        <v>0.40864167206305962</v>
      </c>
      <c r="G60" s="322">
        <f>VLOOKUP($A60,[0]!Data,259,FALSE)</f>
        <v>614431</v>
      </c>
      <c r="H60" s="441">
        <f>G60/'Table 1'!D60</f>
        <v>2.7440367996784496</v>
      </c>
      <c r="I60" s="322">
        <f>VLOOKUP($A60,[0]!Data,300,FALSE)</f>
        <v>160563</v>
      </c>
      <c r="J60" s="441">
        <f>I60/'Table 1'!D60</f>
        <v>0.71707121005738783</v>
      </c>
      <c r="K60" s="322">
        <f>VLOOKUP($A60,[0]!Data,301,FALSE)</f>
        <v>48862</v>
      </c>
      <c r="L60" s="322">
        <f>VLOOKUP($A60,[0]!Data,302,FALSE)</f>
        <v>5783</v>
      </c>
      <c r="M60" s="322">
        <f>VLOOKUP($A60,[0]!Data,306,FALSE)</f>
        <v>0</v>
      </c>
      <c r="N60" s="324">
        <f>VLOOKUP($A60,[0]!Data,307,FALSE)</f>
        <v>0</v>
      </c>
    </row>
    <row r="61" spans="1:14" x14ac:dyDescent="0.25">
      <c r="A61" s="36" t="s">
        <v>1146</v>
      </c>
      <c r="B61" s="36" t="s">
        <v>1556</v>
      </c>
      <c r="C61" s="322">
        <f>VLOOKUP($A61,[0]!Data,255,FALSE)</f>
        <v>28336</v>
      </c>
      <c r="D61" s="322">
        <f>VLOOKUP($A61,[0]!Data,256,FALSE)</f>
        <v>4080</v>
      </c>
      <c r="E61" s="322">
        <f>VLOOKUP($A61,[0]!Data,257,FALSE)</f>
        <v>32416</v>
      </c>
      <c r="F61" s="212">
        <f>E61/'Table 1'!D61</f>
        <v>0.72123706752697747</v>
      </c>
      <c r="G61" s="322">
        <f>VLOOKUP($A61,[0]!Data,259,FALSE)</f>
        <v>185000</v>
      </c>
      <c r="H61" s="441">
        <f>G61/'Table 1'!D61</f>
        <v>4.1161419512737787</v>
      </c>
      <c r="I61" s="322">
        <f>VLOOKUP($A61,[0]!Data,300,FALSE)</f>
        <v>17888</v>
      </c>
      <c r="J61" s="441">
        <f>I61/'Table 1'!D61</f>
        <v>0.39799755256424518</v>
      </c>
      <c r="K61" s="322">
        <f>VLOOKUP($A61,[0]!Data,301,FALSE)</f>
        <v>12272</v>
      </c>
      <c r="L61" s="322">
        <f>VLOOKUP($A61,[0]!Data,302,FALSE)</f>
        <v>1924</v>
      </c>
      <c r="M61" s="322">
        <f>VLOOKUP($A61,[0]!Data,306,FALSE)</f>
        <v>87</v>
      </c>
      <c r="N61" s="324">
        <f>VLOOKUP($A61,[0]!Data,307,FALSE)</f>
        <v>103</v>
      </c>
    </row>
    <row r="62" spans="1:14" x14ac:dyDescent="0.25">
      <c r="A62" s="36" t="s">
        <v>1394</v>
      </c>
      <c r="B62" s="36" t="s">
        <v>1557</v>
      </c>
      <c r="C62" s="322">
        <f>VLOOKUP($A62,All!A$3:RC$87,255,FALSE)</f>
        <v>332855</v>
      </c>
      <c r="D62" s="322">
        <f>VLOOKUP($A62,All!A$3:RC$87,256,FALSE)</f>
        <v>76312</v>
      </c>
      <c r="E62" s="322">
        <f>VLOOKUP($A62,All!A$3:RC$87,257,FALSE)</f>
        <v>409167</v>
      </c>
      <c r="F62" s="212">
        <f>E62/'Table 1'!D62</f>
        <v>0.39850771562252862</v>
      </c>
      <c r="G62" s="322">
        <f>VLOOKUP($A62,All!A$3:RC$87,259,FALSE)</f>
        <v>3385289</v>
      </c>
      <c r="H62" s="441">
        <f>G62/'Table 1'!D62</f>
        <v>3.2970982168945056</v>
      </c>
      <c r="I62" s="322">
        <f>VLOOKUP($A62,All!A$3:RC$87,300,FALSE)</f>
        <v>417465</v>
      </c>
      <c r="J62" s="441">
        <f>I62/'Table 1'!D62</f>
        <v>0.40658954290634119</v>
      </c>
      <c r="K62" s="322">
        <f>VLOOKUP($A62,All!A$3:RC$87,301,FALSE)</f>
        <v>110578</v>
      </c>
      <c r="L62" s="322">
        <f>VLOOKUP($A62,All!A$3:RC$87,302,FALSE)</f>
        <v>17770</v>
      </c>
      <c r="M62" s="322">
        <f>VLOOKUP($A62,All!A$3:RC$87,306,FALSE)</f>
        <v>1191</v>
      </c>
      <c r="N62" s="324">
        <f>VLOOKUP($A62,All!A$3:RC$87,307,FALSE)</f>
        <v>20887</v>
      </c>
    </row>
    <row r="63" spans="1:14" x14ac:dyDescent="0.25">
      <c r="A63" s="36" t="s">
        <v>1408</v>
      </c>
      <c r="B63" s="36" t="s">
        <v>1558</v>
      </c>
      <c r="C63" s="322">
        <f>VLOOKUP($A63,All!A$3:RC$87,255,FALSE)</f>
        <v>7618</v>
      </c>
      <c r="D63" s="322">
        <f>VLOOKUP($A63,All!A$3:RC$87,256,FALSE)</f>
        <v>2656</v>
      </c>
      <c r="E63" s="322">
        <f>VLOOKUP($A63,All!A$3:RC$87,257,FALSE)</f>
        <v>10274</v>
      </c>
      <c r="F63" s="212">
        <f>E63/'Table 1'!D63</f>
        <v>0.5106108046319765</v>
      </c>
      <c r="G63" s="322">
        <f>VLOOKUP($A63,All!A$3:RC$87,259,FALSE)</f>
        <v>60286</v>
      </c>
      <c r="H63" s="441">
        <f>G63/'Table 1'!D63</f>
        <v>2.9961731524278119</v>
      </c>
      <c r="I63" s="322">
        <f>VLOOKUP($A63,All!A$3:RC$87,300,FALSE)</f>
        <v>15643</v>
      </c>
      <c r="J63" s="441">
        <f>I63/'Table 1'!D63</f>
        <v>0.7774464489836489</v>
      </c>
      <c r="K63" s="322">
        <f>VLOOKUP($A63,All!A$3:RC$87,301,FALSE)</f>
        <v>8372</v>
      </c>
      <c r="L63" s="322">
        <f>VLOOKUP($A63,All!A$3:RC$87,302,FALSE)</f>
        <v>2015</v>
      </c>
      <c r="M63" s="322">
        <f>VLOOKUP($A63,All!A$3:RC$87,306,FALSE)</f>
        <v>61</v>
      </c>
      <c r="N63" s="324">
        <f>VLOOKUP($A63,All!A$3:RC$87,307,FALSE)</f>
        <v>168</v>
      </c>
    </row>
    <row r="64" spans="1:14" x14ac:dyDescent="0.25">
      <c r="A64" s="36" t="s">
        <v>1420</v>
      </c>
      <c r="B64" s="36" t="s">
        <v>1559</v>
      </c>
      <c r="C64" s="322">
        <f>VLOOKUP($A64,All!A$3:RC$87,255,FALSE)</f>
        <v>37195</v>
      </c>
      <c r="D64" s="322">
        <f>VLOOKUP($A64,All!A$3:RC$87,256,FALSE)</f>
        <v>11673</v>
      </c>
      <c r="E64" s="322">
        <f>VLOOKUP($A64,All!A$3:RC$87,257,FALSE)</f>
        <v>48868</v>
      </c>
      <c r="F64" s="212">
        <f>E64/'Table 1'!D64</f>
        <v>0.39154541375552848</v>
      </c>
      <c r="G64" s="322">
        <f>VLOOKUP($A64,All!A$3:RC$87,259,FALSE)</f>
        <v>280344</v>
      </c>
      <c r="H64" s="441">
        <f>G64/'Table 1'!D64</f>
        <v>2.2462021665277865</v>
      </c>
      <c r="I64" s="322">
        <f>VLOOKUP($A64,All!A$3:RC$87,300,FALSE)</f>
        <v>93635</v>
      </c>
      <c r="J64" s="441">
        <f>I64/'Table 1'!D64</f>
        <v>0.75023235690019874</v>
      </c>
      <c r="K64" s="322">
        <f>VLOOKUP($A64,All!A$3:RC$87,301,FALSE)</f>
        <v>43527</v>
      </c>
      <c r="L64" s="322">
        <f>VLOOKUP($A64,All!A$3:RC$87,302,FALSE)</f>
        <v>6523</v>
      </c>
      <c r="M64" s="322">
        <f>VLOOKUP($A64,All!A$3:RC$87,306,FALSE)</f>
        <v>22142</v>
      </c>
      <c r="N64" s="324">
        <f>VLOOKUP($A64,All!A$3:RC$87,307,FALSE)</f>
        <v>22207</v>
      </c>
    </row>
    <row r="65" spans="1:14" x14ac:dyDescent="0.25">
      <c r="A65" s="36" t="s">
        <v>1432</v>
      </c>
      <c r="B65" s="36" t="s">
        <v>1560</v>
      </c>
      <c r="C65" s="322">
        <f>VLOOKUP($A65,All!A$3:RC$87,255,FALSE)</f>
        <v>45431</v>
      </c>
      <c r="D65" s="322">
        <f>VLOOKUP($A65,All!A$3:RC$87,256,FALSE)</f>
        <v>14674</v>
      </c>
      <c r="E65" s="322">
        <f>VLOOKUP($A65,All!A$3:RC$87,257,FALSE)</f>
        <v>60105</v>
      </c>
      <c r="F65" s="212">
        <f>E65/'Table 1'!D65</f>
        <v>0.73515741578805749</v>
      </c>
      <c r="G65" s="322">
        <f>VLOOKUP($A65,All!A$3:RC$87,259,FALSE)</f>
        <v>215347</v>
      </c>
      <c r="H65" s="441">
        <f>G65/'Table 1'!D65</f>
        <v>2.6339563100858632</v>
      </c>
      <c r="I65" s="322">
        <f>VLOOKUP($A65,All!A$3:RC$87,300,FALSE)</f>
        <v>35814</v>
      </c>
      <c r="J65" s="441">
        <f>I65/'Table 1'!D65</f>
        <v>0.4380488759509773</v>
      </c>
      <c r="K65" s="322">
        <f>VLOOKUP($A65,All!A$3:RC$87,301,FALSE)</f>
        <v>8486</v>
      </c>
      <c r="L65" s="322">
        <f>VLOOKUP($A65,All!A$3:RC$87,302,FALSE)</f>
        <v>1788</v>
      </c>
      <c r="M65" s="322">
        <f>VLOOKUP($A65,All!A$3:RC$87,306,FALSE)</f>
        <v>178</v>
      </c>
      <c r="N65" s="324">
        <f>VLOOKUP($A65,All!A$3:RC$87,307,FALSE)</f>
        <v>117</v>
      </c>
    </row>
    <row r="66" spans="1:14" ht="15.75" thickBot="1" x14ac:dyDescent="0.3">
      <c r="A66" s="599" t="s">
        <v>1647</v>
      </c>
      <c r="B66" s="600"/>
      <c r="C66" s="442">
        <f>SUM(C8:C65)</f>
        <v>3447775</v>
      </c>
      <c r="D66" s="325">
        <f>SUM(D8:D65)</f>
        <v>1118264</v>
      </c>
      <c r="E66" s="325">
        <f>SUM(E8:E65)</f>
        <v>4566039</v>
      </c>
      <c r="F66" s="229">
        <f>AVERAGE(F8:F65)</f>
        <v>0.49526966813105155</v>
      </c>
      <c r="G66" s="325">
        <f>SUM(G8:G65)</f>
        <v>27703726</v>
      </c>
      <c r="H66" s="443">
        <f>AVERAGE(H8:H65)</f>
        <v>2.920575180247607</v>
      </c>
      <c r="I66" s="325">
        <f>SUM(I8:I65)</f>
        <v>5178199</v>
      </c>
      <c r="J66" s="443">
        <f>AVERAGE(J8:J65)</f>
        <v>0.46567680991298971</v>
      </c>
      <c r="K66" s="325">
        <f>SUM(K8:K65)</f>
        <v>1689178</v>
      </c>
      <c r="L66" s="325">
        <f>SUM(L8:L65)</f>
        <v>427639</v>
      </c>
      <c r="M66" s="325">
        <f>SUM(M8:M65)</f>
        <v>317956</v>
      </c>
      <c r="N66" s="325">
        <f>SUM(N8:N65)</f>
        <v>331180</v>
      </c>
    </row>
    <row r="67" spans="1:14" ht="16.5" thickTop="1" thickBot="1" x14ac:dyDescent="0.3">
      <c r="A67" s="602" t="s">
        <v>1455</v>
      </c>
      <c r="B67" s="602"/>
      <c r="C67" s="49"/>
      <c r="D67" s="49"/>
      <c r="E67" s="49"/>
      <c r="F67" s="233"/>
      <c r="G67" s="49"/>
      <c r="H67" s="49"/>
      <c r="I67" s="49"/>
      <c r="J67" s="49"/>
      <c r="K67" s="49"/>
      <c r="L67" s="49"/>
      <c r="M67" s="49"/>
      <c r="N67" s="50"/>
    </row>
    <row r="68" spans="1:14" ht="15.75" thickTop="1" x14ac:dyDescent="0.25">
      <c r="A68" s="36" t="s">
        <v>364</v>
      </c>
      <c r="B68" s="36" t="s">
        <v>1561</v>
      </c>
      <c r="C68" s="322">
        <f>VLOOKUP($A68,[0]!Data,255,FALSE)</f>
        <v>25914</v>
      </c>
      <c r="D68" s="322">
        <f>VLOOKUP($A68,[0]!Data,256,FALSE)</f>
        <v>6475</v>
      </c>
      <c r="E68" s="322">
        <f>VLOOKUP($A68,[0]!Data,257,FALSE)</f>
        <v>32389</v>
      </c>
      <c r="F68" s="212">
        <f>E68/'Table 1'!D68</f>
        <v>0.42303171203176426</v>
      </c>
      <c r="G68" s="322">
        <f>VLOOKUP($A68,[0]!Data,259,FALSE)</f>
        <v>-1</v>
      </c>
      <c r="H68" s="441">
        <f>G68/'Table 1'!D68</f>
        <v>-1.3060968601431482E-5</v>
      </c>
      <c r="I68" s="322">
        <f>VLOOKUP($A68,[0]!Data,300,FALSE)</f>
        <v>9054</v>
      </c>
      <c r="J68" s="441">
        <f>I68/'Table 1'!D68</f>
        <v>0.11825400971736064</v>
      </c>
      <c r="K68" s="322">
        <f>VLOOKUP($A68,[0]!Data,301,FALSE)</f>
        <v>5227</v>
      </c>
      <c r="L68" s="322">
        <f>VLOOKUP($A68,[0]!Data,302,FALSE)</f>
        <v>1586</v>
      </c>
      <c r="M68" s="322">
        <f>VLOOKUP($A68,[0]!Data,306,FALSE)</f>
        <v>0</v>
      </c>
      <c r="N68" s="324">
        <f>VLOOKUP($A68,[0]!Data,307,FALSE)</f>
        <v>11</v>
      </c>
    </row>
    <row r="69" spans="1:14" x14ac:dyDescent="0.25">
      <c r="A69" s="36" t="s">
        <v>409</v>
      </c>
      <c r="B69" s="36" t="s">
        <v>1562</v>
      </c>
      <c r="C69" s="322">
        <f>VLOOKUP($A69,[0]!Data,255,FALSE)</f>
        <v>30929</v>
      </c>
      <c r="D69" s="322">
        <f>VLOOKUP($A69,[0]!Data,256,FALSE)</f>
        <v>7055</v>
      </c>
      <c r="E69" s="322">
        <f>VLOOKUP($A69,[0]!Data,257,FALSE)</f>
        <v>37984</v>
      </c>
      <c r="F69" s="212">
        <f>E69/'Table 1'!D69</f>
        <v>0.73746747951694946</v>
      </c>
      <c r="G69" s="322">
        <f>VLOOKUP($A69,[0]!Data,259,FALSE)</f>
        <v>93283</v>
      </c>
      <c r="H69" s="441">
        <f>G69/'Table 1'!D69</f>
        <v>1.8111093853143323</v>
      </c>
      <c r="I69" s="322">
        <f>VLOOKUP($A69,[0]!Data,300,FALSE)</f>
        <v>36819</v>
      </c>
      <c r="J69" s="441">
        <f>I69/'Table 1'!D69</f>
        <v>0.71484875548479787</v>
      </c>
      <c r="K69" s="322">
        <f>VLOOKUP($A69,[0]!Data,301,FALSE)</f>
        <v>15688</v>
      </c>
      <c r="L69" s="322">
        <f>VLOOKUP($A69,[0]!Data,302,FALSE)</f>
        <v>1147</v>
      </c>
      <c r="M69" s="322">
        <f>VLOOKUP($A69,[0]!Data,306,FALSE)</f>
        <v>0</v>
      </c>
      <c r="N69" s="324">
        <f>VLOOKUP($A69,[0]!Data,307,FALSE)</f>
        <v>0</v>
      </c>
    </row>
    <row r="70" spans="1:14" x14ac:dyDescent="0.25">
      <c r="A70" s="36" t="s">
        <v>393</v>
      </c>
      <c r="B70" s="36" t="s">
        <v>1563</v>
      </c>
      <c r="C70" s="322">
        <f>VLOOKUP($A70,[0]!Data,255,FALSE)</f>
        <v>60946</v>
      </c>
      <c r="D70" s="322">
        <f>VLOOKUP($A70,[0]!Data,256,FALSE)</f>
        <v>15101</v>
      </c>
      <c r="E70" s="322">
        <f>VLOOKUP($A70,[0]!Data,257,FALSE)</f>
        <v>76047</v>
      </c>
      <c r="F70" s="212">
        <f>E70/'Table 1'!D70</f>
        <v>0.49911723974980804</v>
      </c>
      <c r="G70" s="322">
        <f>VLOOKUP($A70,[0]!Data,259,FALSE)</f>
        <v>409993</v>
      </c>
      <c r="H70" s="441">
        <f>G70/'Table 1'!D70</f>
        <v>2.6908960836948603</v>
      </c>
      <c r="I70" s="322">
        <f>VLOOKUP($A70,[0]!Data,300,FALSE)</f>
        <v>33278</v>
      </c>
      <c r="J70" s="441">
        <f>I70/'Table 1'!D70</f>
        <v>0.218412606735231</v>
      </c>
      <c r="K70" s="322">
        <f>VLOOKUP($A70,[0]!Data,301,FALSE)</f>
        <v>11430</v>
      </c>
      <c r="L70" s="322">
        <f>VLOOKUP($A70,[0]!Data,302,FALSE)</f>
        <v>3752</v>
      </c>
      <c r="M70" s="322">
        <f>VLOOKUP($A70,[0]!Data,306,FALSE)</f>
        <v>37170</v>
      </c>
      <c r="N70" s="324">
        <f>VLOOKUP($A70,[0]!Data,307,FALSE)</f>
        <v>38214</v>
      </c>
    </row>
    <row r="71" spans="1:14" x14ac:dyDescent="0.25">
      <c r="A71" s="36" t="s">
        <v>428</v>
      </c>
      <c r="B71" s="36" t="s">
        <v>1564</v>
      </c>
      <c r="C71" s="322">
        <f>VLOOKUP($A71,[0]!Data,255,FALSE)</f>
        <v>6925</v>
      </c>
      <c r="D71" s="322">
        <f>VLOOKUP($A71,[0]!Data,256,FALSE)</f>
        <v>2603</v>
      </c>
      <c r="E71" s="322">
        <f>VLOOKUP($A71,[0]!Data,257,FALSE)</f>
        <v>9528</v>
      </c>
      <c r="F71" s="212">
        <f>E71/'Table 1'!D71</f>
        <v>0.14162554254117368</v>
      </c>
      <c r="G71" s="322">
        <f>VLOOKUP($A71,[0]!Data,259,FALSE)</f>
        <v>106992</v>
      </c>
      <c r="H71" s="441">
        <f>G71/'Table 1'!D71</f>
        <v>1.5903442535228016</v>
      </c>
      <c r="I71" s="322">
        <f>VLOOKUP($A71,[0]!Data,300,FALSE)</f>
        <v>21265</v>
      </c>
      <c r="J71" s="441">
        <f>I71/'Table 1'!D71</f>
        <v>0.31608597419584994</v>
      </c>
      <c r="K71" s="322">
        <f>VLOOKUP($A71,[0]!Data,301,FALSE)</f>
        <v>4788</v>
      </c>
      <c r="L71" s="322">
        <f>VLOOKUP($A71,[0]!Data,302,FALSE)</f>
        <v>1522</v>
      </c>
      <c r="M71" s="322">
        <f>VLOOKUP($A71,[0]!Data,306,FALSE)</f>
        <v>6441</v>
      </c>
      <c r="N71" s="324">
        <f>VLOOKUP($A71,[0]!Data,307,FALSE)</f>
        <v>6257</v>
      </c>
    </row>
    <row r="72" spans="1:14" x14ac:dyDescent="0.25">
      <c r="A72" s="36" t="s">
        <v>629</v>
      </c>
      <c r="B72" s="36" t="s">
        <v>1565</v>
      </c>
      <c r="C72" s="322">
        <f>VLOOKUP($A72,[0]!Data,255,FALSE)</f>
        <v>64640</v>
      </c>
      <c r="D72" s="322">
        <f>VLOOKUP($A72,[0]!Data,256,FALSE)</f>
        <v>14138</v>
      </c>
      <c r="E72" s="322">
        <f>VLOOKUP($A72,[0]!Data,257,FALSE)</f>
        <v>78778</v>
      </c>
      <c r="F72" s="212">
        <f>E72/'Table 1'!D72</f>
        <v>0.42137638135584154</v>
      </c>
      <c r="G72" s="322">
        <f>VLOOKUP($A72,[0]!Data,259,FALSE)</f>
        <v>612486</v>
      </c>
      <c r="H72" s="441">
        <f>G72/'Table 1'!D72</f>
        <v>3.2761320966654899</v>
      </c>
      <c r="I72" s="322">
        <f>VLOOKUP($A72,[0]!Data,300,FALSE)</f>
        <v>88634</v>
      </c>
      <c r="J72" s="441">
        <f>I72/'Table 1'!D72</f>
        <v>0.47409523198219883</v>
      </c>
      <c r="K72" s="322">
        <f>VLOOKUP($A72,[0]!Data,301,FALSE)</f>
        <v>30472</v>
      </c>
      <c r="L72" s="322">
        <f>VLOOKUP($A72,[0]!Data,302,FALSE)</f>
        <v>8944</v>
      </c>
      <c r="M72" s="322">
        <f>VLOOKUP($A72,[0]!Data,306,FALSE)</f>
        <v>250</v>
      </c>
      <c r="N72" s="324">
        <f>VLOOKUP($A72,[0]!Data,307,FALSE)</f>
        <v>348</v>
      </c>
    </row>
    <row r="73" spans="1:14" x14ac:dyDescent="0.25">
      <c r="A73" s="36" t="s">
        <v>715</v>
      </c>
      <c r="B73" s="36" t="s">
        <v>1566</v>
      </c>
      <c r="C73" s="322">
        <f>VLOOKUP($A73,[0]!Data,255,FALSE)</f>
        <v>36303</v>
      </c>
      <c r="D73" s="322">
        <f>VLOOKUP($A73,[0]!Data,256,FALSE)</f>
        <v>13391</v>
      </c>
      <c r="E73" s="322">
        <f>VLOOKUP($A73,[0]!Data,257,FALSE)</f>
        <v>49694</v>
      </c>
      <c r="F73" s="212">
        <f>E73/'Table 1'!D73</f>
        <v>0.43954041695044183</v>
      </c>
      <c r="G73" s="322">
        <f>VLOOKUP($A73,[0]!Data,259,FALSE)</f>
        <v>340821</v>
      </c>
      <c r="H73" s="441">
        <f>G73/'Table 1'!D73</f>
        <v>3.0145410803208943</v>
      </c>
      <c r="I73" s="322">
        <f>VLOOKUP($A73,[0]!Data,300,FALSE)</f>
        <v>43142</v>
      </c>
      <c r="J73" s="441">
        <f>I73/'Table 1'!D73</f>
        <v>0.38158837421169478</v>
      </c>
      <c r="K73" s="322">
        <f>VLOOKUP($A73,[0]!Data,301,FALSE)</f>
        <v>12487</v>
      </c>
      <c r="L73" s="322">
        <f>VLOOKUP($A73,[0]!Data,302,FALSE)</f>
        <v>5311</v>
      </c>
      <c r="M73" s="322">
        <f>VLOOKUP($A73,[0]!Data,306,FALSE)</f>
        <v>507</v>
      </c>
      <c r="N73" s="324">
        <f>VLOOKUP($A73,[0]!Data,307,FALSE)</f>
        <v>1465</v>
      </c>
    </row>
    <row r="74" spans="1:14" x14ac:dyDescent="0.25">
      <c r="A74" s="36" t="s">
        <v>754</v>
      </c>
      <c r="B74" s="36" t="s">
        <v>1567</v>
      </c>
      <c r="C74" s="322">
        <f>VLOOKUP($A74,[0]!Data,255,FALSE)</f>
        <v>63001</v>
      </c>
      <c r="D74" s="322">
        <f>VLOOKUP($A74,[0]!Data,256,FALSE)</f>
        <v>8833</v>
      </c>
      <c r="E74" s="322">
        <f>VLOOKUP($A74,[0]!Data,257,FALSE)</f>
        <v>71834</v>
      </c>
      <c r="F74" s="212">
        <f>E74/'Table 1'!D74</f>
        <v>0.42626141549124441</v>
      </c>
      <c r="G74" s="322">
        <f>VLOOKUP($A74,[0]!Data,259,FALSE)</f>
        <v>434545</v>
      </c>
      <c r="H74" s="441">
        <f>G74/'Table 1'!D74</f>
        <v>2.5785807110093106</v>
      </c>
      <c r="I74" s="322">
        <f>VLOOKUP($A74,[0]!Data,300,FALSE)</f>
        <v>124762</v>
      </c>
      <c r="J74" s="441">
        <f>I74/'Table 1'!D74</f>
        <v>0.74033503242919285</v>
      </c>
      <c r="K74" s="322">
        <f>VLOOKUP($A74,[0]!Data,301,FALSE)</f>
        <v>40929</v>
      </c>
      <c r="L74" s="322">
        <f>VLOOKUP($A74,[0]!Data,302,FALSE)</f>
        <v>731</v>
      </c>
      <c r="M74" s="322">
        <f>VLOOKUP($A74,[0]!Data,306,FALSE)</f>
        <v>31044</v>
      </c>
      <c r="N74" s="324">
        <f>VLOOKUP($A74,[0]!Data,307,FALSE)</f>
        <v>30386</v>
      </c>
    </row>
    <row r="75" spans="1:14" x14ac:dyDescent="0.25">
      <c r="A75" s="36" t="s">
        <v>1048</v>
      </c>
      <c r="B75" s="36" t="s">
        <v>1568</v>
      </c>
      <c r="C75" s="322">
        <f>VLOOKUP($A75,[0]!Data,255,FALSE)</f>
        <v>28832</v>
      </c>
      <c r="D75" s="322">
        <f>VLOOKUP($A75,[0]!Data,256,FALSE)</f>
        <v>7056</v>
      </c>
      <c r="E75" s="322">
        <f>VLOOKUP($A75,[0]!Data,257,FALSE)</f>
        <v>35888</v>
      </c>
      <c r="F75" s="212">
        <f>E75/'Table 1'!D75</f>
        <v>0.73622451072908546</v>
      </c>
      <c r="G75" s="322">
        <f>VLOOKUP($A75,[0]!Data,259,FALSE)</f>
        <v>255832</v>
      </c>
      <c r="H75" s="441">
        <f>G75/'Table 1'!D75</f>
        <v>5.2482665244327737</v>
      </c>
      <c r="I75" s="322">
        <f>VLOOKUP($A75,[0]!Data,300,FALSE)</f>
        <v>85978</v>
      </c>
      <c r="J75" s="441">
        <f>I75/'Table 1'!D75</f>
        <v>1.7637960037746687</v>
      </c>
      <c r="K75" s="322">
        <f>VLOOKUP($A75,[0]!Data,301,FALSE)</f>
        <v>2510</v>
      </c>
      <c r="L75" s="322">
        <f>VLOOKUP($A75,[0]!Data,302,FALSE)</f>
        <v>154</v>
      </c>
      <c r="M75" s="322">
        <f>VLOOKUP($A75,[0]!Data,306,FALSE)</f>
        <v>18</v>
      </c>
      <c r="N75" s="324">
        <f>VLOOKUP($A75,[0]!Data,307,FALSE)</f>
        <v>201</v>
      </c>
    </row>
    <row r="76" spans="1:14" x14ac:dyDescent="0.25">
      <c r="A76" s="36" t="s">
        <v>1064</v>
      </c>
      <c r="B76" s="36" t="s">
        <v>1569</v>
      </c>
      <c r="C76" s="322">
        <f>VLOOKUP($A76,[0]!Data,255,FALSE)</f>
        <v>40541</v>
      </c>
      <c r="D76" s="322">
        <f>VLOOKUP($A76,[0]!Data,256,FALSE)</f>
        <v>11508</v>
      </c>
      <c r="E76" s="322">
        <f>VLOOKUP($A76,[0]!Data,257,FALSE)</f>
        <v>52049</v>
      </c>
      <c r="F76" s="212">
        <f>E76/'Table 1'!D76</f>
        <v>0.58245115373424949</v>
      </c>
      <c r="G76" s="322">
        <f>VLOOKUP($A76,[0]!Data,259,FALSE)</f>
        <v>432232</v>
      </c>
      <c r="H76" s="441">
        <f>G76/'Table 1'!D76</f>
        <v>4.8368657818759653</v>
      </c>
      <c r="I76" s="322">
        <f>VLOOKUP($A76,[0]!Data,300,FALSE)</f>
        <v>123637</v>
      </c>
      <c r="J76" s="441">
        <f>I76/'Table 1'!D76</f>
        <v>1.3835522929209283</v>
      </c>
      <c r="K76" s="322">
        <f>VLOOKUP($A76,[0]!Data,301,FALSE)</f>
        <v>63837</v>
      </c>
      <c r="L76" s="322">
        <f>VLOOKUP($A76,[0]!Data,302,FALSE)</f>
        <v>21821</v>
      </c>
      <c r="M76" s="322">
        <f>VLOOKUP($A76,[0]!Data,306,FALSE)</f>
        <v>10509</v>
      </c>
      <c r="N76" s="324">
        <f>VLOOKUP($A76,[0]!Data,307,FALSE)</f>
        <v>9543</v>
      </c>
    </row>
    <row r="77" spans="1:14" x14ac:dyDescent="0.25">
      <c r="A77" s="36" t="s">
        <v>1093</v>
      </c>
      <c r="B77" s="36" t="s">
        <v>1570</v>
      </c>
      <c r="C77" s="322">
        <f>VLOOKUP($A77,[0]!Data,255,FALSE)</f>
        <v>46233</v>
      </c>
      <c r="D77" s="322">
        <f>VLOOKUP($A77,[0]!Data,256,FALSE)</f>
        <v>20656</v>
      </c>
      <c r="E77" s="322">
        <f>VLOOKUP($A77,[0]!Data,257,FALSE)</f>
        <v>66889</v>
      </c>
      <c r="F77" s="212">
        <f>E77/'Table 1'!D77</f>
        <v>0.39691789153873996</v>
      </c>
      <c r="G77" s="322">
        <f>VLOOKUP($A77,[0]!Data,259,FALSE)</f>
        <v>349529</v>
      </c>
      <c r="H77" s="441">
        <f>G77/'Table 1'!D77</f>
        <v>2.0740975902113088</v>
      </c>
      <c r="I77" s="322">
        <f>VLOOKUP($A77,[0]!Data,300,FALSE)</f>
        <v>324291</v>
      </c>
      <c r="J77" s="441">
        <f>I77/'Table 1'!D77</f>
        <v>1.9243358394502763</v>
      </c>
      <c r="K77" s="322">
        <f>VLOOKUP($A77,[0]!Data,301,FALSE)</f>
        <v>50077</v>
      </c>
      <c r="L77" s="322">
        <f>VLOOKUP($A77,[0]!Data,302,FALSE)</f>
        <v>42199</v>
      </c>
      <c r="M77" s="322">
        <f>VLOOKUP($A77,[0]!Data,306,FALSE)</f>
        <v>34676</v>
      </c>
      <c r="N77" s="324">
        <f>VLOOKUP($A77,[0]!Data,307,FALSE)</f>
        <v>33829</v>
      </c>
    </row>
    <row r="78" spans="1:14" x14ac:dyDescent="0.25">
      <c r="A78" s="36" t="s">
        <v>1172</v>
      </c>
      <c r="B78" s="36" t="s">
        <v>1571</v>
      </c>
      <c r="C78" s="322">
        <f>VLOOKUP($A78,[0]!Data,255,FALSE)</f>
        <v>17619</v>
      </c>
      <c r="D78" s="322">
        <f>VLOOKUP($A78,[0]!Data,256,FALSE)</f>
        <v>5093</v>
      </c>
      <c r="E78" s="322">
        <f>VLOOKUP($A78,[0]!Data,257,FALSE)</f>
        <v>22712</v>
      </c>
      <c r="F78" s="212">
        <f>E78/'Table 1'!D78</f>
        <v>0.51001526991826107</v>
      </c>
      <c r="G78" s="322">
        <f>VLOOKUP($A78,[0]!Data,259,FALSE)</f>
        <v>221282</v>
      </c>
      <c r="H78" s="441">
        <f>G78/'Table 1'!D78</f>
        <v>4.9690559597592738</v>
      </c>
      <c r="I78" s="322">
        <f>VLOOKUP($A78,[0]!Data,300,FALSE)</f>
        <v>18792</v>
      </c>
      <c r="J78" s="441">
        <f>I78/'Table 1'!D78</f>
        <v>0.4219886822958771</v>
      </c>
      <c r="K78" s="322">
        <f>VLOOKUP($A78,[0]!Data,301,FALSE)</f>
        <v>5820</v>
      </c>
      <c r="L78" s="322">
        <f>VLOOKUP($A78,[0]!Data,302,FALSE)</f>
        <v>973</v>
      </c>
      <c r="M78" s="322">
        <f>VLOOKUP($A78,[0]!Data,306,FALSE)</f>
        <v>35</v>
      </c>
      <c r="N78" s="324">
        <f>VLOOKUP($A78,[0]!Data,307,FALSE)</f>
        <v>151</v>
      </c>
    </row>
    <row r="79" spans="1:14" x14ac:dyDescent="0.25">
      <c r="A79" s="36" t="s">
        <v>1305</v>
      </c>
      <c r="B79" s="36" t="s">
        <v>1572</v>
      </c>
      <c r="C79" s="322">
        <f>VLOOKUP($A79,[0]!Data,255,FALSE)</f>
        <v>92129</v>
      </c>
      <c r="D79" s="322">
        <f>VLOOKUP($A79,[0]!Data,256,FALSE)</f>
        <v>29917</v>
      </c>
      <c r="E79" s="322">
        <f>VLOOKUP($A79,[0]!Data,257,FALSE)</f>
        <v>122046</v>
      </c>
      <c r="F79" s="212">
        <f>E79/'Table 1'!D79</f>
        <v>0.52409948983973753</v>
      </c>
      <c r="G79" s="322">
        <f>VLOOKUP($A79,[0]!Data,259,FALSE)</f>
        <v>420949</v>
      </c>
      <c r="H79" s="441">
        <f>G79/'Table 1'!D79</f>
        <v>1.8076721576171908</v>
      </c>
      <c r="I79" s="322">
        <f>VLOOKUP($A79,[0]!Data,300,FALSE)</f>
        <v>90232</v>
      </c>
      <c r="J79" s="441">
        <f>I79/'Table 1'!D79</f>
        <v>0.38748131988937939</v>
      </c>
      <c r="K79" s="322">
        <f>VLOOKUP($A79,[0]!Data,301,FALSE)</f>
        <v>24520</v>
      </c>
      <c r="L79" s="322">
        <f>VLOOKUP($A79,[0]!Data,302,FALSE)</f>
        <v>12431</v>
      </c>
      <c r="M79" s="322">
        <f>VLOOKUP($A79,[0]!Data,306,FALSE)</f>
        <v>153</v>
      </c>
      <c r="N79" s="324">
        <f>VLOOKUP($A79,[0]!Data,307,FALSE)</f>
        <v>68</v>
      </c>
    </row>
    <row r="80" spans="1:14" ht="15.75" thickBot="1" x14ac:dyDescent="0.3">
      <c r="A80" s="599" t="s">
        <v>1647</v>
      </c>
      <c r="B80" s="600"/>
      <c r="C80" s="325">
        <f>SUM(C68:C79)</f>
        <v>514012</v>
      </c>
      <c r="D80" s="325">
        <f>SUM(D68:D79)</f>
        <v>141826</v>
      </c>
      <c r="E80" s="325">
        <f>SUM(E68:E79)</f>
        <v>655838</v>
      </c>
      <c r="F80" s="288">
        <f>AVERAGE(F68:F79)</f>
        <v>0.4865107086164413</v>
      </c>
      <c r="G80" s="325">
        <f>SUM(G68:G79)</f>
        <v>3677943</v>
      </c>
      <c r="H80" s="445">
        <f>AVERAGE(H68:H79)</f>
        <v>2.8247957136213002</v>
      </c>
      <c r="I80" s="325">
        <f>SUM(I68:I79)</f>
        <v>999884</v>
      </c>
      <c r="J80" s="445">
        <f>AVERAGE(J68:J79)</f>
        <v>0.73706451025728803</v>
      </c>
      <c r="K80" s="325">
        <f>SUM(K68:K79)</f>
        <v>267785</v>
      </c>
      <c r="L80" s="325">
        <f>SUM(L68:L79)</f>
        <v>100571</v>
      </c>
      <c r="M80" s="325">
        <f>SUM(M68:M79)</f>
        <v>120803</v>
      </c>
      <c r="N80" s="44">
        <f>SUM(N68:N79)</f>
        <v>120473</v>
      </c>
    </row>
    <row r="81" spans="1:17" ht="16.5" thickTop="1" thickBot="1" x14ac:dyDescent="0.3">
      <c r="A81" s="54"/>
      <c r="B81" s="45" t="s">
        <v>1456</v>
      </c>
      <c r="C81" s="49"/>
      <c r="D81" s="49"/>
      <c r="E81" s="49"/>
      <c r="F81" s="233"/>
      <c r="G81" s="49"/>
      <c r="H81" s="49"/>
      <c r="I81" s="49"/>
      <c r="J81" s="49"/>
      <c r="K81" s="49"/>
      <c r="L81" s="49"/>
      <c r="M81" s="49"/>
      <c r="N81" s="50"/>
    </row>
    <row r="82" spans="1:17" ht="15.75" thickTop="1" x14ac:dyDescent="0.25">
      <c r="A82" s="51" t="s">
        <v>557</v>
      </c>
      <c r="B82" s="36" t="s">
        <v>1573</v>
      </c>
      <c r="C82" s="322">
        <f>VLOOKUP($A82,[0]!Data,255,FALSE)</f>
        <v>32547</v>
      </c>
      <c r="D82" s="322">
        <f>VLOOKUP($A82,[0]!Data,256,FALSE)</f>
        <v>6795</v>
      </c>
      <c r="E82" s="322">
        <f>VLOOKUP($A82,[0]!Data,257,FALSE)</f>
        <v>39342</v>
      </c>
      <c r="F82" s="212">
        <f>E82/'Table 1'!D82</f>
        <v>0.65732139276882973</v>
      </c>
      <c r="G82" s="322">
        <f>VLOOKUP($A82,[0]!Data,259,FALSE)</f>
        <v>657976</v>
      </c>
      <c r="H82" s="441">
        <f>G82/'Table 1'!D82</f>
        <v>10.993383679743367</v>
      </c>
      <c r="I82" s="322">
        <f>VLOOKUP($A82,[0]!Data,300,FALSE)</f>
        <v>33228</v>
      </c>
      <c r="J82" s="441">
        <f>I82/'Table 1'!D82</f>
        <v>0.55516941789748042</v>
      </c>
      <c r="K82" s="322">
        <f>VLOOKUP($A82,[0]!Data,301,FALSE)</f>
        <v>22880</v>
      </c>
      <c r="L82" s="322">
        <f>VLOOKUP($A82,[0]!Data,302,FALSE)</f>
        <v>4888</v>
      </c>
      <c r="M82" s="322">
        <f>VLOOKUP($A82,[0]!Data,306,FALSE)</f>
        <v>0</v>
      </c>
      <c r="N82" s="324">
        <f>VLOOKUP($A82,[0]!Data,307,FALSE)</f>
        <v>405</v>
      </c>
    </row>
    <row r="83" spans="1:17" x14ac:dyDescent="0.25">
      <c r="A83" s="51" t="s">
        <v>946</v>
      </c>
      <c r="B83" s="36" t="s">
        <v>1457</v>
      </c>
      <c r="C83" s="322">
        <f>VLOOKUP($A83,[0]!Data,255,FALSE)</f>
        <v>8238</v>
      </c>
      <c r="D83" s="322">
        <f>VLOOKUP($A83,[0]!Data,256,FALSE)</f>
        <v>374</v>
      </c>
      <c r="E83" s="322">
        <f>VLOOKUP($A83,[0]!Data,257,FALSE)</f>
        <v>8612</v>
      </c>
      <c r="F83" s="212">
        <f>E83/'Table 1'!D83</f>
        <v>0.44330056107479282</v>
      </c>
      <c r="G83" s="322">
        <f>VLOOKUP($A83,[0]!Data,259,FALSE)</f>
        <v>62161</v>
      </c>
      <c r="H83" s="441">
        <f>G83/'Table 1'!D83</f>
        <v>3.1997220363411745</v>
      </c>
      <c r="I83" s="322">
        <f>VLOOKUP($A83,[0]!Data,300,FALSE)</f>
        <v>20885</v>
      </c>
      <c r="J83" s="441">
        <f>I83/'Table 1'!D83</f>
        <v>1.0750501878828436</v>
      </c>
      <c r="K83" s="322">
        <f>VLOOKUP($A83,[0]!Data,301,FALSE)</f>
        <v>411</v>
      </c>
      <c r="L83" s="322">
        <f>VLOOKUP($A83,[0]!Data,302,FALSE)</f>
        <v>119</v>
      </c>
      <c r="M83" s="322">
        <f>VLOOKUP($A83,[0]!Data,306,FALSE)</f>
        <v>0</v>
      </c>
      <c r="N83" s="324">
        <f>VLOOKUP($A83,[0]!Data,307,FALSE)</f>
        <v>275</v>
      </c>
    </row>
    <row r="84" spans="1:17" x14ac:dyDescent="0.25">
      <c r="A84" s="51" t="s">
        <v>743</v>
      </c>
      <c r="B84" s="36" t="s">
        <v>1574</v>
      </c>
      <c r="C84" s="322">
        <f>VLOOKUP($A84,[0]!Data,255,FALSE)</f>
        <v>8771</v>
      </c>
      <c r="D84" s="322">
        <f>VLOOKUP($A84,[0]!Data,256,FALSE)</f>
        <v>2247</v>
      </c>
      <c r="E84" s="322">
        <f>VLOOKUP($A84,[0]!Data,257,FALSE)</f>
        <v>11018</v>
      </c>
      <c r="F84" s="212">
        <f>E84/'Table 1'!D84</f>
        <v>2.3593147751605996</v>
      </c>
      <c r="G84" s="322">
        <f>VLOOKUP($A84,[0]!Data,259,FALSE)</f>
        <v>34327</v>
      </c>
      <c r="H84" s="441">
        <f>G84/'Table 1'!D84</f>
        <v>7.3505353319057818</v>
      </c>
      <c r="I84" s="322">
        <f>VLOOKUP($A84,[0]!Data,300,FALSE)</f>
        <v>15168</v>
      </c>
      <c r="J84" s="441">
        <f>I84/'Table 1'!D84</f>
        <v>3.2479657387580301</v>
      </c>
      <c r="K84" s="322">
        <f>VLOOKUP($A84,[0]!Data,301,FALSE)</f>
        <v>3358</v>
      </c>
      <c r="L84" s="322">
        <f>VLOOKUP($A84,[0]!Data,302,FALSE)</f>
        <v>16</v>
      </c>
      <c r="M84" s="322">
        <f>VLOOKUP($A84,[0]!Data,306,FALSE)</f>
        <v>2660</v>
      </c>
      <c r="N84" s="324">
        <f>VLOOKUP($A84,[0]!Data,307,FALSE)</f>
        <v>2592</v>
      </c>
    </row>
    <row r="85" spans="1:17" x14ac:dyDescent="0.25">
      <c r="A85" s="51" t="s">
        <v>917</v>
      </c>
      <c r="B85" s="36" t="s">
        <v>1575</v>
      </c>
      <c r="C85" s="322">
        <f>VLOOKUP($A85,[0]!Data,255,FALSE)</f>
        <v>27089</v>
      </c>
      <c r="D85" s="322">
        <f>VLOOKUP($A85,[0]!Data,256,FALSE)</f>
        <v>7391</v>
      </c>
      <c r="E85" s="322">
        <f>VLOOKUP($A85,[0]!Data,257,FALSE)</f>
        <v>34480</v>
      </c>
      <c r="F85" s="212">
        <f>E85/'Table 1'!D85</f>
        <v>0.85234716831878976</v>
      </c>
      <c r="G85" s="322">
        <f>VLOOKUP($A85,[0]!Data,259,FALSE)</f>
        <v>347194</v>
      </c>
      <c r="H85" s="441">
        <f>G85/'Table 1'!D85</f>
        <v>8.5826514720787088</v>
      </c>
      <c r="I85" s="322">
        <f>VLOOKUP($A85,[0]!Data,300,FALSE)</f>
        <v>53163</v>
      </c>
      <c r="J85" s="441">
        <f>I85/'Table 1'!D85</f>
        <v>1.3141917781128718</v>
      </c>
      <c r="K85" s="322">
        <f>VLOOKUP($A85,[0]!Data,301,FALSE)</f>
        <v>22706</v>
      </c>
      <c r="L85" s="322">
        <f>VLOOKUP($A85,[0]!Data,302,FALSE)</f>
        <v>1902</v>
      </c>
      <c r="M85" s="322">
        <f>VLOOKUP($A85,[0]!Data,306,FALSE)</f>
        <v>179</v>
      </c>
      <c r="N85" s="324">
        <f>VLOOKUP($A85,[0]!Data,307,FALSE)</f>
        <v>277</v>
      </c>
    </row>
    <row r="86" spans="1:17" x14ac:dyDescent="0.25">
      <c r="A86" s="51" t="s">
        <v>932</v>
      </c>
      <c r="B86" s="36" t="s">
        <v>1576</v>
      </c>
      <c r="C86" s="322">
        <f>VLOOKUP($A86,[0]!Data,255,FALSE)</f>
        <v>69735</v>
      </c>
      <c r="D86" s="322">
        <f>VLOOKUP($A86,[0]!Data,256,FALSE)</f>
        <v>13222</v>
      </c>
      <c r="E86" s="322">
        <f>VLOOKUP($A86,[0]!Data,257,FALSE)</f>
        <v>82957</v>
      </c>
      <c r="F86" s="212">
        <f>E86/'Table 1'!D86</f>
        <v>0.75248539603062303</v>
      </c>
      <c r="G86" s="322">
        <f>VLOOKUP($A86,[0]!Data,259,FALSE)</f>
        <v>315277</v>
      </c>
      <c r="H86" s="441">
        <f>G86/'Table 1'!D86</f>
        <v>2.8598109647690579</v>
      </c>
      <c r="I86" s="322">
        <f>VLOOKUP($A86,[0]!Data,300,FALSE)</f>
        <v>97833</v>
      </c>
      <c r="J86" s="441">
        <f>I86/'Table 1'!D86</f>
        <v>0.88742244475889842</v>
      </c>
      <c r="K86" s="322">
        <f>VLOOKUP($A86,[0]!Data,301,FALSE)</f>
        <v>8903</v>
      </c>
      <c r="L86" s="322">
        <f>VLOOKUP($A86,[0]!Data,302,FALSE)</f>
        <v>10356</v>
      </c>
      <c r="M86" s="322">
        <f>VLOOKUP($A86,[0]!Data,306,FALSE)</f>
        <v>1376</v>
      </c>
      <c r="N86" s="324">
        <f>VLOOKUP($A86,[0]!Data,307,FALSE)</f>
        <v>782</v>
      </c>
    </row>
    <row r="87" spans="1:17" x14ac:dyDescent="0.25">
      <c r="A87" s="51" t="s">
        <v>970</v>
      </c>
      <c r="B87" s="36" t="s">
        <v>1577</v>
      </c>
      <c r="C87" s="322">
        <f>VLOOKUP($A87,[0]!Data,255,FALSE)</f>
        <v>16812</v>
      </c>
      <c r="D87" s="322">
        <f>VLOOKUP($A87,[0]!Data,256,FALSE)</f>
        <v>0</v>
      </c>
      <c r="E87" s="322">
        <f>VLOOKUP($A87,[0]!Data,257,FALSE)</f>
        <v>16812</v>
      </c>
      <c r="F87" s="212">
        <f>E87/'Table 1'!D87</f>
        <v>1.568429890848027</v>
      </c>
      <c r="G87" s="322">
        <f>VLOOKUP($A87,[0]!Data,259,FALSE)</f>
        <v>117070</v>
      </c>
      <c r="H87" s="441">
        <f>G87/'Table 1'!D87</f>
        <v>10.921727773113163</v>
      </c>
      <c r="I87" s="322">
        <f>VLOOKUP($A87,[0]!Data,300,FALSE)</f>
        <v>6204</v>
      </c>
      <c r="J87" s="441">
        <f>I87/'Table 1'!D87</f>
        <v>0.57878533445284075</v>
      </c>
      <c r="K87" s="322">
        <f>VLOOKUP($A87,[0]!Data,301,FALSE)</f>
        <v>4110</v>
      </c>
      <c r="L87" s="322">
        <f>VLOOKUP($A87,[0]!Data,302,FALSE)</f>
        <v>774</v>
      </c>
      <c r="M87" s="322">
        <f>VLOOKUP($A87,[0]!Data,306,FALSE)</f>
        <v>11215</v>
      </c>
      <c r="N87" s="324">
        <f>VLOOKUP($A87,[0]!Data,307,FALSE)</f>
        <v>11189</v>
      </c>
    </row>
    <row r="88" spans="1:17" x14ac:dyDescent="0.25">
      <c r="A88" s="51" t="s">
        <v>1033</v>
      </c>
      <c r="B88" s="36" t="s">
        <v>1578</v>
      </c>
      <c r="C88" s="322">
        <f>VLOOKUP($A88,[0]!Data,255,FALSE)</f>
        <v>34002</v>
      </c>
      <c r="D88" s="322">
        <f>VLOOKUP($A88,[0]!Data,256,FALSE)</f>
        <v>9046</v>
      </c>
      <c r="E88" s="322">
        <f>VLOOKUP($A88,[0]!Data,257,FALSE)</f>
        <v>43048</v>
      </c>
      <c r="F88" s="212">
        <f>E88/'Table 1'!D88</f>
        <v>1.1018736561892086</v>
      </c>
      <c r="G88" s="322">
        <f>VLOOKUP($A88,[0]!Data,259,FALSE)</f>
        <v>277105</v>
      </c>
      <c r="H88" s="441">
        <f>G88/'Table 1'!D88</f>
        <v>7.0928893211835771</v>
      </c>
      <c r="I88" s="322">
        <f>VLOOKUP($A88,[0]!Data,300,FALSE)</f>
        <v>20748</v>
      </c>
      <c r="J88" s="441">
        <f>I88/'Table 1'!D88</f>
        <v>0.53107402477731136</v>
      </c>
      <c r="K88" s="322">
        <f>VLOOKUP($A88,[0]!Data,301,FALSE)</f>
        <v>11960</v>
      </c>
      <c r="L88" s="322">
        <f>VLOOKUP($A88,[0]!Data,302,FALSE)</f>
        <v>208</v>
      </c>
      <c r="M88" s="322">
        <f>VLOOKUP($A88,[0]!Data,306,FALSE)</f>
        <v>19</v>
      </c>
      <c r="N88" s="324">
        <f>VLOOKUP($A88,[0]!Data,307,FALSE)</f>
        <v>212</v>
      </c>
    </row>
    <row r="89" spans="1:17" x14ac:dyDescent="0.25">
      <c r="A89" s="51" t="s">
        <v>884</v>
      </c>
      <c r="B89" s="36" t="s">
        <v>1579</v>
      </c>
      <c r="C89" s="322">
        <f>VLOOKUP($A89,[0]!Data,255,FALSE)</f>
        <v>6735</v>
      </c>
      <c r="D89" s="322">
        <f>VLOOKUP($A89,[0]!Data,256,FALSE)</f>
        <v>841</v>
      </c>
      <c r="E89" s="322">
        <f>VLOOKUP($A89,[0]!Data,257,FALSE)</f>
        <v>7576</v>
      </c>
      <c r="F89" s="212">
        <f>E89/'Table 1'!D89</f>
        <v>1.4482890460714968</v>
      </c>
      <c r="G89" s="322">
        <f>VLOOKUP($A89,[0]!Data,259,FALSE)</f>
        <v>51592</v>
      </c>
      <c r="H89" s="441">
        <f>G89/'Table 1'!D89</f>
        <v>9.8627413496463383</v>
      </c>
      <c r="I89" s="322">
        <f>VLOOKUP($A89,[0]!Data,300,FALSE)</f>
        <v>2175</v>
      </c>
      <c r="J89" s="441">
        <f>I89/'Table 1'!D89</f>
        <v>0.41579047983177214</v>
      </c>
      <c r="K89" s="322">
        <f>VLOOKUP($A89,[0]!Data,301,FALSE)</f>
        <v>256</v>
      </c>
      <c r="L89" s="322">
        <f>VLOOKUP($A89,[0]!Data,302,FALSE)</f>
        <v>117</v>
      </c>
      <c r="M89" s="322">
        <f>VLOOKUP($A89,[0]!Data,306,FALSE)</f>
        <v>0</v>
      </c>
      <c r="N89" s="324">
        <f>VLOOKUP($A89,[0]!Data,307,FALSE)</f>
        <v>0</v>
      </c>
    </row>
    <row r="90" spans="1:17" x14ac:dyDescent="0.25">
      <c r="A90" s="51" t="s">
        <v>1224</v>
      </c>
      <c r="B90" s="36" t="s">
        <v>1580</v>
      </c>
      <c r="C90" s="322">
        <f>VLOOKUP($A90,[0]!Data,255,FALSE)</f>
        <v>7273</v>
      </c>
      <c r="D90" s="322">
        <f>VLOOKUP($A90,[0]!Data,256,FALSE)</f>
        <v>853</v>
      </c>
      <c r="E90" s="322">
        <f>VLOOKUP($A90,[0]!Data,257,FALSE)</f>
        <v>8126</v>
      </c>
      <c r="F90" s="212">
        <f>E90/'Table 1'!D90</f>
        <v>0.53811005893649422</v>
      </c>
      <c r="G90" s="322">
        <f>VLOOKUP($A90,[0]!Data,259,FALSE)</f>
        <v>29998</v>
      </c>
      <c r="H90" s="441">
        <f>G90/'Table 1'!D90</f>
        <v>1.9864909608635191</v>
      </c>
      <c r="I90" s="322">
        <f>VLOOKUP($A90,[0]!Data,300,FALSE)</f>
        <v>19243</v>
      </c>
      <c r="J90" s="441">
        <f>I90/'Table 1'!D90</f>
        <v>1.2742864710946296</v>
      </c>
      <c r="K90" s="322">
        <f>VLOOKUP($A90,[0]!Data,301,FALSE)</f>
        <v>4563</v>
      </c>
      <c r="L90" s="322">
        <f>VLOOKUP($A90,[0]!Data,302,FALSE)</f>
        <v>447</v>
      </c>
      <c r="M90" s="322">
        <f>VLOOKUP($A90,[0]!Data,306,FALSE)</f>
        <v>20</v>
      </c>
      <c r="N90" s="324">
        <f>VLOOKUP($A90,[0]!Data,307,FALSE)</f>
        <v>15</v>
      </c>
    </row>
    <row r="91" spans="1:17" x14ac:dyDescent="0.25">
      <c r="A91" s="51" t="s">
        <v>1346</v>
      </c>
      <c r="B91" s="36" t="s">
        <v>1581</v>
      </c>
      <c r="C91" s="322">
        <f>VLOOKUP($A91,[0]!Data,255,FALSE)</f>
        <v>5115</v>
      </c>
      <c r="D91" s="322">
        <f>VLOOKUP($A91,[0]!Data,256,FALSE)</f>
        <v>1168</v>
      </c>
      <c r="E91" s="322">
        <f>VLOOKUP($A91,[0]!Data,257,FALSE)</f>
        <v>6283</v>
      </c>
      <c r="F91" s="212">
        <f>E91/'Table 1'!D91</f>
        <v>0.45674614713579531</v>
      </c>
      <c r="G91" s="322">
        <f>VLOOKUP($A91,[0]!Data,259,FALSE)</f>
        <v>86180</v>
      </c>
      <c r="H91" s="441">
        <f>G91/'Table 1'!D91</f>
        <v>6.2649025879616165</v>
      </c>
      <c r="I91" s="322">
        <f>VLOOKUP($A91,[0]!Data,300,FALSE)</f>
        <v>6283</v>
      </c>
      <c r="J91" s="441">
        <f>I91/'Table 1'!D91</f>
        <v>0.45674614713579531</v>
      </c>
      <c r="K91" s="322">
        <f>VLOOKUP($A91,[0]!Data,301,FALSE)</f>
        <v>1428</v>
      </c>
      <c r="L91" s="322">
        <f>VLOOKUP($A91,[0]!Data,302,FALSE)</f>
        <v>92</v>
      </c>
      <c r="M91" s="322">
        <f>VLOOKUP($A91,[0]!Data,306,FALSE)</f>
        <v>366</v>
      </c>
      <c r="N91" s="324">
        <f>VLOOKUP($A91,[0]!Data,307,FALSE)</f>
        <v>92</v>
      </c>
    </row>
    <row r="92" spans="1:17" x14ac:dyDescent="0.25">
      <c r="A92" s="51" t="s">
        <v>819</v>
      </c>
      <c r="B92" s="36" t="s">
        <v>1582</v>
      </c>
      <c r="C92" s="322">
        <f>VLOOKUP($A92,[0]!Data,255,FALSE)</f>
        <v>13443</v>
      </c>
      <c r="D92" s="322">
        <f>VLOOKUP($A92,[0]!Data,256,FALSE)</f>
        <v>3449</v>
      </c>
      <c r="E92" s="322">
        <f>VLOOKUP($A92,[0]!Data,257,FALSE)</f>
        <v>16892</v>
      </c>
      <c r="F92" s="212">
        <f>E92/'Table 1'!D92</f>
        <v>1.7667607990795942</v>
      </c>
      <c r="G92" s="322">
        <f>VLOOKUP($A92,[0]!Data,259,FALSE)</f>
        <v>101471</v>
      </c>
      <c r="H92" s="441">
        <f>G92/'Table 1'!D92</f>
        <v>10.613011191297982</v>
      </c>
      <c r="I92" s="322">
        <f>VLOOKUP($A92,[0]!Data,300,FALSE)</f>
        <v>20650</v>
      </c>
      <c r="J92" s="441">
        <f>I92/'Table 1'!D92</f>
        <v>2.1598159188369417</v>
      </c>
      <c r="K92" s="322">
        <f>VLOOKUP($A92,[0]!Data,301,FALSE)</f>
        <v>2536</v>
      </c>
      <c r="L92" s="322">
        <f>VLOOKUP($A92,[0]!Data,302,FALSE)</f>
        <v>1103</v>
      </c>
      <c r="M92" s="322">
        <f>VLOOKUP($A92,[0]!Data,306,FALSE)</f>
        <v>6401</v>
      </c>
      <c r="N92" s="324">
        <f>VLOOKUP($A92,[0]!Data,307,FALSE)</f>
        <v>6538</v>
      </c>
    </row>
    <row r="93" spans="1:17" ht="15.75" thickBot="1" x14ac:dyDescent="0.3">
      <c r="A93" s="599" t="s">
        <v>1647</v>
      </c>
      <c r="B93" s="600"/>
      <c r="C93" s="57">
        <f>SUM(C82:C92)</f>
        <v>229760</v>
      </c>
      <c r="D93" s="57">
        <f t="shared" ref="D93:N93" si="0">SUM(D82:D92)</f>
        <v>45386</v>
      </c>
      <c r="E93" s="57">
        <f t="shared" si="0"/>
        <v>275146</v>
      </c>
      <c r="F93" s="237">
        <f>AVERAGE(F82:F92)</f>
        <v>1.085907171964932</v>
      </c>
      <c r="G93" s="57">
        <f t="shared" si="0"/>
        <v>2080351</v>
      </c>
      <c r="H93" s="446">
        <f>AVERAGE(H82:H92)</f>
        <v>7.2479878789912986</v>
      </c>
      <c r="I93" s="57">
        <f t="shared" si="0"/>
        <v>295580</v>
      </c>
      <c r="J93" s="446">
        <f>AVERAGE(J82:J92)</f>
        <v>1.1360270857763104</v>
      </c>
      <c r="K93" s="57">
        <f>SUM(K82:K92)</f>
        <v>83111</v>
      </c>
      <c r="L93" s="57">
        <f>SUM(L82:L92)</f>
        <v>20022</v>
      </c>
      <c r="M93" s="57">
        <f>SUM(M82:M92)</f>
        <v>22236</v>
      </c>
      <c r="N93" s="447">
        <f t="shared" si="0"/>
        <v>22377</v>
      </c>
    </row>
    <row r="94" spans="1:17" ht="17.25" thickTop="1" thickBot="1" x14ac:dyDescent="0.3">
      <c r="A94" s="134"/>
      <c r="B94" s="14"/>
      <c r="C94" s="63"/>
      <c r="D94" s="63"/>
      <c r="E94" s="384"/>
      <c r="F94" s="247"/>
      <c r="G94" s="72"/>
      <c r="H94" s="72"/>
      <c r="I94" s="72"/>
      <c r="J94" s="72"/>
      <c r="K94" s="72"/>
      <c r="L94" s="72"/>
      <c r="M94" s="384"/>
      <c r="N94" s="448"/>
    </row>
    <row r="95" spans="1:17" s="86" customFormat="1" ht="16.5" thickTop="1" thickBot="1" x14ac:dyDescent="0.3">
      <c r="A95" s="655" t="s">
        <v>1647</v>
      </c>
      <c r="B95" s="656"/>
      <c r="C95" s="329">
        <f>SUM(C93,C80,C66)</f>
        <v>4191547</v>
      </c>
      <c r="D95" s="329">
        <f>SUM(D93,D80,D66)</f>
        <v>1305476</v>
      </c>
      <c r="E95" s="329">
        <f>SUM(E93,E80,E66)</f>
        <v>5497023</v>
      </c>
      <c r="F95" s="365">
        <f>AVERAGE(F82:F92,F68:F79,F59:F65,F8:F57)</f>
        <v>0.57638433118521815</v>
      </c>
      <c r="G95" s="329">
        <f>SUM(G93,G80,G66)</f>
        <v>33462020</v>
      </c>
      <c r="H95" s="366">
        <f>AVERAGE(H82:H92,H68:H79,H59:H65,H8:H57)</f>
        <v>3.5117579912533214</v>
      </c>
      <c r="I95" s="329">
        <f>SUM(I93,I80,I66)</f>
        <v>6473663</v>
      </c>
      <c r="J95" s="366">
        <f>AVERAGE(J82:J92,J68:J79,J59:J65,J8:J57)</f>
        <v>0.60005344956855433</v>
      </c>
      <c r="K95" s="329">
        <f>SUM(K93,K80,K66)</f>
        <v>2040074</v>
      </c>
      <c r="L95" s="329">
        <f>SUM(L93,L80,L66)</f>
        <v>548232</v>
      </c>
      <c r="M95" s="329">
        <f>SUM(M93,M80,M66)</f>
        <v>460995</v>
      </c>
      <c r="N95" s="330">
        <f>SUM(N93,N80,N66)</f>
        <v>474030</v>
      </c>
      <c r="P95"/>
      <c r="Q95"/>
    </row>
    <row r="96" spans="1:17" s="244" customFormat="1" ht="15.75" thickTop="1" x14ac:dyDescent="0.25">
      <c r="B96" s="244" t="s">
        <v>1671</v>
      </c>
      <c r="C96" s="244" t="s">
        <v>1462</v>
      </c>
      <c r="D96" s="244" t="s">
        <v>1462</v>
      </c>
      <c r="E96" s="244" t="s">
        <v>1462</v>
      </c>
      <c r="F96" s="449" t="s">
        <v>1649</v>
      </c>
      <c r="G96" s="244" t="s">
        <v>1462</v>
      </c>
      <c r="H96" s="244" t="s">
        <v>1649</v>
      </c>
      <c r="I96" s="244" t="s">
        <v>1462</v>
      </c>
      <c r="J96" s="244" t="s">
        <v>1649</v>
      </c>
      <c r="K96" s="450" t="s">
        <v>1462</v>
      </c>
      <c r="L96" s="450" t="s">
        <v>1462</v>
      </c>
      <c r="M96" s="450" t="s">
        <v>1462</v>
      </c>
      <c r="N96" s="450" t="s">
        <v>1462</v>
      </c>
      <c r="P96"/>
      <c r="Q96"/>
    </row>
    <row r="98" spans="5:5" x14ac:dyDescent="0.25">
      <c r="E98" s="570"/>
    </row>
  </sheetData>
  <mergeCells count="7">
    <mergeCell ref="A95:B95"/>
    <mergeCell ref="B4:B6"/>
    <mergeCell ref="M4:N4"/>
    <mergeCell ref="A66:B66"/>
    <mergeCell ref="A67:B67"/>
    <mergeCell ref="A80:B80"/>
    <mergeCell ref="A93:B9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96"/>
  <sheetViews>
    <sheetView workbookViewId="0">
      <selection activeCell="P62" sqref="P62:P65"/>
    </sheetView>
  </sheetViews>
  <sheetFormatPr defaultColWidth="8.85546875" defaultRowHeight="15" x14ac:dyDescent="0.25"/>
  <cols>
    <col min="1" max="1" width="6.7109375" customWidth="1"/>
    <col min="2" max="2" width="21.140625" customWidth="1"/>
    <col min="3" max="3" width="9.85546875" customWidth="1"/>
    <col min="6" max="6" width="10.140625" customWidth="1"/>
    <col min="7" max="7" width="11.28515625" customWidth="1"/>
    <col min="8" max="8" width="10.140625" style="451" customWidth="1"/>
    <col min="9" max="10" width="10.42578125" customWidth="1"/>
    <col min="11" max="11" width="11.42578125" customWidth="1"/>
    <col min="12" max="12" width="11.7109375" customWidth="1"/>
    <col min="13" max="13" width="11.42578125" customWidth="1"/>
    <col min="14" max="14" width="14.140625" customWidth="1"/>
    <col min="15" max="15" width="13.85546875" customWidth="1"/>
    <col min="16" max="16" width="9.7109375" customWidth="1"/>
    <col min="17" max="17" width="10.85546875" customWidth="1"/>
  </cols>
  <sheetData>
    <row r="1" spans="1:17" x14ac:dyDescent="0.25">
      <c r="A1" s="12"/>
      <c r="B1" s="12"/>
      <c r="C1" s="12"/>
      <c r="D1" s="12"/>
      <c r="E1" s="12"/>
      <c r="F1" s="12"/>
      <c r="G1" s="12"/>
      <c r="H1" s="72"/>
      <c r="I1" s="12"/>
      <c r="J1" s="12"/>
      <c r="K1" s="12"/>
      <c r="L1" s="12"/>
      <c r="M1" s="12"/>
      <c r="N1" s="12"/>
      <c r="O1" s="424"/>
      <c r="P1" s="118"/>
      <c r="Q1" s="11" t="s">
        <v>1758</v>
      </c>
    </row>
    <row r="2" spans="1:17" ht="15.75" x14ac:dyDescent="0.25">
      <c r="A2" s="171" t="s">
        <v>1672</v>
      </c>
      <c r="B2" s="335"/>
      <c r="C2" s="335"/>
      <c r="D2" s="335"/>
      <c r="E2" s="12"/>
      <c r="F2" s="12"/>
      <c r="G2" s="12"/>
      <c r="H2" s="370"/>
      <c r="I2" s="335"/>
      <c r="J2" s="335"/>
      <c r="K2" s="335"/>
      <c r="L2" s="335"/>
      <c r="M2" s="335"/>
      <c r="N2" s="335"/>
      <c r="O2" s="425"/>
      <c r="P2" s="453"/>
      <c r="Q2" s="18" t="s">
        <v>1759</v>
      </c>
    </row>
    <row r="3" spans="1:17" ht="15.75" thickBot="1" x14ac:dyDescent="0.3">
      <c r="A3" s="335"/>
      <c r="B3" s="335"/>
      <c r="C3" s="335"/>
      <c r="D3" s="335"/>
      <c r="E3" s="335"/>
      <c r="F3" s="335"/>
      <c r="G3" s="335"/>
      <c r="H3" s="370"/>
      <c r="I3" s="335"/>
      <c r="J3" s="335"/>
      <c r="K3" s="335"/>
      <c r="L3" s="335"/>
      <c r="M3" s="335"/>
      <c r="N3" s="335"/>
      <c r="O3" s="425"/>
      <c r="P3" s="335"/>
      <c r="Q3" s="335"/>
    </row>
    <row r="4" spans="1:17" ht="15.75" thickTop="1" x14ac:dyDescent="0.25">
      <c r="A4" s="92"/>
      <c r="B4" s="612"/>
      <c r="C4" s="609" t="s">
        <v>1673</v>
      </c>
      <c r="D4" s="609"/>
      <c r="E4" s="609"/>
      <c r="F4" s="609"/>
      <c r="G4" s="609"/>
      <c r="H4" s="658"/>
      <c r="I4" s="609" t="s">
        <v>1674</v>
      </c>
      <c r="J4" s="609"/>
      <c r="K4" s="609"/>
      <c r="L4" s="609"/>
      <c r="M4" s="609"/>
      <c r="N4" s="658"/>
      <c r="O4" s="454"/>
      <c r="P4" s="659"/>
      <c r="Q4" s="660"/>
    </row>
    <row r="5" spans="1:17" x14ac:dyDescent="0.25">
      <c r="A5" s="95"/>
      <c r="B5" s="647"/>
      <c r="C5" s="455"/>
      <c r="D5" s="456" t="s">
        <v>1675</v>
      </c>
      <c r="E5" s="457"/>
      <c r="F5" s="458" t="s">
        <v>1661</v>
      </c>
      <c r="G5" s="458" t="s">
        <v>1662</v>
      </c>
      <c r="H5" s="372"/>
      <c r="I5" s="459"/>
      <c r="J5" s="456" t="s">
        <v>1675</v>
      </c>
      <c r="K5" s="460"/>
      <c r="L5" s="458" t="s">
        <v>1661</v>
      </c>
      <c r="M5" s="458" t="s">
        <v>1662</v>
      </c>
      <c r="N5" s="458"/>
      <c r="O5" s="461" t="s">
        <v>1676</v>
      </c>
      <c r="P5" s="661" t="s">
        <v>1677</v>
      </c>
      <c r="Q5" s="662"/>
    </row>
    <row r="6" spans="1:17" ht="15.75" thickBot="1" x14ac:dyDescent="0.3">
      <c r="A6" s="99"/>
      <c r="B6" s="648"/>
      <c r="C6" s="439" t="s">
        <v>1602</v>
      </c>
      <c r="D6" s="439" t="s">
        <v>1602</v>
      </c>
      <c r="E6" s="462" t="s">
        <v>1678</v>
      </c>
      <c r="F6" s="462" t="s">
        <v>1666</v>
      </c>
      <c r="G6" s="462" t="s">
        <v>1667</v>
      </c>
      <c r="H6" s="379" t="s">
        <v>1462</v>
      </c>
      <c r="I6" s="439" t="s">
        <v>1602</v>
      </c>
      <c r="J6" s="439" t="s">
        <v>1602</v>
      </c>
      <c r="K6" s="462" t="s">
        <v>1678</v>
      </c>
      <c r="L6" s="462" t="s">
        <v>1666</v>
      </c>
      <c r="M6" s="462" t="s">
        <v>1667</v>
      </c>
      <c r="N6" s="462" t="s">
        <v>1462</v>
      </c>
      <c r="O6" s="440" t="s">
        <v>1624</v>
      </c>
      <c r="P6" s="27" t="s">
        <v>1679</v>
      </c>
      <c r="Q6" s="463" t="s">
        <v>1676</v>
      </c>
    </row>
    <row r="7" spans="1:17" ht="16.5" thickTop="1" thickBot="1" x14ac:dyDescent="0.3">
      <c r="A7" s="30"/>
      <c r="B7" s="45" t="s">
        <v>1452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5"/>
    </row>
    <row r="8" spans="1:17" ht="15.75" thickTop="1" x14ac:dyDescent="0.25">
      <c r="A8" s="36" t="s">
        <v>340</v>
      </c>
      <c r="B8" s="36" t="s">
        <v>1506</v>
      </c>
      <c r="C8" s="322">
        <f>VLOOKUP($A8,[0]!Data,267,FALSE)</f>
        <v>768</v>
      </c>
      <c r="D8" s="322">
        <f>VLOOKUP($A8,[0]!Data,268,FALSE)</f>
        <v>71</v>
      </c>
      <c r="E8" s="322">
        <f>VLOOKUP($A8,[0]!Data,269,FALSE)</f>
        <v>949</v>
      </c>
      <c r="F8" s="322">
        <f>VLOOKUP($A8,[0]!Data,290,FALSE)</f>
        <v>362</v>
      </c>
      <c r="G8" s="322">
        <f>VLOOKUP($A8,[0]!Data,292,FALSE)</f>
        <v>128</v>
      </c>
      <c r="H8" s="322">
        <f>VLOOKUP($A8,[0]!Data,270,FALSE)</f>
        <v>1788</v>
      </c>
      <c r="I8" s="322">
        <f>VLOOKUP($A8,[0]!Data,279,FALSE)</f>
        <v>8403</v>
      </c>
      <c r="J8" s="322">
        <f>VLOOKUP($A8,[0]!Data,280,FALSE)</f>
        <v>1315</v>
      </c>
      <c r="K8" s="322">
        <f>VLOOKUP($A8,[0]!Data,281,FALSE)</f>
        <v>36621</v>
      </c>
      <c r="L8" s="322">
        <f>VLOOKUP($A8,[0]!Data,291,FALSE)</f>
        <v>1630</v>
      </c>
      <c r="M8" s="322">
        <f>VLOOKUP($A8,[0]!Data,293,FALSE)</f>
        <v>717</v>
      </c>
      <c r="N8" s="322">
        <f>VLOOKUP($A8,[0]!Data,282,FALSE)</f>
        <v>46339</v>
      </c>
      <c r="O8" s="464">
        <f>N8/'Table 1'!D8</f>
        <v>0.291341305468583</v>
      </c>
      <c r="P8" s="322">
        <f>VLOOKUP($A8,[0]!Data,304,FALSE)</f>
        <v>232</v>
      </c>
      <c r="Q8" s="332">
        <f>VLOOKUP($A8,[0]!Data,305,FALSE)</f>
        <v>3224</v>
      </c>
    </row>
    <row r="9" spans="1:17" x14ac:dyDescent="0.25">
      <c r="A9" s="36" t="s">
        <v>381</v>
      </c>
      <c r="B9" s="36" t="s">
        <v>1507</v>
      </c>
      <c r="C9" s="322">
        <f>VLOOKUP($A9,[0]!Data,267,FALSE)</f>
        <v>77</v>
      </c>
      <c r="D9" s="322">
        <f>VLOOKUP($A9,[0]!Data,268,FALSE)</f>
        <v>0</v>
      </c>
      <c r="E9" s="322">
        <f>VLOOKUP($A9,[0]!Data,269,FALSE)</f>
        <v>361</v>
      </c>
      <c r="F9" s="322">
        <f>VLOOKUP($A9,[0]!Data,290,FALSE)</f>
        <v>0</v>
      </c>
      <c r="G9" s="322">
        <f>VLOOKUP($A9,[0]!Data,292,FALSE)</f>
        <v>4</v>
      </c>
      <c r="H9" s="322">
        <f>VLOOKUP($A9,[0]!Data,270,FALSE)</f>
        <v>438</v>
      </c>
      <c r="I9" s="322">
        <f>VLOOKUP($A9,[0]!Data,279,FALSE)</f>
        <v>4343</v>
      </c>
      <c r="J9" s="322">
        <f>VLOOKUP($A9,[0]!Data,280,FALSE)</f>
        <v>0</v>
      </c>
      <c r="K9" s="322">
        <f>VLOOKUP($A9,[0]!Data,281,FALSE)</f>
        <v>6889</v>
      </c>
      <c r="L9" s="322">
        <f>VLOOKUP($A9,[0]!Data,291,FALSE)</f>
        <v>0</v>
      </c>
      <c r="M9" s="322">
        <f>VLOOKUP($A9,[0]!Data,293,FALSE)</f>
        <v>27</v>
      </c>
      <c r="N9" s="322">
        <f>VLOOKUP($A9,[0]!Data,282,FALSE)</f>
        <v>11232</v>
      </c>
      <c r="O9" s="452">
        <f>N9/'Table 1'!D9</f>
        <v>0.29338627102706094</v>
      </c>
      <c r="P9" s="322">
        <f>VLOOKUP($A9,[0]!Data,304,FALSE)</f>
        <v>0</v>
      </c>
      <c r="Q9" s="324">
        <f>VLOOKUP($A9,[0]!Data,305,FALSE)</f>
        <v>0</v>
      </c>
    </row>
    <row r="10" spans="1:17" x14ac:dyDescent="0.25">
      <c r="A10" s="36" t="s">
        <v>442</v>
      </c>
      <c r="B10" s="36" t="s">
        <v>1508</v>
      </c>
      <c r="C10" s="322">
        <f>VLOOKUP($A10,[0]!Data,267,FALSE)</f>
        <v>20</v>
      </c>
      <c r="D10" s="322">
        <f>VLOOKUP($A10,[0]!Data,268,FALSE)</f>
        <v>0</v>
      </c>
      <c r="E10" s="322">
        <f>VLOOKUP($A10,[0]!Data,269,FALSE)</f>
        <v>275</v>
      </c>
      <c r="F10" s="322">
        <f>VLOOKUP($A10,[0]!Data,290,FALSE)</f>
        <v>13</v>
      </c>
      <c r="G10" s="322">
        <f>VLOOKUP($A10,[0]!Data,292,FALSE)</f>
        <v>0</v>
      </c>
      <c r="H10" s="322">
        <f>VLOOKUP($A10,[0]!Data,270,FALSE)</f>
        <v>295</v>
      </c>
      <c r="I10" s="322">
        <f>VLOOKUP($A10,[0]!Data,279,FALSE)</f>
        <v>270</v>
      </c>
      <c r="J10" s="322">
        <f>VLOOKUP($A10,[0]!Data,280,FALSE)</f>
        <v>0</v>
      </c>
      <c r="K10" s="322">
        <f>VLOOKUP($A10,[0]!Data,281,FALSE)</f>
        <v>4434</v>
      </c>
      <c r="L10" s="322">
        <f>VLOOKUP($A10,[0]!Data,291,FALSE)</f>
        <v>35</v>
      </c>
      <c r="M10" s="322">
        <f>VLOOKUP($A10,[0]!Data,293,FALSE)</f>
        <v>0</v>
      </c>
      <c r="N10" s="322">
        <f>VLOOKUP($A10,[0]!Data,282,FALSE)</f>
        <v>4704</v>
      </c>
      <c r="O10" s="452">
        <f>N10/'Table 1'!D10</f>
        <v>0.13569100297112527</v>
      </c>
      <c r="P10" s="322">
        <f>VLOOKUP($A10,[0]!Data,304,FALSE)</f>
        <v>135</v>
      </c>
      <c r="Q10" s="324">
        <f>VLOOKUP($A10,[0]!Data,305,FALSE)</f>
        <v>0</v>
      </c>
    </row>
    <row r="11" spans="1:17" x14ac:dyDescent="0.25">
      <c r="A11" s="36" t="s">
        <v>470</v>
      </c>
      <c r="B11" s="36" t="s">
        <v>1509</v>
      </c>
      <c r="C11" s="322">
        <f>VLOOKUP($A11,[0]!Data,267,FALSE)</f>
        <v>959</v>
      </c>
      <c r="D11" s="322">
        <f>VLOOKUP($A11,[0]!Data,268,FALSE)</f>
        <v>0</v>
      </c>
      <c r="E11" s="322">
        <f>VLOOKUP($A11,[0]!Data,269,FALSE)</f>
        <v>231</v>
      </c>
      <c r="F11" s="322">
        <f>VLOOKUP($A11,[0]!Data,290,FALSE)</f>
        <v>0</v>
      </c>
      <c r="G11" s="322">
        <f>VLOOKUP($A11,[0]!Data,292,FALSE)</f>
        <v>27</v>
      </c>
      <c r="H11" s="322">
        <f>VLOOKUP($A11,[0]!Data,270,FALSE)</f>
        <v>1190</v>
      </c>
      <c r="I11" s="322">
        <f>VLOOKUP($A11,[0]!Data,279,FALSE)</f>
        <v>15627</v>
      </c>
      <c r="J11" s="322">
        <f>VLOOKUP($A11,[0]!Data,280,FALSE)</f>
        <v>0</v>
      </c>
      <c r="K11" s="322">
        <f>VLOOKUP($A11,[0]!Data,281,FALSE)</f>
        <v>4505</v>
      </c>
      <c r="L11" s="322">
        <f>VLOOKUP($A11,[0]!Data,291,FALSE)</f>
        <v>0</v>
      </c>
      <c r="M11" s="322">
        <f>VLOOKUP($A11,[0]!Data,293,FALSE)</f>
        <v>197</v>
      </c>
      <c r="N11" s="322">
        <f>VLOOKUP($A11,[0]!Data,282,FALSE)</f>
        <v>20132</v>
      </c>
      <c r="O11" s="452">
        <f>N11/'Table 1'!D11</f>
        <v>0.15758904109589042</v>
      </c>
      <c r="P11" s="322">
        <f>VLOOKUP($A11,[0]!Data,304,FALSE)</f>
        <v>0</v>
      </c>
      <c r="Q11" s="324">
        <f>VLOOKUP($A11,[0]!Data,305,FALSE)</f>
        <v>0</v>
      </c>
    </row>
    <row r="12" spans="1:17" x14ac:dyDescent="0.25">
      <c r="A12" s="36" t="s">
        <v>484</v>
      </c>
      <c r="B12" s="36" t="s">
        <v>1510</v>
      </c>
      <c r="C12" s="322">
        <f>VLOOKUP($A12,[0]!Data,267,FALSE)</f>
        <v>794</v>
      </c>
      <c r="D12" s="322">
        <f>VLOOKUP($A12,[0]!Data,268,FALSE)</f>
        <v>50</v>
      </c>
      <c r="E12" s="322">
        <f>VLOOKUP($A12,[0]!Data,269,FALSE)</f>
        <v>4364</v>
      </c>
      <c r="F12" s="322">
        <f>VLOOKUP($A12,[0]!Data,290,FALSE)</f>
        <v>2</v>
      </c>
      <c r="G12" s="322">
        <f>VLOOKUP($A12,[0]!Data,292,FALSE)</f>
        <v>149</v>
      </c>
      <c r="H12" s="322">
        <f>VLOOKUP($A12,[0]!Data,270,FALSE)</f>
        <v>5208</v>
      </c>
      <c r="I12" s="322">
        <f>VLOOKUP($A12,[0]!Data,279,FALSE)</f>
        <v>6871</v>
      </c>
      <c r="J12" s="322">
        <f>VLOOKUP($A12,[0]!Data,280,FALSE)</f>
        <v>458</v>
      </c>
      <c r="K12" s="322">
        <f>VLOOKUP($A12,[0]!Data,281,FALSE)</f>
        <v>96733</v>
      </c>
      <c r="L12" s="322">
        <f>VLOOKUP($A12,[0]!Data,291,FALSE)</f>
        <v>120</v>
      </c>
      <c r="M12" s="322">
        <f>VLOOKUP($A12,[0]!Data,293,FALSE)</f>
        <v>619</v>
      </c>
      <c r="N12" s="322">
        <f>VLOOKUP($A12,[0]!Data,282,FALSE)</f>
        <v>104062</v>
      </c>
      <c r="O12" s="452">
        <f>N12/'Table 1'!D12</f>
        <v>0.4027073674759874</v>
      </c>
      <c r="P12" s="322">
        <f>VLOOKUP($A12,[0]!Data,304,FALSE)</f>
        <v>1527</v>
      </c>
      <c r="Q12" s="324">
        <f>VLOOKUP($A12,[0]!Data,305,FALSE)</f>
        <v>25507</v>
      </c>
    </row>
    <row r="13" spans="1:17" x14ac:dyDescent="0.25">
      <c r="A13" s="36" t="s">
        <v>497</v>
      </c>
      <c r="B13" s="36" t="s">
        <v>1511</v>
      </c>
      <c r="C13" s="322">
        <f>VLOOKUP($A13,[0]!Data,267,FALSE)</f>
        <v>196</v>
      </c>
      <c r="D13" s="322">
        <f>VLOOKUP($A13,[0]!Data,268,FALSE)</f>
        <v>143</v>
      </c>
      <c r="E13" s="322">
        <f>VLOOKUP($A13,[0]!Data,269,FALSE)</f>
        <v>919</v>
      </c>
      <c r="F13" s="322">
        <f>VLOOKUP($A13,[0]!Data,290,FALSE)</f>
        <v>14</v>
      </c>
      <c r="G13" s="322">
        <f>VLOOKUP($A13,[0]!Data,292,FALSE)</f>
        <v>22</v>
      </c>
      <c r="H13" s="322">
        <f>VLOOKUP($A13,[0]!Data,270,FALSE)</f>
        <v>1258</v>
      </c>
      <c r="I13" s="322">
        <f>VLOOKUP($A13,[0]!Data,279,FALSE)</f>
        <v>3928</v>
      </c>
      <c r="J13" s="322">
        <f>VLOOKUP($A13,[0]!Data,280,FALSE)</f>
        <v>3710</v>
      </c>
      <c r="K13" s="322">
        <f>VLOOKUP($A13,[0]!Data,281,FALSE)</f>
        <v>19681</v>
      </c>
      <c r="L13" s="322">
        <f>VLOOKUP($A13,[0]!Data,291,FALSE)</f>
        <v>337</v>
      </c>
      <c r="M13" s="322">
        <f>VLOOKUP($A13,[0]!Data,293,FALSE)</f>
        <v>253</v>
      </c>
      <c r="N13" s="322">
        <f>VLOOKUP($A13,[0]!Data,282,FALSE)</f>
        <v>27319</v>
      </c>
      <c r="O13" s="452">
        <f>N13/'Table 1'!D13</f>
        <v>0.30440014708012525</v>
      </c>
      <c r="P13" s="322">
        <f>VLOOKUP($A13,[0]!Data,304,FALSE)</f>
        <v>97</v>
      </c>
      <c r="Q13" s="324">
        <f>VLOOKUP($A13,[0]!Data,305,FALSE)</f>
        <v>918</v>
      </c>
    </row>
    <row r="14" spans="1:17" x14ac:dyDescent="0.25">
      <c r="A14" s="36" t="s">
        <v>509</v>
      </c>
      <c r="B14" s="36" t="s">
        <v>1512</v>
      </c>
      <c r="C14" s="322">
        <f>VLOOKUP($A14,[0]!Data,267,FALSE)</f>
        <v>668</v>
      </c>
      <c r="D14" s="322">
        <f>VLOOKUP($A14,[0]!Data,268,FALSE)</f>
        <v>503</v>
      </c>
      <c r="E14" s="322">
        <f>VLOOKUP($A14,[0]!Data,269,FALSE)</f>
        <v>1956</v>
      </c>
      <c r="F14" s="322">
        <f>VLOOKUP($A14,[0]!Data,290,FALSE)</f>
        <v>46</v>
      </c>
      <c r="G14" s="322">
        <f>VLOOKUP($A14,[0]!Data,292,FALSE)</f>
        <v>536</v>
      </c>
      <c r="H14" s="322">
        <f>VLOOKUP($A14,[0]!Data,270,FALSE)</f>
        <v>3127</v>
      </c>
      <c r="I14" s="322">
        <f>VLOOKUP($A14,[0]!Data,279,FALSE)</f>
        <v>6126</v>
      </c>
      <c r="J14" s="322">
        <f>VLOOKUP($A14,[0]!Data,280,FALSE)</f>
        <v>7446</v>
      </c>
      <c r="K14" s="322">
        <f>VLOOKUP($A14,[0]!Data,281,FALSE)</f>
        <v>51362</v>
      </c>
      <c r="L14" s="322">
        <f>VLOOKUP($A14,[0]!Data,291,FALSE)</f>
        <v>326</v>
      </c>
      <c r="M14" s="322">
        <f>VLOOKUP($A14,[0]!Data,293,FALSE)</f>
        <v>8592</v>
      </c>
      <c r="N14" s="322">
        <f>VLOOKUP($A14,[0]!Data,282,FALSE)</f>
        <v>64934</v>
      </c>
      <c r="O14" s="452">
        <f>N14/'Table 1'!D14</f>
        <v>0.32359727503326474</v>
      </c>
      <c r="P14" s="322">
        <f>VLOOKUP($A14,[0]!Data,304,FALSE)</f>
        <v>361</v>
      </c>
      <c r="Q14" s="324">
        <f>VLOOKUP($A14,[0]!Data,305,FALSE)</f>
        <v>5754</v>
      </c>
    </row>
    <row r="15" spans="1:17" x14ac:dyDescent="0.25">
      <c r="A15" s="36" t="s">
        <v>521</v>
      </c>
      <c r="B15" s="36" t="s">
        <v>1513</v>
      </c>
      <c r="C15" s="322">
        <f>VLOOKUP($A15,[0]!Data,267,FALSE)</f>
        <v>100</v>
      </c>
      <c r="D15" s="322">
        <f>VLOOKUP($A15,[0]!Data,268,FALSE)</f>
        <v>16</v>
      </c>
      <c r="E15" s="322">
        <f>VLOOKUP($A15,[0]!Data,269,FALSE)</f>
        <v>261</v>
      </c>
      <c r="F15" s="322">
        <f>VLOOKUP($A15,[0]!Data,290,FALSE)</f>
        <v>5</v>
      </c>
      <c r="G15" s="322">
        <f>VLOOKUP($A15,[0]!Data,292,FALSE)</f>
        <v>48</v>
      </c>
      <c r="H15" s="322">
        <f>VLOOKUP($A15,[0]!Data,270,FALSE)</f>
        <v>377</v>
      </c>
      <c r="I15" s="322">
        <f>VLOOKUP($A15,[0]!Data,279,FALSE)</f>
        <v>532</v>
      </c>
      <c r="J15" s="322">
        <f>VLOOKUP($A15,[0]!Data,280,FALSE)</f>
        <v>140</v>
      </c>
      <c r="K15" s="322">
        <f>VLOOKUP($A15,[0]!Data,281,FALSE)</f>
        <v>6547</v>
      </c>
      <c r="L15" s="322">
        <f>VLOOKUP($A15,[0]!Data,291,FALSE)</f>
        <v>15</v>
      </c>
      <c r="M15" s="322">
        <f>VLOOKUP($A15,[0]!Data,293,FALSE)</f>
        <v>222</v>
      </c>
      <c r="N15" s="322">
        <f>VLOOKUP($A15,[0]!Data,282,FALSE)</f>
        <v>7219</v>
      </c>
      <c r="O15" s="452">
        <f>N15/'Table 1'!D15</f>
        <v>8.7215483496834681E-2</v>
      </c>
      <c r="P15" s="322">
        <f>VLOOKUP($A15,[0]!Data,304,FALSE)</f>
        <v>1235</v>
      </c>
      <c r="Q15" s="324">
        <f>VLOOKUP($A15,[0]!Data,305,FALSE)</f>
        <v>22730</v>
      </c>
    </row>
    <row r="16" spans="1:17" x14ac:dyDescent="0.25">
      <c r="A16" s="36" t="s">
        <v>531</v>
      </c>
      <c r="B16" s="36" t="s">
        <v>1514</v>
      </c>
      <c r="C16" s="322">
        <f>VLOOKUP($A16,[0]!Data,267,FALSE)</f>
        <v>121</v>
      </c>
      <c r="D16" s="322">
        <f>VLOOKUP($A16,[0]!Data,268,FALSE)</f>
        <v>58</v>
      </c>
      <c r="E16" s="322">
        <f>VLOOKUP($A16,[0]!Data,269,FALSE)</f>
        <v>117</v>
      </c>
      <c r="F16" s="322">
        <f>VLOOKUP($A16,[0]!Data,290,FALSE)</f>
        <v>8</v>
      </c>
      <c r="G16" s="322">
        <f>VLOOKUP($A16,[0]!Data,292,FALSE)</f>
        <v>11</v>
      </c>
      <c r="H16" s="322">
        <f>VLOOKUP($A16,[0]!Data,270,FALSE)</f>
        <v>296</v>
      </c>
      <c r="I16" s="322">
        <f>VLOOKUP($A16,[0]!Data,279,FALSE)</f>
        <v>1099</v>
      </c>
      <c r="J16" s="322">
        <f>VLOOKUP($A16,[0]!Data,280,FALSE)</f>
        <v>398</v>
      </c>
      <c r="K16" s="322">
        <f>VLOOKUP($A16,[0]!Data,281,FALSE)</f>
        <v>3686</v>
      </c>
      <c r="L16" s="322">
        <f>VLOOKUP($A16,[0]!Data,291,FALSE)</f>
        <v>42</v>
      </c>
      <c r="M16" s="322">
        <f>VLOOKUP($A16,[0]!Data,293,FALSE)</f>
        <v>104</v>
      </c>
      <c r="N16" s="322">
        <f>VLOOKUP($A16,[0]!Data,282,FALSE)</f>
        <v>5183</v>
      </c>
      <c r="O16" s="452">
        <f>N16/'Table 1'!D16</f>
        <v>0.21879353286335429</v>
      </c>
      <c r="P16" s="322">
        <f>VLOOKUP($A16,[0]!Data,304,FALSE)</f>
        <v>83</v>
      </c>
      <c r="Q16" s="324">
        <f>VLOOKUP($A16,[0]!Data,305,FALSE)</f>
        <v>495</v>
      </c>
    </row>
    <row r="17" spans="1:17" x14ac:dyDescent="0.25">
      <c r="A17" s="36" t="s">
        <v>544</v>
      </c>
      <c r="B17" s="36" t="s">
        <v>1515</v>
      </c>
      <c r="C17" s="322">
        <f>VLOOKUP($A17,[0]!Data,267,FALSE)</f>
        <v>481</v>
      </c>
      <c r="D17" s="322">
        <f>VLOOKUP($A17,[0]!Data,268,FALSE)</f>
        <v>22</v>
      </c>
      <c r="E17" s="322">
        <f>VLOOKUP($A17,[0]!Data,269,FALSE)</f>
        <v>1206</v>
      </c>
      <c r="F17" s="322">
        <f>VLOOKUP($A17,[0]!Data,290,FALSE)</f>
        <v>35</v>
      </c>
      <c r="G17" s="322">
        <f>VLOOKUP($A17,[0]!Data,292,FALSE)</f>
        <v>171</v>
      </c>
      <c r="H17" s="322">
        <f>VLOOKUP($A17,[0]!Data,270,FALSE)</f>
        <v>1709</v>
      </c>
      <c r="I17" s="322">
        <f>VLOOKUP($A17,[0]!Data,279,FALSE)</f>
        <v>6525</v>
      </c>
      <c r="J17" s="322">
        <f>VLOOKUP($A17,[0]!Data,280,FALSE)</f>
        <v>608</v>
      </c>
      <c r="K17" s="322">
        <f>VLOOKUP($A17,[0]!Data,281,FALSE)</f>
        <v>22676</v>
      </c>
      <c r="L17" s="322">
        <f>VLOOKUP($A17,[0]!Data,291,FALSE)</f>
        <v>332</v>
      </c>
      <c r="M17" s="322">
        <f>VLOOKUP($A17,[0]!Data,293,FALSE)</f>
        <v>326</v>
      </c>
      <c r="N17" s="322">
        <f>VLOOKUP($A17,[0]!Data,282,FALSE)</f>
        <v>29809</v>
      </c>
      <c r="O17" s="452">
        <f>N17/'Table 1'!D17</f>
        <v>0.25673510869190752</v>
      </c>
      <c r="P17" s="322">
        <f>VLOOKUP($A17,[0]!Data,304,FALSE)</f>
        <v>380</v>
      </c>
      <c r="Q17" s="324">
        <f>VLOOKUP($A17,[0]!Data,305,FALSE)</f>
        <v>14333</v>
      </c>
    </row>
    <row r="18" spans="1:17" x14ac:dyDescent="0.25">
      <c r="A18" s="36" t="s">
        <v>590</v>
      </c>
      <c r="B18" s="36" t="s">
        <v>1516</v>
      </c>
      <c r="C18" s="322">
        <f>VLOOKUP($A18,[0]!Data,267,FALSE)</f>
        <v>260</v>
      </c>
      <c r="D18" s="322">
        <f>VLOOKUP($A18,[0]!Data,268,FALSE)</f>
        <v>35</v>
      </c>
      <c r="E18" s="322">
        <f>VLOOKUP($A18,[0]!Data,269,FALSE)</f>
        <v>589</v>
      </c>
      <c r="F18" s="322">
        <f>VLOOKUP($A18,[0]!Data,290,FALSE)</f>
        <v>42</v>
      </c>
      <c r="G18" s="322">
        <f>VLOOKUP($A18,[0]!Data,292,FALSE)</f>
        <v>52</v>
      </c>
      <c r="H18" s="322">
        <f>VLOOKUP($A18,[0]!Data,270,FALSE)</f>
        <v>884</v>
      </c>
      <c r="I18" s="322">
        <f>VLOOKUP($A18,[0]!Data,279,FALSE)</f>
        <v>2942</v>
      </c>
      <c r="J18" s="322">
        <f>VLOOKUP($A18,[0]!Data,280,FALSE)</f>
        <v>725</v>
      </c>
      <c r="K18" s="322">
        <f>VLOOKUP($A18,[0]!Data,281,FALSE)</f>
        <v>17770</v>
      </c>
      <c r="L18" s="322">
        <f>VLOOKUP($A18,[0]!Data,291,FALSE)</f>
        <v>69</v>
      </c>
      <c r="M18" s="322">
        <f>VLOOKUP($A18,[0]!Data,293,FALSE)</f>
        <v>313</v>
      </c>
      <c r="N18" s="322">
        <f>VLOOKUP($A18,[0]!Data,282,FALSE)</f>
        <v>21437</v>
      </c>
      <c r="O18" s="452">
        <f>N18/'Table 1'!D18</f>
        <v>0.29251153016947301</v>
      </c>
      <c r="P18" s="322">
        <f>VLOOKUP($A18,[0]!Data,304,FALSE)</f>
        <v>346</v>
      </c>
      <c r="Q18" s="324">
        <f>VLOOKUP($A18,[0]!Data,305,FALSE)</f>
        <v>5583</v>
      </c>
    </row>
    <row r="19" spans="1:17" x14ac:dyDescent="0.25">
      <c r="A19" s="36" t="s">
        <v>604</v>
      </c>
      <c r="B19" s="36" t="s">
        <v>1517</v>
      </c>
      <c r="C19" s="322">
        <f>VLOOKUP($A19,[0]!Data,267,FALSE)</f>
        <v>19</v>
      </c>
      <c r="D19" s="322">
        <f>VLOOKUP($A19,[0]!Data,268,FALSE)</f>
        <v>14</v>
      </c>
      <c r="E19" s="322">
        <f>VLOOKUP($A19,[0]!Data,269,FALSE)</f>
        <v>468</v>
      </c>
      <c r="F19" s="322">
        <f>VLOOKUP($A19,[0]!Data,290,FALSE)</f>
        <v>0</v>
      </c>
      <c r="G19" s="322">
        <f>VLOOKUP($A19,[0]!Data,292,FALSE)</f>
        <v>2</v>
      </c>
      <c r="H19" s="322">
        <f>VLOOKUP($A19,[0]!Data,270,FALSE)</f>
        <v>501</v>
      </c>
      <c r="I19" s="322">
        <f>VLOOKUP($A19,[0]!Data,279,FALSE)</f>
        <v>1146</v>
      </c>
      <c r="J19" s="322">
        <f>VLOOKUP($A19,[0]!Data,280,FALSE)</f>
        <v>171</v>
      </c>
      <c r="K19" s="322">
        <f>VLOOKUP($A19,[0]!Data,281,FALSE)</f>
        <v>14431</v>
      </c>
      <c r="L19" s="322">
        <f>VLOOKUP($A19,[0]!Data,291,FALSE)</f>
        <v>0</v>
      </c>
      <c r="M19" s="322">
        <f>VLOOKUP($A19,[0]!Data,293,FALSE)</f>
        <v>28</v>
      </c>
      <c r="N19" s="322">
        <f>VLOOKUP($A19,[0]!Data,282,FALSE)</f>
        <v>15748</v>
      </c>
      <c r="O19" s="452">
        <f>N19/'Table 1'!D19</f>
        <v>0.17774065755465515</v>
      </c>
      <c r="P19" s="322">
        <f>VLOOKUP($A19,[0]!Data,304,FALSE)</f>
        <v>593</v>
      </c>
      <c r="Q19" s="324">
        <f>VLOOKUP($A19,[0]!Data,305,FALSE)</f>
        <v>7864</v>
      </c>
    </row>
    <row r="20" spans="1:17" x14ac:dyDescent="0.25">
      <c r="A20" s="36" t="s">
        <v>617</v>
      </c>
      <c r="B20" s="36" t="s">
        <v>1518</v>
      </c>
      <c r="C20" s="322">
        <f>VLOOKUP($A20,[0]!Data,267,FALSE)</f>
        <v>41</v>
      </c>
      <c r="D20" s="322">
        <f>VLOOKUP($A20,[0]!Data,268,FALSE)</f>
        <v>43</v>
      </c>
      <c r="E20" s="322">
        <f>VLOOKUP($A20,[0]!Data,269,FALSE)</f>
        <v>870</v>
      </c>
      <c r="F20" s="322">
        <f>VLOOKUP($A20,[0]!Data,290,FALSE)</f>
        <v>11</v>
      </c>
      <c r="G20" s="322">
        <f>VLOOKUP($A20,[0]!Data,292,FALSE)</f>
        <v>23</v>
      </c>
      <c r="H20" s="322">
        <f>VLOOKUP($A20,[0]!Data,270,FALSE)</f>
        <v>954</v>
      </c>
      <c r="I20" s="322">
        <f>VLOOKUP($A20,[0]!Data,279,FALSE)</f>
        <v>1002</v>
      </c>
      <c r="J20" s="322">
        <f>VLOOKUP($A20,[0]!Data,280,FALSE)</f>
        <v>851</v>
      </c>
      <c r="K20" s="322">
        <f>VLOOKUP($A20,[0]!Data,281,FALSE)</f>
        <v>4650</v>
      </c>
      <c r="L20" s="322">
        <f>VLOOKUP($A20,[0]!Data,291,FALSE)</f>
        <v>71</v>
      </c>
      <c r="M20" s="322">
        <f>VLOOKUP($A20,[0]!Data,293,FALSE)</f>
        <v>146</v>
      </c>
      <c r="N20" s="322">
        <f>VLOOKUP($A20,[0]!Data,282,FALSE)</f>
        <v>6503</v>
      </c>
      <c r="O20" s="452">
        <f>N20/'Table 1'!D20</f>
        <v>0.1137245986499248</v>
      </c>
      <c r="P20" s="322">
        <f>VLOOKUP($A20,[0]!Data,304,FALSE)</f>
        <v>42</v>
      </c>
      <c r="Q20" s="324">
        <f>VLOOKUP($A20,[0]!Data,305,FALSE)</f>
        <v>386</v>
      </c>
    </row>
    <row r="21" spans="1:17" x14ac:dyDescent="0.25">
      <c r="A21" s="36" t="s">
        <v>645</v>
      </c>
      <c r="B21" s="36" t="s">
        <v>1519</v>
      </c>
      <c r="C21" s="322">
        <f>VLOOKUP($A21,[0]!Data,267,FALSE)</f>
        <v>1092</v>
      </c>
      <c r="D21" s="322">
        <f>VLOOKUP($A21,[0]!Data,268,FALSE)</f>
        <v>697</v>
      </c>
      <c r="E21" s="322">
        <f>VLOOKUP($A21,[0]!Data,269,FALSE)</f>
        <v>2505</v>
      </c>
      <c r="F21" s="322">
        <f>VLOOKUP($A21,[0]!Data,290,FALSE)</f>
        <v>233</v>
      </c>
      <c r="G21" s="322">
        <f>VLOOKUP($A21,[0]!Data,292,FALSE)</f>
        <v>210</v>
      </c>
      <c r="H21" s="322">
        <f>VLOOKUP($A21,[0]!Data,270,FALSE)</f>
        <v>4294</v>
      </c>
      <c r="I21" s="322">
        <f>VLOOKUP($A21,[0]!Data,279,FALSE)</f>
        <v>16564</v>
      </c>
      <c r="J21" s="322">
        <f>VLOOKUP($A21,[0]!Data,280,FALSE)</f>
        <v>22249</v>
      </c>
      <c r="K21" s="322">
        <f>VLOOKUP($A21,[0]!Data,281,FALSE)</f>
        <v>74670</v>
      </c>
      <c r="L21" s="322">
        <f>VLOOKUP($A21,[0]!Data,291,FALSE)</f>
        <v>4005</v>
      </c>
      <c r="M21" s="322">
        <f>VLOOKUP($A21,[0]!Data,293,FALSE)</f>
        <v>1398</v>
      </c>
      <c r="N21" s="322">
        <f>VLOOKUP($A21,[0]!Data,282,FALSE)</f>
        <v>113483</v>
      </c>
      <c r="O21" s="452">
        <f>N21/'Table 1'!D21</f>
        <v>0.34407138352575917</v>
      </c>
      <c r="P21" s="322">
        <f>VLOOKUP($A21,[0]!Data,304,FALSE)</f>
        <v>11409</v>
      </c>
      <c r="Q21" s="324">
        <f>VLOOKUP($A21,[0]!Data,305,FALSE)</f>
        <v>65193</v>
      </c>
    </row>
    <row r="22" spans="1:17" x14ac:dyDescent="0.25">
      <c r="A22" s="36" t="s">
        <v>658</v>
      </c>
      <c r="B22" s="36" t="s">
        <v>1520</v>
      </c>
      <c r="C22" s="322">
        <f>VLOOKUP($A22,[0]!Data,267,FALSE)</f>
        <v>1614</v>
      </c>
      <c r="D22" s="322">
        <f>VLOOKUP($A22,[0]!Data,268,FALSE)</f>
        <v>414</v>
      </c>
      <c r="E22" s="322">
        <f>VLOOKUP($A22,[0]!Data,269,FALSE)</f>
        <v>1968</v>
      </c>
      <c r="F22" s="322">
        <f>VLOOKUP($A22,[0]!Data,290,FALSE)</f>
        <v>32</v>
      </c>
      <c r="G22" s="322">
        <f>VLOOKUP($A22,[0]!Data,292,FALSE)</f>
        <v>908</v>
      </c>
      <c r="H22" s="322">
        <f>VLOOKUP($A22,[0]!Data,270,FALSE)</f>
        <v>3996</v>
      </c>
      <c r="I22" s="322">
        <f>VLOOKUP($A22,[0]!Data,279,FALSE)</f>
        <v>21764</v>
      </c>
      <c r="J22" s="322">
        <f>VLOOKUP($A22,[0]!Data,280,FALSE)</f>
        <v>5242</v>
      </c>
      <c r="K22" s="322">
        <f>VLOOKUP($A22,[0]!Data,281,FALSE)</f>
        <v>48872</v>
      </c>
      <c r="L22" s="322">
        <f>VLOOKUP($A22,[0]!Data,291,FALSE)</f>
        <v>141</v>
      </c>
      <c r="M22" s="322">
        <f>VLOOKUP($A22,[0]!Data,293,FALSE)</f>
        <v>1241</v>
      </c>
      <c r="N22" s="322">
        <f>VLOOKUP($A22,[0]!Data,282,FALSE)</f>
        <v>75878</v>
      </c>
      <c r="O22" s="452">
        <f>N22/'Table 1'!D22</f>
        <v>0.47385841326938449</v>
      </c>
      <c r="P22" s="322">
        <f>VLOOKUP($A22,[0]!Data,304,FALSE)</f>
        <v>1449</v>
      </c>
      <c r="Q22" s="324">
        <f>VLOOKUP($A22,[0]!Data,305,FALSE)</f>
        <v>13437</v>
      </c>
    </row>
    <row r="23" spans="1:17" x14ac:dyDescent="0.25">
      <c r="A23" s="36" t="s">
        <v>674</v>
      </c>
      <c r="B23" s="36" t="s">
        <v>1521</v>
      </c>
      <c r="C23" s="322">
        <f>VLOOKUP($A23,[0]!Data,267,FALSE)</f>
        <v>119</v>
      </c>
      <c r="D23" s="322">
        <f>VLOOKUP($A23,[0]!Data,268,FALSE)</f>
        <v>110</v>
      </c>
      <c r="E23" s="322">
        <f>VLOOKUP($A23,[0]!Data,269,FALSE)</f>
        <v>791</v>
      </c>
      <c r="F23" s="322">
        <f>VLOOKUP($A23,[0]!Data,290,FALSE)</f>
        <v>90</v>
      </c>
      <c r="G23" s="322">
        <f>VLOOKUP($A23,[0]!Data,292,FALSE)</f>
        <v>11</v>
      </c>
      <c r="H23" s="322">
        <f>VLOOKUP($A23,[0]!Data,270,FALSE)</f>
        <v>1020</v>
      </c>
      <c r="I23" s="322">
        <f>VLOOKUP($A23,[0]!Data,279,FALSE)</f>
        <v>695</v>
      </c>
      <c r="J23" s="322">
        <f>VLOOKUP($A23,[0]!Data,280,FALSE)</f>
        <v>847</v>
      </c>
      <c r="K23" s="322">
        <f>VLOOKUP($A23,[0]!Data,281,FALSE)</f>
        <v>24283</v>
      </c>
      <c r="L23" s="322">
        <f>VLOOKUP($A23,[0]!Data,291,FALSE)</f>
        <v>150</v>
      </c>
      <c r="M23" s="322">
        <f>VLOOKUP($A23,[0]!Data,293,FALSE)</f>
        <v>25</v>
      </c>
      <c r="N23" s="322">
        <f>VLOOKUP($A23,[0]!Data,282,FALSE)</f>
        <v>25825</v>
      </c>
      <c r="O23" s="452">
        <f>N23/'Table 1'!D23</f>
        <v>0.61180734879533771</v>
      </c>
      <c r="P23" s="322">
        <f>VLOOKUP($A23,[0]!Data,304,FALSE)</f>
        <v>992</v>
      </c>
      <c r="Q23" s="324">
        <f>VLOOKUP($A23,[0]!Data,305,FALSE)</f>
        <v>7586</v>
      </c>
    </row>
    <row r="24" spans="1:17" x14ac:dyDescent="0.25">
      <c r="A24" s="36" t="s">
        <v>686</v>
      </c>
      <c r="B24" s="36" t="s">
        <v>1522</v>
      </c>
      <c r="C24" s="322">
        <f>VLOOKUP($A24,[0]!Data,267,FALSE)</f>
        <v>3</v>
      </c>
      <c r="D24" s="322">
        <f>VLOOKUP($A24,[0]!Data,268,FALSE)</f>
        <v>0</v>
      </c>
      <c r="E24" s="322">
        <f>VLOOKUP($A24,[0]!Data,269,FALSE)</f>
        <v>98</v>
      </c>
      <c r="F24" s="322">
        <f>VLOOKUP($A24,[0]!Data,290,FALSE)</f>
        <v>0</v>
      </c>
      <c r="G24" s="322">
        <f>VLOOKUP($A24,[0]!Data,292,FALSE)</f>
        <v>0</v>
      </c>
      <c r="H24" s="322">
        <f>VLOOKUP($A24,[0]!Data,270,FALSE)</f>
        <v>101</v>
      </c>
      <c r="I24" s="322">
        <f>VLOOKUP($A24,[0]!Data,279,FALSE)</f>
        <v>49</v>
      </c>
      <c r="J24" s="322">
        <f>VLOOKUP($A24,[0]!Data,280,FALSE)</f>
        <v>0</v>
      </c>
      <c r="K24" s="322">
        <f>VLOOKUP($A24,[0]!Data,281,FALSE)</f>
        <v>3160</v>
      </c>
      <c r="L24" s="322">
        <f>VLOOKUP($A24,[0]!Data,291,FALSE)</f>
        <v>0</v>
      </c>
      <c r="M24" s="322">
        <f>VLOOKUP($A24,[0]!Data,293,FALSE)</f>
        <v>0</v>
      </c>
      <c r="N24" s="322">
        <f>VLOOKUP($A24,[0]!Data,282,FALSE)</f>
        <v>3209</v>
      </c>
      <c r="O24" s="452">
        <f>N24/'Table 1'!D24</f>
        <v>5.3844992197593838E-2</v>
      </c>
      <c r="P24" s="322">
        <f>VLOOKUP($A24,[0]!Data,304,FALSE)</f>
        <v>146</v>
      </c>
      <c r="Q24" s="324">
        <f>VLOOKUP($A24,[0]!Data,305,FALSE)</f>
        <v>928</v>
      </c>
    </row>
    <row r="25" spans="1:17" x14ac:dyDescent="0.25">
      <c r="A25" s="36" t="s">
        <v>699</v>
      </c>
      <c r="B25" s="36" t="s">
        <v>1523</v>
      </c>
      <c r="C25" s="322">
        <f>VLOOKUP($A25,[0]!Data,267,FALSE)</f>
        <v>1882</v>
      </c>
      <c r="D25" s="322">
        <f>VLOOKUP($A25,[0]!Data,268,FALSE)</f>
        <v>1288</v>
      </c>
      <c r="E25" s="322">
        <f>VLOOKUP($A25,[0]!Data,269,FALSE)</f>
        <v>3216</v>
      </c>
      <c r="F25" s="322">
        <f>VLOOKUP($A25,[0]!Data,290,FALSE)</f>
        <v>13</v>
      </c>
      <c r="G25" s="322">
        <f>VLOOKUP($A25,[0]!Data,292,FALSE)</f>
        <v>221</v>
      </c>
      <c r="H25" s="322">
        <f>VLOOKUP($A25,[0]!Data,270,FALSE)</f>
        <v>6386</v>
      </c>
      <c r="I25" s="322">
        <f>VLOOKUP($A25,[0]!Data,279,FALSE)</f>
        <v>16591</v>
      </c>
      <c r="J25" s="322">
        <f>VLOOKUP($A25,[0]!Data,280,FALSE)</f>
        <v>10946</v>
      </c>
      <c r="K25" s="322">
        <f>VLOOKUP($A25,[0]!Data,281,FALSE)</f>
        <v>92499</v>
      </c>
      <c r="L25" s="322">
        <f>VLOOKUP($A25,[0]!Data,291,FALSE)</f>
        <v>66</v>
      </c>
      <c r="M25" s="322">
        <f>VLOOKUP($A25,[0]!Data,293,FALSE)</f>
        <v>948</v>
      </c>
      <c r="N25" s="322">
        <f>VLOOKUP($A25,[0]!Data,282,FALSE)</f>
        <v>120036</v>
      </c>
      <c r="O25" s="452">
        <f>N25/'Table 1'!D25</f>
        <v>0.40231934575680384</v>
      </c>
      <c r="P25" s="322">
        <f>VLOOKUP($A25,[0]!Data,304,FALSE)</f>
        <v>11637</v>
      </c>
      <c r="Q25" s="324">
        <f>VLOOKUP($A25,[0]!Data,305,FALSE)</f>
        <v>46365</v>
      </c>
    </row>
    <row r="26" spans="1:17" x14ac:dyDescent="0.25">
      <c r="A26" s="36" t="s">
        <v>729</v>
      </c>
      <c r="B26" s="36" t="s">
        <v>1524</v>
      </c>
      <c r="C26" s="322">
        <f>VLOOKUP($A26,[0]!Data,267,FALSE)</f>
        <v>57</v>
      </c>
      <c r="D26" s="322">
        <f>VLOOKUP($A26,[0]!Data,268,FALSE)</f>
        <v>0</v>
      </c>
      <c r="E26" s="322">
        <f>VLOOKUP($A26,[0]!Data,269,FALSE)</f>
        <v>491</v>
      </c>
      <c r="F26" s="322">
        <f>VLOOKUP($A26,[0]!Data,290,FALSE)</f>
        <v>0</v>
      </c>
      <c r="G26" s="322">
        <f>VLOOKUP($A26,[0]!Data,292,FALSE)</f>
        <v>2</v>
      </c>
      <c r="H26" s="322">
        <f>VLOOKUP($A26,[0]!Data,270,FALSE)</f>
        <v>548</v>
      </c>
      <c r="I26" s="322">
        <f>VLOOKUP($A26,[0]!Data,279,FALSE)</f>
        <v>777</v>
      </c>
      <c r="J26" s="322">
        <f>VLOOKUP($A26,[0]!Data,280,FALSE)</f>
        <v>0</v>
      </c>
      <c r="K26" s="322">
        <f>VLOOKUP($A26,[0]!Data,281,FALSE)</f>
        <v>11360</v>
      </c>
      <c r="L26" s="322">
        <f>VLOOKUP($A26,[0]!Data,291,FALSE)</f>
        <v>0</v>
      </c>
      <c r="M26" s="322">
        <f>VLOOKUP($A26,[0]!Data,293,FALSE)</f>
        <v>14</v>
      </c>
      <c r="N26" s="322">
        <f>VLOOKUP($A26,[0]!Data,282,FALSE)</f>
        <v>12137</v>
      </c>
      <c r="O26" s="452">
        <f>N26/'Table 1'!D26</f>
        <v>0.22685133266046129</v>
      </c>
      <c r="P26" s="322">
        <f>VLOOKUP($A26,[0]!Data,304,FALSE)</f>
        <v>400</v>
      </c>
      <c r="Q26" s="324">
        <f>VLOOKUP($A26,[0]!Data,305,FALSE)</f>
        <v>2550</v>
      </c>
    </row>
    <row r="27" spans="1:17" x14ac:dyDescent="0.25">
      <c r="A27" s="36" t="s">
        <v>774</v>
      </c>
      <c r="B27" s="36" t="s">
        <v>1525</v>
      </c>
      <c r="C27" s="322">
        <f>VLOOKUP($A27,[0]!Data,267,FALSE)</f>
        <v>2516</v>
      </c>
      <c r="D27" s="322">
        <f>VLOOKUP($A27,[0]!Data,268,FALSE)</f>
        <v>350</v>
      </c>
      <c r="E27" s="322">
        <f>VLOOKUP($A27,[0]!Data,269,FALSE)</f>
        <v>2306</v>
      </c>
      <c r="F27" s="322">
        <f>VLOOKUP($A27,[0]!Data,290,FALSE)</f>
        <v>461</v>
      </c>
      <c r="G27" s="322">
        <f>VLOOKUP($A27,[0]!Data,292,FALSE)</f>
        <v>683</v>
      </c>
      <c r="H27" s="322">
        <f>VLOOKUP($A27,[0]!Data,270,FALSE)</f>
        <v>5172</v>
      </c>
      <c r="I27" s="322">
        <f>VLOOKUP($A27,[0]!Data,279,FALSE)</f>
        <v>33080</v>
      </c>
      <c r="J27" s="322">
        <f>VLOOKUP($A27,[0]!Data,280,FALSE)</f>
        <v>2515</v>
      </c>
      <c r="K27" s="322">
        <f>VLOOKUP($A27,[0]!Data,281,FALSE)</f>
        <v>70328</v>
      </c>
      <c r="L27" s="322">
        <f>VLOOKUP($A27,[0]!Data,291,FALSE)</f>
        <v>1958</v>
      </c>
      <c r="M27" s="322">
        <f>VLOOKUP($A27,[0]!Data,293,FALSE)</f>
        <v>1646</v>
      </c>
      <c r="N27" s="322">
        <f>VLOOKUP($A27,[0]!Data,282,FALSE)</f>
        <v>105923</v>
      </c>
      <c r="O27" s="452">
        <f>N27/'Table 1'!D27</f>
        <v>0.28696632196644389</v>
      </c>
      <c r="P27" s="322">
        <f>VLOOKUP($A27,[0]!Data,304,FALSE)</f>
        <v>3794</v>
      </c>
      <c r="Q27" s="324">
        <f>VLOOKUP($A27,[0]!Data,305,FALSE)</f>
        <v>47185</v>
      </c>
    </row>
    <row r="28" spans="1:17" x14ac:dyDescent="0.25">
      <c r="A28" s="36" t="s">
        <v>788</v>
      </c>
      <c r="B28" s="36" t="s">
        <v>1526</v>
      </c>
      <c r="C28" s="322">
        <f>VLOOKUP($A28,[0]!Data,267,FALSE)</f>
        <v>2</v>
      </c>
      <c r="D28" s="322">
        <f>VLOOKUP($A28,[0]!Data,268,FALSE)</f>
        <v>0</v>
      </c>
      <c r="E28" s="322">
        <f>VLOOKUP($A28,[0]!Data,269,FALSE)</f>
        <v>268</v>
      </c>
      <c r="F28" s="322">
        <f>VLOOKUP($A28,[0]!Data,290,FALSE)</f>
        <v>0</v>
      </c>
      <c r="G28" s="322">
        <f>VLOOKUP($A28,[0]!Data,292,FALSE)</f>
        <v>2</v>
      </c>
      <c r="H28" s="322">
        <f>VLOOKUP($A28,[0]!Data,270,FALSE)</f>
        <v>270</v>
      </c>
      <c r="I28" s="322">
        <f>VLOOKUP($A28,[0]!Data,279,FALSE)</f>
        <v>16</v>
      </c>
      <c r="J28" s="322">
        <f>VLOOKUP($A28,[0]!Data,280,FALSE)</f>
        <v>0</v>
      </c>
      <c r="K28" s="322">
        <f>VLOOKUP($A28,[0]!Data,281,FALSE)</f>
        <v>3618</v>
      </c>
      <c r="L28" s="322">
        <f>VLOOKUP($A28,[0]!Data,291,FALSE)</f>
        <v>0</v>
      </c>
      <c r="M28" s="322">
        <f>VLOOKUP($A28,[0]!Data,293,FALSE)</f>
        <v>16</v>
      </c>
      <c r="N28" s="322">
        <f>VLOOKUP($A28,[0]!Data,282,FALSE)</f>
        <v>3634</v>
      </c>
      <c r="O28" s="452">
        <f>N28/'Table 1'!D28</f>
        <v>5.5527542211016884E-2</v>
      </c>
      <c r="P28" s="322">
        <f>VLOOKUP($A28,[0]!Data,304,FALSE)</f>
        <v>610</v>
      </c>
      <c r="Q28" s="324">
        <f>VLOOKUP($A28,[0]!Data,305,FALSE)</f>
        <v>6363</v>
      </c>
    </row>
    <row r="29" spans="1:17" x14ac:dyDescent="0.25">
      <c r="A29" s="36" t="s">
        <v>802</v>
      </c>
      <c r="B29" s="36" t="s">
        <v>817</v>
      </c>
      <c r="C29" s="322">
        <f>VLOOKUP($A29,[0]!Data,267,FALSE)</f>
        <v>3405</v>
      </c>
      <c r="D29" s="322">
        <f>VLOOKUP($A29,[0]!Data,268,FALSE)</f>
        <v>616</v>
      </c>
      <c r="E29" s="322">
        <f>VLOOKUP($A29,[0]!Data,269,FALSE)</f>
        <v>2934</v>
      </c>
      <c r="F29" s="322">
        <f>VLOOKUP($A29,[0]!Data,290,FALSE)</f>
        <v>379</v>
      </c>
      <c r="G29" s="322">
        <f>VLOOKUP($A29,[0]!Data,292,FALSE)</f>
        <v>2616</v>
      </c>
      <c r="H29" s="322">
        <f>VLOOKUP($A29,[0]!Data,270,FALSE)</f>
        <v>6955</v>
      </c>
      <c r="I29" s="322">
        <f>VLOOKUP($A29,[0]!Data,279,FALSE)</f>
        <v>16512</v>
      </c>
      <c r="J29" s="322">
        <f>VLOOKUP($A29,[0]!Data,280,FALSE)</f>
        <v>6467</v>
      </c>
      <c r="K29" s="322">
        <f>VLOOKUP($A29,[0]!Data,281,FALSE)</f>
        <v>88099</v>
      </c>
      <c r="L29" s="322">
        <f>VLOOKUP($A29,[0]!Data,291,FALSE)</f>
        <v>415</v>
      </c>
      <c r="M29" s="322">
        <f>VLOOKUP($A29,[0]!Data,293,FALSE)</f>
        <v>3379</v>
      </c>
      <c r="N29" s="322">
        <f>VLOOKUP($A29,[0]!Data,282,FALSE)</f>
        <v>111078</v>
      </c>
      <c r="O29" s="452">
        <f>N29/'Table 1'!D29</f>
        <v>0.51805627457290371</v>
      </c>
      <c r="P29" s="322">
        <f>VLOOKUP($A29,[0]!Data,304,FALSE)</f>
        <v>405</v>
      </c>
      <c r="Q29" s="324">
        <f>VLOOKUP($A29,[0]!Data,305,FALSE)</f>
        <v>6936</v>
      </c>
    </row>
    <row r="30" spans="1:17" x14ac:dyDescent="0.25">
      <c r="A30" s="36" t="s">
        <v>828</v>
      </c>
      <c r="B30" s="36" t="s">
        <v>1527</v>
      </c>
      <c r="C30" s="322">
        <f>VLOOKUP($A30,[0]!Data,267,FALSE)</f>
        <v>80</v>
      </c>
      <c r="D30" s="322">
        <f>VLOOKUP($A30,[0]!Data,268,FALSE)</f>
        <v>55</v>
      </c>
      <c r="E30" s="322">
        <f>VLOOKUP($A30,[0]!Data,269,FALSE)</f>
        <v>213</v>
      </c>
      <c r="F30" s="322">
        <f>VLOOKUP($A30,[0]!Data,290,FALSE)</f>
        <v>230</v>
      </c>
      <c r="G30" s="322">
        <f>VLOOKUP($A30,[0]!Data,292,FALSE)</f>
        <v>12</v>
      </c>
      <c r="H30" s="322">
        <f>VLOOKUP($A30,[0]!Data,270,FALSE)</f>
        <v>348</v>
      </c>
      <c r="I30" s="322">
        <f>VLOOKUP($A30,[0]!Data,279,FALSE)</f>
        <v>1327</v>
      </c>
      <c r="J30" s="322">
        <f>VLOOKUP($A30,[0]!Data,280,FALSE)</f>
        <v>1079</v>
      </c>
      <c r="K30" s="322">
        <f>VLOOKUP($A30,[0]!Data,281,FALSE)</f>
        <v>4616</v>
      </c>
      <c r="L30" s="322">
        <f>VLOOKUP($A30,[0]!Data,291,FALSE)</f>
        <v>9001</v>
      </c>
      <c r="M30" s="322">
        <f>VLOOKUP($A30,[0]!Data,293,FALSE)</f>
        <v>120</v>
      </c>
      <c r="N30" s="322">
        <f>VLOOKUP($A30,[0]!Data,282,FALSE)</f>
        <v>7022</v>
      </c>
      <c r="O30" s="452">
        <f>N30/'Table 1'!D30</f>
        <v>0.1181498494102603</v>
      </c>
      <c r="P30" s="322">
        <f>VLOOKUP($A30,[0]!Data,304,FALSE)</f>
        <v>300</v>
      </c>
      <c r="Q30" s="324">
        <f>VLOOKUP($A30,[0]!Data,305,FALSE)</f>
        <v>7400</v>
      </c>
    </row>
    <row r="31" spans="1:17" x14ac:dyDescent="0.25">
      <c r="A31" s="36" t="s">
        <v>842</v>
      </c>
      <c r="B31" s="36" t="s">
        <v>1528</v>
      </c>
      <c r="C31" s="322">
        <f>VLOOKUP($A31,[0]!Data,267,FALSE)</f>
        <v>1435</v>
      </c>
      <c r="D31" s="322">
        <f>VLOOKUP($A31,[0]!Data,268,FALSE)</f>
        <v>432</v>
      </c>
      <c r="E31" s="322">
        <f>VLOOKUP($A31,[0]!Data,269,FALSE)</f>
        <v>2343</v>
      </c>
      <c r="F31" s="322">
        <f>VLOOKUP($A31,[0]!Data,290,FALSE)</f>
        <v>50</v>
      </c>
      <c r="G31" s="322">
        <f>VLOOKUP($A31,[0]!Data,292,FALSE)</f>
        <v>150</v>
      </c>
      <c r="H31" s="322">
        <f>VLOOKUP($A31,[0]!Data,270,FALSE)</f>
        <v>4210</v>
      </c>
      <c r="I31" s="322">
        <f>VLOOKUP($A31,[0]!Data,279,FALSE)</f>
        <v>12886</v>
      </c>
      <c r="J31" s="322">
        <f>VLOOKUP($A31,[0]!Data,280,FALSE)</f>
        <v>5121</v>
      </c>
      <c r="K31" s="322">
        <f>VLOOKUP($A31,[0]!Data,281,FALSE)</f>
        <v>74109</v>
      </c>
      <c r="L31" s="322">
        <f>VLOOKUP($A31,[0]!Data,291,FALSE)</f>
        <v>931</v>
      </c>
      <c r="M31" s="322">
        <f>VLOOKUP($A31,[0]!Data,293,FALSE)</f>
        <v>716</v>
      </c>
      <c r="N31" s="322">
        <f>VLOOKUP($A31,[0]!Data,282,FALSE)</f>
        <v>92116</v>
      </c>
      <c r="O31" s="452">
        <f>N31/'Table 1'!D31</f>
        <v>0.22141353152131066</v>
      </c>
      <c r="P31" s="322">
        <f>VLOOKUP($A31,[0]!Data,304,FALSE)</f>
        <v>5602</v>
      </c>
      <c r="Q31" s="324">
        <f>VLOOKUP($A31,[0]!Data,305,FALSE)</f>
        <v>32694</v>
      </c>
    </row>
    <row r="32" spans="1:17" x14ac:dyDescent="0.25">
      <c r="A32" s="36" t="s">
        <v>857</v>
      </c>
      <c r="B32" s="36" t="s">
        <v>1529</v>
      </c>
      <c r="C32" s="322">
        <f>VLOOKUP($A32,[0]!Data,267,FALSE)</f>
        <v>116</v>
      </c>
      <c r="D32" s="322">
        <f>VLOOKUP($A32,[0]!Data,268,FALSE)</f>
        <v>4</v>
      </c>
      <c r="E32" s="322">
        <f>VLOOKUP($A32,[0]!Data,269,FALSE)</f>
        <v>229</v>
      </c>
      <c r="F32" s="322">
        <f>VLOOKUP($A32,[0]!Data,290,FALSE)</f>
        <v>0</v>
      </c>
      <c r="G32" s="322">
        <f>VLOOKUP($A32,[0]!Data,292,FALSE)</f>
        <v>26</v>
      </c>
      <c r="H32" s="322">
        <f>VLOOKUP($A32,[0]!Data,270,FALSE)</f>
        <v>349</v>
      </c>
      <c r="I32" s="322">
        <f>VLOOKUP($A32,[0]!Data,279,FALSE)</f>
        <v>4117</v>
      </c>
      <c r="J32" s="322">
        <f>VLOOKUP($A32,[0]!Data,280,FALSE)</f>
        <v>424</v>
      </c>
      <c r="K32" s="322">
        <f>VLOOKUP($A32,[0]!Data,281,FALSE)</f>
        <v>4930</v>
      </c>
      <c r="L32" s="322">
        <f>VLOOKUP($A32,[0]!Data,291,FALSE)</f>
        <v>0</v>
      </c>
      <c r="M32" s="322">
        <f>VLOOKUP($A32,[0]!Data,293,FALSE)</f>
        <v>61</v>
      </c>
      <c r="N32" s="322">
        <f>VLOOKUP($A32,[0]!Data,282,FALSE)</f>
        <v>9471</v>
      </c>
      <c r="O32" s="452">
        <f>N32/'Table 1'!D32</f>
        <v>0.25556544968833483</v>
      </c>
      <c r="P32" s="322">
        <f>VLOOKUP($A32,[0]!Data,304,FALSE)</f>
        <v>290</v>
      </c>
      <c r="Q32" s="324">
        <f>VLOOKUP($A32,[0]!Data,305,FALSE)</f>
        <v>4117</v>
      </c>
    </row>
    <row r="33" spans="1:17" x14ac:dyDescent="0.25">
      <c r="A33" s="36" t="s">
        <v>871</v>
      </c>
      <c r="B33" s="36" t="s">
        <v>1530</v>
      </c>
      <c r="C33" s="322">
        <f>VLOOKUP($A33,[0]!Data,267,FALSE)</f>
        <v>72</v>
      </c>
      <c r="D33" s="322">
        <f>VLOOKUP($A33,[0]!Data,268,FALSE)</f>
        <v>34</v>
      </c>
      <c r="E33" s="322">
        <f>VLOOKUP($A33,[0]!Data,269,FALSE)</f>
        <v>585</v>
      </c>
      <c r="F33" s="322">
        <f>VLOOKUP($A33,[0]!Data,290,FALSE)</f>
        <v>5</v>
      </c>
      <c r="G33" s="322">
        <f>VLOOKUP($A33,[0]!Data,292,FALSE)</f>
        <v>5</v>
      </c>
      <c r="H33" s="322">
        <f>VLOOKUP($A33,[0]!Data,270,FALSE)</f>
        <v>691</v>
      </c>
      <c r="I33" s="322">
        <f>VLOOKUP($A33,[0]!Data,279,FALSE)</f>
        <v>495</v>
      </c>
      <c r="J33" s="322">
        <f>VLOOKUP($A33,[0]!Data,280,FALSE)</f>
        <v>277</v>
      </c>
      <c r="K33" s="322">
        <f>VLOOKUP($A33,[0]!Data,281,FALSE)</f>
        <v>16888</v>
      </c>
      <c r="L33" s="322">
        <f>VLOOKUP($A33,[0]!Data,291,FALSE)</f>
        <v>72</v>
      </c>
      <c r="M33" s="322">
        <f>VLOOKUP($A33,[0]!Data,293,FALSE)</f>
        <v>72</v>
      </c>
      <c r="N33" s="322">
        <f>VLOOKUP($A33,[0]!Data,282,FALSE)</f>
        <v>17660</v>
      </c>
      <c r="O33" s="452">
        <f>N33/'Table 1'!D33</f>
        <v>0.13712990068564951</v>
      </c>
      <c r="P33" s="322">
        <f>VLOOKUP($A33,[0]!Data,304,FALSE)</f>
        <v>588</v>
      </c>
      <c r="Q33" s="324">
        <f>VLOOKUP($A33,[0]!Data,305,FALSE)</f>
        <v>4344</v>
      </c>
    </row>
    <row r="34" spans="1:17" x14ac:dyDescent="0.25">
      <c r="A34" s="36" t="s">
        <v>893</v>
      </c>
      <c r="B34" s="36" t="s">
        <v>1531</v>
      </c>
      <c r="C34" s="322">
        <f>VLOOKUP($A34,[0]!Data,267,FALSE)</f>
        <v>383</v>
      </c>
      <c r="D34" s="322">
        <f>VLOOKUP($A34,[0]!Data,268,FALSE)</f>
        <v>80</v>
      </c>
      <c r="E34" s="322">
        <f>VLOOKUP($A34,[0]!Data,269,FALSE)</f>
        <v>554</v>
      </c>
      <c r="F34" s="322">
        <f>VLOOKUP($A34,[0]!Data,290,FALSE)</f>
        <v>2</v>
      </c>
      <c r="G34" s="322">
        <f>VLOOKUP($A34,[0]!Data,292,FALSE)</f>
        <v>8</v>
      </c>
      <c r="H34" s="322">
        <f>VLOOKUP($A34,[0]!Data,270,FALSE)</f>
        <v>1017</v>
      </c>
      <c r="I34" s="322">
        <f>VLOOKUP($A34,[0]!Data,279,FALSE)</f>
        <v>4517</v>
      </c>
      <c r="J34" s="322">
        <f>VLOOKUP($A34,[0]!Data,280,FALSE)</f>
        <v>795</v>
      </c>
      <c r="K34" s="322">
        <f>VLOOKUP($A34,[0]!Data,281,FALSE)</f>
        <v>13357</v>
      </c>
      <c r="L34" s="322">
        <f>VLOOKUP($A34,[0]!Data,291,FALSE)</f>
        <v>15</v>
      </c>
      <c r="M34" s="322">
        <f>VLOOKUP($A34,[0]!Data,293,FALSE)</f>
        <v>155</v>
      </c>
      <c r="N34" s="322">
        <f>VLOOKUP($A34,[0]!Data,282,FALSE)</f>
        <v>18669</v>
      </c>
      <c r="O34" s="452">
        <f>N34/'Table 1'!D34</f>
        <v>0.30222920140519016</v>
      </c>
      <c r="P34" s="322">
        <f>VLOOKUP($A34,[0]!Data,304,FALSE)</f>
        <v>1340</v>
      </c>
      <c r="Q34" s="324">
        <f>VLOOKUP($A34,[0]!Data,305,FALSE)</f>
        <v>19543</v>
      </c>
    </row>
    <row r="35" spans="1:17" x14ac:dyDescent="0.25">
      <c r="A35" s="36" t="s">
        <v>905</v>
      </c>
      <c r="B35" s="36" t="s">
        <v>1532</v>
      </c>
      <c r="C35" s="322">
        <f>VLOOKUP($A35,[0]!Data,267,FALSE)</f>
        <v>476</v>
      </c>
      <c r="D35" s="322">
        <f>VLOOKUP($A35,[0]!Data,268,FALSE)</f>
        <v>67</v>
      </c>
      <c r="E35" s="322">
        <f>VLOOKUP($A35,[0]!Data,269,FALSE)</f>
        <v>804</v>
      </c>
      <c r="F35" s="322">
        <f>VLOOKUP($A35,[0]!Data,290,FALSE)</f>
        <v>1</v>
      </c>
      <c r="G35" s="322">
        <f>VLOOKUP($A35,[0]!Data,292,FALSE)</f>
        <v>36</v>
      </c>
      <c r="H35" s="322">
        <f>VLOOKUP($A35,[0]!Data,270,FALSE)</f>
        <v>1347</v>
      </c>
      <c r="I35" s="322">
        <f>VLOOKUP($A35,[0]!Data,279,FALSE)</f>
        <v>5725</v>
      </c>
      <c r="J35" s="322">
        <f>VLOOKUP($A35,[0]!Data,280,FALSE)</f>
        <v>737</v>
      </c>
      <c r="K35" s="322">
        <f>VLOOKUP($A35,[0]!Data,281,FALSE)</f>
        <v>24129</v>
      </c>
      <c r="L35" s="322">
        <f>VLOOKUP($A35,[0]!Data,291,FALSE)</f>
        <v>6</v>
      </c>
      <c r="M35" s="322">
        <f>VLOOKUP($A35,[0]!Data,293,FALSE)</f>
        <v>121</v>
      </c>
      <c r="N35" s="322">
        <f>VLOOKUP($A35,[0]!Data,282,FALSE)</f>
        <v>30591</v>
      </c>
      <c r="O35" s="452">
        <f>N35/'Table 1'!D35</f>
        <v>0.26743891244481355</v>
      </c>
      <c r="P35" s="322">
        <f>VLOOKUP($A35,[0]!Data,304,FALSE)</f>
        <v>4872</v>
      </c>
      <c r="Q35" s="324">
        <f>VLOOKUP($A35,[0]!Data,305,FALSE)</f>
        <v>0</v>
      </c>
    </row>
    <row r="36" spans="1:17" x14ac:dyDescent="0.25">
      <c r="A36" s="36" t="s">
        <v>957</v>
      </c>
      <c r="B36" s="36" t="s">
        <v>1533</v>
      </c>
      <c r="C36" s="322">
        <f>VLOOKUP($A36,[0]!Data,267,FALSE)</f>
        <v>350</v>
      </c>
      <c r="D36" s="322">
        <f>VLOOKUP($A36,[0]!Data,268,FALSE)</f>
        <v>333</v>
      </c>
      <c r="E36" s="322">
        <f>VLOOKUP($A36,[0]!Data,269,FALSE)</f>
        <v>479</v>
      </c>
      <c r="F36" s="322">
        <f>VLOOKUP($A36,[0]!Data,290,FALSE)</f>
        <v>84</v>
      </c>
      <c r="G36" s="322">
        <f>VLOOKUP($A36,[0]!Data,292,FALSE)</f>
        <v>49</v>
      </c>
      <c r="H36" s="322">
        <f>VLOOKUP($A36,[0]!Data,270,FALSE)</f>
        <v>1162</v>
      </c>
      <c r="I36" s="322">
        <f>VLOOKUP($A36,[0]!Data,279,FALSE)</f>
        <v>4089</v>
      </c>
      <c r="J36" s="322">
        <f>VLOOKUP($A36,[0]!Data,280,FALSE)</f>
        <v>3186</v>
      </c>
      <c r="K36" s="322">
        <f>VLOOKUP($A36,[0]!Data,281,FALSE)</f>
        <v>11315</v>
      </c>
      <c r="L36" s="322">
        <f>VLOOKUP($A36,[0]!Data,291,FALSE)</f>
        <v>258</v>
      </c>
      <c r="M36" s="322">
        <f>VLOOKUP($A36,[0]!Data,293,FALSE)</f>
        <v>247</v>
      </c>
      <c r="N36" s="322">
        <f>VLOOKUP($A36,[0]!Data,282,FALSE)</f>
        <v>18590</v>
      </c>
      <c r="O36" s="452">
        <f>N36/'Table 1'!D36</f>
        <v>0.13839774275440542</v>
      </c>
      <c r="P36" s="322">
        <f>VLOOKUP($A36,[0]!Data,304,FALSE)</f>
        <v>920</v>
      </c>
      <c r="Q36" s="324">
        <f>VLOOKUP($A36,[0]!Data,305,FALSE)</f>
        <v>7803</v>
      </c>
    </row>
    <row r="37" spans="1:17" x14ac:dyDescent="0.25">
      <c r="A37" s="36" t="s">
        <v>1198</v>
      </c>
      <c r="B37" s="36" t="s">
        <v>950</v>
      </c>
      <c r="C37" s="322">
        <f>VLOOKUP($A37,[0]!Data,267,FALSE)</f>
        <v>87</v>
      </c>
      <c r="D37" s="322">
        <f>VLOOKUP($A37,[0]!Data,268,FALSE)</f>
        <v>36</v>
      </c>
      <c r="E37" s="322">
        <f>VLOOKUP($A37,[0]!Data,269,FALSE)</f>
        <v>600</v>
      </c>
      <c r="F37" s="322">
        <f>VLOOKUP($A37,[0]!Data,290,FALSE)</f>
        <v>0</v>
      </c>
      <c r="G37" s="322">
        <f>VLOOKUP($A37,[0]!Data,292,FALSE)</f>
        <v>49</v>
      </c>
      <c r="H37" s="322">
        <f>VLOOKUP($A37,[0]!Data,270,FALSE)</f>
        <v>723</v>
      </c>
      <c r="I37" s="322">
        <f>VLOOKUP($A37,[0]!Data,279,FALSE)</f>
        <v>1314</v>
      </c>
      <c r="J37" s="322">
        <f>VLOOKUP($A37,[0]!Data,280,FALSE)</f>
        <v>408</v>
      </c>
      <c r="K37" s="322">
        <f>VLOOKUP($A37,[0]!Data,281,FALSE)</f>
        <v>14295</v>
      </c>
      <c r="L37" s="322">
        <f>VLOOKUP($A37,[0]!Data,291,FALSE)</f>
        <v>0</v>
      </c>
      <c r="M37" s="322">
        <f>VLOOKUP($A37,[0]!Data,293,FALSE)</f>
        <v>137</v>
      </c>
      <c r="N37" s="322">
        <f>VLOOKUP($A37,[0]!Data,282,FALSE)</f>
        <v>16017</v>
      </c>
      <c r="O37" s="452">
        <f>N37/'Table 1'!D37</f>
        <v>9.4199361300453435E-2</v>
      </c>
      <c r="P37" s="322">
        <f>VLOOKUP($A37,[0]!Data,304,FALSE)</f>
        <v>281</v>
      </c>
      <c r="Q37" s="324">
        <f>VLOOKUP($A37,[0]!Data,305,FALSE)</f>
        <v>6009</v>
      </c>
    </row>
    <row r="38" spans="1:17" x14ac:dyDescent="0.25">
      <c r="A38" s="36" t="s">
        <v>981</v>
      </c>
      <c r="B38" s="36" t="s">
        <v>1534</v>
      </c>
      <c r="C38" s="322">
        <f>VLOOKUP($A38,[0]!Data,267,FALSE)</f>
        <v>120</v>
      </c>
      <c r="D38" s="322">
        <f>VLOOKUP($A38,[0]!Data,268,FALSE)</f>
        <v>5</v>
      </c>
      <c r="E38" s="322">
        <f>VLOOKUP($A38,[0]!Data,269,FALSE)</f>
        <v>217</v>
      </c>
      <c r="F38" s="322">
        <f>VLOOKUP($A38,[0]!Data,290,FALSE)</f>
        <v>17</v>
      </c>
      <c r="G38" s="322">
        <f>VLOOKUP($A38,[0]!Data,292,FALSE)</f>
        <v>50</v>
      </c>
      <c r="H38" s="322">
        <f>VLOOKUP($A38,[0]!Data,270,FALSE)</f>
        <v>342</v>
      </c>
      <c r="I38" s="322">
        <f>VLOOKUP($A38,[0]!Data,279,FALSE)</f>
        <v>561</v>
      </c>
      <c r="J38" s="322">
        <f>VLOOKUP($A38,[0]!Data,280,FALSE)</f>
        <v>63</v>
      </c>
      <c r="K38" s="322">
        <f>VLOOKUP($A38,[0]!Data,281,FALSE)</f>
        <v>5512</v>
      </c>
      <c r="L38" s="322">
        <f>VLOOKUP($A38,[0]!Data,291,FALSE)</f>
        <v>51</v>
      </c>
      <c r="M38" s="322">
        <f>VLOOKUP($A38,[0]!Data,293,FALSE)</f>
        <v>205</v>
      </c>
      <c r="N38" s="322">
        <f>VLOOKUP($A38,[0]!Data,282,FALSE)</f>
        <v>6136</v>
      </c>
      <c r="O38" s="452">
        <f>N38/'Table 1'!D38</f>
        <v>0.10357166970494902</v>
      </c>
      <c r="P38" s="322">
        <f>VLOOKUP($A38,[0]!Data,304,FALSE)</f>
        <v>355</v>
      </c>
      <c r="Q38" s="324">
        <f>VLOOKUP($A38,[0]!Data,305,FALSE)</f>
        <v>2019</v>
      </c>
    </row>
    <row r="39" spans="1:17" x14ac:dyDescent="0.25">
      <c r="A39" s="36" t="s">
        <v>992</v>
      </c>
      <c r="B39" s="36" t="s">
        <v>1535</v>
      </c>
      <c r="C39" s="322">
        <f>VLOOKUP($A39,[0]!Data,267,FALSE)</f>
        <v>115</v>
      </c>
      <c r="D39" s="322">
        <f>VLOOKUP($A39,[0]!Data,268,FALSE)</f>
        <v>106</v>
      </c>
      <c r="E39" s="322">
        <f>VLOOKUP($A39,[0]!Data,269,FALSE)</f>
        <v>461</v>
      </c>
      <c r="F39" s="322">
        <f>VLOOKUP($A39,[0]!Data,290,FALSE)</f>
        <v>5</v>
      </c>
      <c r="G39" s="322">
        <f>VLOOKUP($A39,[0]!Data,292,FALSE)</f>
        <v>14</v>
      </c>
      <c r="H39" s="322">
        <f>VLOOKUP($A39,[0]!Data,270,FALSE)</f>
        <v>682</v>
      </c>
      <c r="I39" s="322">
        <f>VLOOKUP($A39,[0]!Data,279,FALSE)</f>
        <v>1189</v>
      </c>
      <c r="J39" s="322">
        <f>VLOOKUP($A39,[0]!Data,280,FALSE)</f>
        <v>1771</v>
      </c>
      <c r="K39" s="322">
        <f>VLOOKUP($A39,[0]!Data,281,FALSE)</f>
        <v>12022</v>
      </c>
      <c r="L39" s="322">
        <f>VLOOKUP($A39,[0]!Data,291,FALSE)</f>
        <v>17</v>
      </c>
      <c r="M39" s="322">
        <f>VLOOKUP($A39,[0]!Data,293,FALSE)</f>
        <v>59</v>
      </c>
      <c r="N39" s="322">
        <f>VLOOKUP($A39,[0]!Data,282,FALSE)</f>
        <v>14982</v>
      </c>
      <c r="O39" s="452">
        <f>N39/'Table 1'!D39</f>
        <v>0.18263381809759488</v>
      </c>
      <c r="P39" s="322">
        <f>VLOOKUP($A39,[0]!Data,304,FALSE)</f>
        <v>88</v>
      </c>
      <c r="Q39" s="324">
        <f>VLOOKUP($A39,[0]!Data,305,FALSE)</f>
        <v>728</v>
      </c>
    </row>
    <row r="40" spans="1:17" x14ac:dyDescent="0.25">
      <c r="A40" s="36" t="s">
        <v>1009</v>
      </c>
      <c r="B40" s="36" t="s">
        <v>1536</v>
      </c>
      <c r="C40" s="322">
        <f>VLOOKUP($A40,[0]!Data,267,FALSE)</f>
        <v>194</v>
      </c>
      <c r="D40" s="322">
        <f>VLOOKUP($A40,[0]!Data,268,FALSE)</f>
        <v>60</v>
      </c>
      <c r="E40" s="322">
        <f>VLOOKUP($A40,[0]!Data,269,FALSE)</f>
        <v>431</v>
      </c>
      <c r="F40" s="322">
        <f>VLOOKUP($A40,[0]!Data,290,FALSE)</f>
        <v>5</v>
      </c>
      <c r="G40" s="322">
        <f>VLOOKUP($A40,[0]!Data,292,FALSE)</f>
        <v>40</v>
      </c>
      <c r="H40" s="322">
        <f>VLOOKUP($A40,[0]!Data,270,FALSE)</f>
        <v>685</v>
      </c>
      <c r="I40" s="322">
        <f>VLOOKUP($A40,[0]!Data,279,FALSE)</f>
        <v>3457</v>
      </c>
      <c r="J40" s="322">
        <f>VLOOKUP($A40,[0]!Data,280,FALSE)</f>
        <v>2099</v>
      </c>
      <c r="K40" s="322">
        <f>VLOOKUP($A40,[0]!Data,281,FALSE)</f>
        <v>8847</v>
      </c>
      <c r="L40" s="322">
        <f>VLOOKUP($A40,[0]!Data,291,FALSE)</f>
        <v>16</v>
      </c>
      <c r="M40" s="322">
        <f>VLOOKUP($A40,[0]!Data,293,FALSE)</f>
        <v>225</v>
      </c>
      <c r="N40" s="322">
        <f>VLOOKUP($A40,[0]!Data,282,FALSE)</f>
        <v>14403</v>
      </c>
      <c r="O40" s="452">
        <f>N40/'Table 1'!D40</f>
        <v>0.6553073388234224</v>
      </c>
      <c r="P40" s="322">
        <f>VLOOKUP($A40,[0]!Data,304,FALSE)</f>
        <v>411</v>
      </c>
      <c r="Q40" s="324">
        <f>VLOOKUP($A40,[0]!Data,305,FALSE)</f>
        <v>4120</v>
      </c>
    </row>
    <row r="41" spans="1:17" x14ac:dyDescent="0.25">
      <c r="A41" s="36" t="s">
        <v>1021</v>
      </c>
      <c r="B41" s="36" t="s">
        <v>1537</v>
      </c>
      <c r="C41" s="322">
        <f>VLOOKUP($A41,[0]!Data,267,FALSE)</f>
        <v>62</v>
      </c>
      <c r="D41" s="322">
        <f>VLOOKUP($A41,[0]!Data,268,FALSE)</f>
        <v>30</v>
      </c>
      <c r="E41" s="322">
        <f>VLOOKUP($A41,[0]!Data,269,FALSE)</f>
        <v>522</v>
      </c>
      <c r="F41" s="322">
        <f>VLOOKUP($A41,[0]!Data,290,FALSE)</f>
        <v>3</v>
      </c>
      <c r="G41" s="322">
        <f>VLOOKUP($A41,[0]!Data,292,FALSE)</f>
        <v>48</v>
      </c>
      <c r="H41" s="322">
        <f>VLOOKUP($A41,[0]!Data,270,FALSE)</f>
        <v>614</v>
      </c>
      <c r="I41" s="322">
        <f>VLOOKUP($A41,[0]!Data,279,FALSE)</f>
        <v>320</v>
      </c>
      <c r="J41" s="322">
        <f>VLOOKUP($A41,[0]!Data,280,FALSE)</f>
        <v>324</v>
      </c>
      <c r="K41" s="322">
        <f>VLOOKUP($A41,[0]!Data,281,FALSE)</f>
        <v>5819</v>
      </c>
      <c r="L41" s="322">
        <f>VLOOKUP($A41,[0]!Data,291,FALSE)</f>
        <v>8</v>
      </c>
      <c r="M41" s="322">
        <f>VLOOKUP($A41,[0]!Data,293,FALSE)</f>
        <v>168</v>
      </c>
      <c r="N41" s="322">
        <f>VLOOKUP($A41,[0]!Data,282,FALSE)</f>
        <v>6463</v>
      </c>
      <c r="O41" s="452">
        <f>N41/'Table 1'!D41</f>
        <v>0.14201274445176884</v>
      </c>
      <c r="P41" s="322">
        <f>VLOOKUP($A41,[0]!Data,304,FALSE)</f>
        <v>438</v>
      </c>
      <c r="Q41" s="324">
        <f>VLOOKUP($A41,[0]!Data,305,FALSE)</f>
        <v>1350</v>
      </c>
    </row>
    <row r="42" spans="1:17" x14ac:dyDescent="0.25">
      <c r="A42" s="36" t="s">
        <v>574</v>
      </c>
      <c r="B42" s="36" t="s">
        <v>1538</v>
      </c>
      <c r="C42" s="322">
        <f>VLOOKUP($A42,[0]!Data,267,FALSE)</f>
        <v>3611</v>
      </c>
      <c r="D42" s="322">
        <f>VLOOKUP($A42,[0]!Data,268,FALSE)</f>
        <v>3989</v>
      </c>
      <c r="E42" s="322">
        <f>VLOOKUP($A42,[0]!Data,269,FALSE)</f>
        <v>17385</v>
      </c>
      <c r="F42" s="322">
        <f>VLOOKUP($A42,[0]!Data,290,FALSE)</f>
        <v>425</v>
      </c>
      <c r="G42" s="322">
        <f>VLOOKUP($A42,[0]!Data,292,FALSE)</f>
        <v>2147</v>
      </c>
      <c r="H42" s="322">
        <f>VLOOKUP($A42,[0]!Data,270,FALSE)</f>
        <v>24985</v>
      </c>
      <c r="I42" s="322">
        <f>VLOOKUP($A42,[0]!Data,279,FALSE)</f>
        <v>35366</v>
      </c>
      <c r="J42" s="322">
        <f>VLOOKUP($A42,[0]!Data,280,FALSE)</f>
        <v>47293</v>
      </c>
      <c r="K42" s="322">
        <f>VLOOKUP($A42,[0]!Data,281,FALSE)</f>
        <v>305758</v>
      </c>
      <c r="L42" s="322">
        <f>VLOOKUP($A42,[0]!Data,291,FALSE)</f>
        <v>3083</v>
      </c>
      <c r="M42" s="322">
        <f>VLOOKUP($A42,[0]!Data,293,FALSE)</f>
        <v>5457</v>
      </c>
      <c r="N42" s="322">
        <f>VLOOKUP($A42,[0]!Data,282,FALSE)</f>
        <v>388417</v>
      </c>
      <c r="O42" s="452">
        <f>N42/'Table 1'!D42</f>
        <v>0.36867623120037585</v>
      </c>
      <c r="P42" s="322">
        <f>VLOOKUP($A42,[0]!Data,304,FALSE)</f>
        <v>0</v>
      </c>
      <c r="Q42" s="324">
        <f>VLOOKUP($A42,[0]!Data,305,FALSE)</f>
        <v>0</v>
      </c>
    </row>
    <row r="43" spans="1:17" x14ac:dyDescent="0.25">
      <c r="A43" s="36" t="s">
        <v>455</v>
      </c>
      <c r="B43" s="36" t="s">
        <v>1539</v>
      </c>
      <c r="C43" s="322">
        <f>VLOOKUP($A43,[0]!Data,267,FALSE)</f>
        <v>358</v>
      </c>
      <c r="D43" s="322">
        <f>VLOOKUP($A43,[0]!Data,268,FALSE)</f>
        <v>62</v>
      </c>
      <c r="E43" s="322">
        <f>VLOOKUP($A43,[0]!Data,269,FALSE)</f>
        <v>1223</v>
      </c>
      <c r="F43" s="322">
        <f>VLOOKUP($A43,[0]!Data,290,FALSE)</f>
        <v>67</v>
      </c>
      <c r="G43" s="322">
        <f>VLOOKUP($A43,[0]!Data,292,FALSE)</f>
        <v>158</v>
      </c>
      <c r="H43" s="322">
        <f>VLOOKUP($A43,[0]!Data,270,FALSE)</f>
        <v>1643</v>
      </c>
      <c r="I43" s="322">
        <f>VLOOKUP($A43,[0]!Data,279,FALSE)</f>
        <v>1429</v>
      </c>
      <c r="J43" s="322">
        <f>VLOOKUP($A43,[0]!Data,280,FALSE)</f>
        <v>2204</v>
      </c>
      <c r="K43" s="322">
        <f>VLOOKUP($A43,[0]!Data,281,FALSE)</f>
        <v>39946</v>
      </c>
      <c r="L43" s="322">
        <f>VLOOKUP($A43,[0]!Data,291,FALSE)</f>
        <v>204</v>
      </c>
      <c r="M43" s="322">
        <f>VLOOKUP($A43,[0]!Data,293,FALSE)</f>
        <v>174</v>
      </c>
      <c r="N43" s="322">
        <f>VLOOKUP($A43,[0]!Data,282,FALSE)</f>
        <v>43579</v>
      </c>
      <c r="O43" s="452">
        <f>N43/'Table 1'!D43</f>
        <v>0.48860858840677207</v>
      </c>
      <c r="P43" s="322">
        <f>VLOOKUP($A43,[0]!Data,304,FALSE)</f>
        <v>401</v>
      </c>
      <c r="Q43" s="324">
        <f>VLOOKUP($A43,[0]!Data,305,FALSE)</f>
        <v>7005</v>
      </c>
    </row>
    <row r="44" spans="1:17" x14ac:dyDescent="0.25">
      <c r="A44" s="36" t="s">
        <v>1078</v>
      </c>
      <c r="B44" s="36" t="s">
        <v>1540</v>
      </c>
      <c r="C44" s="322">
        <f>VLOOKUP($A44,[0]!Data,267,FALSE)</f>
        <v>816</v>
      </c>
      <c r="D44" s="322">
        <f>VLOOKUP($A44,[0]!Data,268,FALSE)</f>
        <v>92</v>
      </c>
      <c r="E44" s="322">
        <f>VLOOKUP($A44,[0]!Data,269,FALSE)</f>
        <v>2271</v>
      </c>
      <c r="F44" s="322">
        <f>VLOOKUP($A44,[0]!Data,290,FALSE)</f>
        <v>240</v>
      </c>
      <c r="G44" s="322">
        <f>VLOOKUP($A44,[0]!Data,292,FALSE)</f>
        <v>271</v>
      </c>
      <c r="H44" s="322">
        <f>VLOOKUP($A44,[0]!Data,270,FALSE)</f>
        <v>3179</v>
      </c>
      <c r="I44" s="322">
        <f>VLOOKUP($A44,[0]!Data,279,FALSE)</f>
        <v>8265</v>
      </c>
      <c r="J44" s="322">
        <f>VLOOKUP($A44,[0]!Data,280,FALSE)</f>
        <v>2015</v>
      </c>
      <c r="K44" s="322">
        <f>VLOOKUP($A44,[0]!Data,281,FALSE)</f>
        <v>60892</v>
      </c>
      <c r="L44" s="322">
        <f>VLOOKUP($A44,[0]!Data,291,FALSE)</f>
        <v>1486</v>
      </c>
      <c r="M44" s="322">
        <f>VLOOKUP($A44,[0]!Data,293,FALSE)</f>
        <v>2532</v>
      </c>
      <c r="N44" s="322">
        <f>VLOOKUP($A44,[0]!Data,282,FALSE)</f>
        <v>71172</v>
      </c>
      <c r="O44" s="452">
        <f>N44/'Table 1'!D44</f>
        <v>0.31828914886766124</v>
      </c>
      <c r="P44" s="322">
        <f>VLOOKUP($A44,[0]!Data,304,FALSE)</f>
        <v>1818</v>
      </c>
      <c r="Q44" s="324">
        <f>VLOOKUP($A44,[0]!Data,305,FALSE)</f>
        <v>39701</v>
      </c>
    </row>
    <row r="45" spans="1:17" x14ac:dyDescent="0.25">
      <c r="A45" s="36" t="s">
        <v>1108</v>
      </c>
      <c r="B45" s="36" t="s">
        <v>1541</v>
      </c>
      <c r="C45" s="322">
        <f>VLOOKUP($A45,[0]!Data,267,FALSE)</f>
        <v>158</v>
      </c>
      <c r="D45" s="322">
        <f>VLOOKUP($A45,[0]!Data,268,FALSE)</f>
        <v>123</v>
      </c>
      <c r="E45" s="322">
        <f>VLOOKUP($A45,[0]!Data,269,FALSE)</f>
        <v>1200</v>
      </c>
      <c r="F45" s="322">
        <f>VLOOKUP($A45,[0]!Data,290,FALSE)</f>
        <v>6</v>
      </c>
      <c r="G45" s="322">
        <f>VLOOKUP($A45,[0]!Data,292,FALSE)</f>
        <v>11</v>
      </c>
      <c r="H45" s="322">
        <f>VLOOKUP($A45,[0]!Data,270,FALSE)</f>
        <v>1481</v>
      </c>
      <c r="I45" s="322">
        <f>VLOOKUP($A45,[0]!Data,279,FALSE)</f>
        <v>1502</v>
      </c>
      <c r="J45" s="322">
        <f>VLOOKUP($A45,[0]!Data,280,FALSE)</f>
        <v>1299</v>
      </c>
      <c r="K45" s="322">
        <f>VLOOKUP($A45,[0]!Data,281,FALSE)</f>
        <v>37197</v>
      </c>
      <c r="L45" s="322">
        <f>VLOOKUP($A45,[0]!Data,291,FALSE)</f>
        <v>98</v>
      </c>
      <c r="M45" s="322">
        <f>VLOOKUP($A45,[0]!Data,293,FALSE)</f>
        <v>960</v>
      </c>
      <c r="N45" s="322">
        <f>VLOOKUP($A45,[0]!Data,282,FALSE)</f>
        <v>39998</v>
      </c>
      <c r="O45" s="452">
        <f>N45/'Table 1'!D45</f>
        <v>0.20626669554544799</v>
      </c>
      <c r="P45" s="322">
        <f>VLOOKUP($A45,[0]!Data,304,FALSE)</f>
        <v>190</v>
      </c>
      <c r="Q45" s="324">
        <f>VLOOKUP($A45,[0]!Data,305,FALSE)</f>
        <v>3023</v>
      </c>
    </row>
    <row r="46" spans="1:17" x14ac:dyDescent="0.25">
      <c r="A46" s="36" t="s">
        <v>1117</v>
      </c>
      <c r="B46" s="36" t="s">
        <v>1131</v>
      </c>
      <c r="C46" s="322">
        <f>VLOOKUP($A46,[0]!Data,267,FALSE)</f>
        <v>106</v>
      </c>
      <c r="D46" s="322">
        <f>VLOOKUP($A46,[0]!Data,268,FALSE)</f>
        <v>3</v>
      </c>
      <c r="E46" s="322">
        <f>VLOOKUP($A46,[0]!Data,269,FALSE)</f>
        <v>416</v>
      </c>
      <c r="F46" s="322">
        <f>VLOOKUP($A46,[0]!Data,290,FALSE)</f>
        <v>7</v>
      </c>
      <c r="G46" s="322">
        <f>VLOOKUP($A46,[0]!Data,292,FALSE)</f>
        <v>55</v>
      </c>
      <c r="H46" s="322">
        <f>VLOOKUP($A46,[0]!Data,270,FALSE)</f>
        <v>525</v>
      </c>
      <c r="I46" s="322">
        <f>VLOOKUP($A46,[0]!Data,279,FALSE)</f>
        <v>954</v>
      </c>
      <c r="J46" s="322">
        <f>VLOOKUP($A46,[0]!Data,280,FALSE)</f>
        <v>26</v>
      </c>
      <c r="K46" s="322">
        <f>VLOOKUP($A46,[0]!Data,281,FALSE)</f>
        <v>11457</v>
      </c>
      <c r="L46" s="322">
        <f>VLOOKUP($A46,[0]!Data,291,FALSE)</f>
        <v>17</v>
      </c>
      <c r="M46" s="322">
        <f>VLOOKUP($A46,[0]!Data,293,FALSE)</f>
        <v>101</v>
      </c>
      <c r="N46" s="322">
        <f>VLOOKUP($A46,[0]!Data,282,FALSE)</f>
        <v>12437</v>
      </c>
      <c r="O46" s="452">
        <f>N46/'Table 1'!D46</f>
        <v>0.1477762859281615</v>
      </c>
      <c r="P46" s="322">
        <f>VLOOKUP($A46,[0]!Data,304,FALSE)</f>
        <v>3085</v>
      </c>
      <c r="Q46" s="324">
        <f>VLOOKUP($A46,[0]!Data,305,FALSE)</f>
        <v>6725</v>
      </c>
    </row>
    <row r="47" spans="1:17" x14ac:dyDescent="0.25">
      <c r="A47" s="36" t="s">
        <v>1133</v>
      </c>
      <c r="B47" s="36" t="s">
        <v>1542</v>
      </c>
      <c r="C47" s="322">
        <f>VLOOKUP($A47,[0]!Data,267,FALSE)</f>
        <v>30</v>
      </c>
      <c r="D47" s="322">
        <f>VLOOKUP($A47,[0]!Data,268,FALSE)</f>
        <v>5</v>
      </c>
      <c r="E47" s="322">
        <f>VLOOKUP($A47,[0]!Data,269,FALSE)</f>
        <v>380</v>
      </c>
      <c r="F47" s="322">
        <f>VLOOKUP($A47,[0]!Data,290,FALSE)</f>
        <v>0</v>
      </c>
      <c r="G47" s="322">
        <f>VLOOKUP($A47,[0]!Data,292,FALSE)</f>
        <v>0</v>
      </c>
      <c r="H47" s="322">
        <f>VLOOKUP($A47,[0]!Data,270,FALSE)</f>
        <v>415</v>
      </c>
      <c r="I47" s="322">
        <f>VLOOKUP($A47,[0]!Data,279,FALSE)</f>
        <v>793</v>
      </c>
      <c r="J47" s="322">
        <f>VLOOKUP($A47,[0]!Data,280,FALSE)</f>
        <v>180</v>
      </c>
      <c r="K47" s="322">
        <f>VLOOKUP($A47,[0]!Data,281,FALSE)</f>
        <v>7057</v>
      </c>
      <c r="L47" s="322">
        <f>VLOOKUP($A47,[0]!Data,291,FALSE)</f>
        <v>0</v>
      </c>
      <c r="M47" s="322">
        <f>VLOOKUP($A47,[0]!Data,293,FALSE)</f>
        <v>0</v>
      </c>
      <c r="N47" s="322">
        <f>VLOOKUP($A47,[0]!Data,282,FALSE)</f>
        <v>8030</v>
      </c>
      <c r="O47" s="452">
        <f>N47/'Table 1'!D47</f>
        <v>0.13505104357624581</v>
      </c>
      <c r="P47" s="322">
        <f>VLOOKUP($A47,[0]!Data,304,FALSE)</f>
        <v>0</v>
      </c>
      <c r="Q47" s="324">
        <f>VLOOKUP($A47,[0]!Data,305,FALSE)</f>
        <v>0</v>
      </c>
    </row>
    <row r="48" spans="1:17" x14ac:dyDescent="0.25">
      <c r="A48" s="36" t="s">
        <v>1159</v>
      </c>
      <c r="B48" s="36" t="s">
        <v>1543</v>
      </c>
      <c r="C48" s="322">
        <f>VLOOKUP($A48,[0]!Data,267,FALSE)</f>
        <v>127</v>
      </c>
      <c r="D48" s="322">
        <f>VLOOKUP($A48,[0]!Data,268,FALSE)</f>
        <v>14</v>
      </c>
      <c r="E48" s="322">
        <f>VLOOKUP($A48,[0]!Data,269,FALSE)</f>
        <v>219</v>
      </c>
      <c r="F48" s="322">
        <f>VLOOKUP($A48,[0]!Data,290,FALSE)</f>
        <v>1</v>
      </c>
      <c r="G48" s="322">
        <f>VLOOKUP($A48,[0]!Data,292,FALSE)</f>
        <v>28</v>
      </c>
      <c r="H48" s="322">
        <f>VLOOKUP($A48,[0]!Data,270,FALSE)</f>
        <v>360</v>
      </c>
      <c r="I48" s="322">
        <f>VLOOKUP($A48,[0]!Data,279,FALSE)</f>
        <v>1617</v>
      </c>
      <c r="J48" s="322">
        <f>VLOOKUP($A48,[0]!Data,280,FALSE)</f>
        <v>66</v>
      </c>
      <c r="K48" s="322">
        <f>VLOOKUP($A48,[0]!Data,281,FALSE)</f>
        <v>6293</v>
      </c>
      <c r="L48" s="322">
        <f>VLOOKUP($A48,[0]!Data,291,FALSE)</f>
        <v>6</v>
      </c>
      <c r="M48" s="322">
        <f>VLOOKUP($A48,[0]!Data,293,FALSE)</f>
        <v>90</v>
      </c>
      <c r="N48" s="322">
        <f>VLOOKUP($A48,[0]!Data,282,FALSE)</f>
        <v>7976</v>
      </c>
      <c r="O48" s="452">
        <f>N48/'Table 1'!D48</f>
        <v>0.20076520338300444</v>
      </c>
      <c r="P48" s="322">
        <f>VLOOKUP($A48,[0]!Data,304,FALSE)</f>
        <v>268</v>
      </c>
      <c r="Q48" s="324">
        <f>VLOOKUP($A48,[0]!Data,305,FALSE)</f>
        <v>2645</v>
      </c>
    </row>
    <row r="49" spans="1:17" x14ac:dyDescent="0.25">
      <c r="A49" s="36" t="s">
        <v>1335</v>
      </c>
      <c r="B49" s="36" t="s">
        <v>1544</v>
      </c>
      <c r="C49" s="322">
        <f>VLOOKUP($A49,[0]!Data,267,FALSE)</f>
        <v>177</v>
      </c>
      <c r="D49" s="322">
        <f>VLOOKUP($A49,[0]!Data,268,FALSE)</f>
        <v>51</v>
      </c>
      <c r="E49" s="322">
        <f>VLOOKUP($A49,[0]!Data,269,FALSE)</f>
        <v>983</v>
      </c>
      <c r="F49" s="322">
        <f>VLOOKUP($A49,[0]!Data,290,FALSE)</f>
        <v>0</v>
      </c>
      <c r="G49" s="322">
        <f>VLOOKUP($A49,[0]!Data,292,FALSE)</f>
        <v>126</v>
      </c>
      <c r="H49" s="322">
        <f>VLOOKUP($A49,[0]!Data,270,FALSE)</f>
        <v>1211</v>
      </c>
      <c r="I49" s="322">
        <f>VLOOKUP($A49,[0]!Data,279,FALSE)</f>
        <v>1656</v>
      </c>
      <c r="J49" s="322">
        <f>VLOOKUP($A49,[0]!Data,280,FALSE)</f>
        <v>887</v>
      </c>
      <c r="K49" s="322">
        <f>VLOOKUP($A49,[0]!Data,281,FALSE)</f>
        <v>30252</v>
      </c>
      <c r="L49" s="322">
        <f>VLOOKUP($A49,[0]!Data,291,FALSE)</f>
        <v>0</v>
      </c>
      <c r="M49" s="322">
        <f>VLOOKUP($A49,[0]!Data,293,FALSE)</f>
        <v>661</v>
      </c>
      <c r="N49" s="322">
        <f>VLOOKUP($A49,[0]!Data,282,FALSE)</f>
        <v>32795</v>
      </c>
      <c r="O49" s="452">
        <f>N49/'Table 1'!D49</f>
        <v>0.19154279706801389</v>
      </c>
      <c r="P49" s="322">
        <f>VLOOKUP($A49,[0]!Data,304,FALSE)</f>
        <v>2418</v>
      </c>
      <c r="Q49" s="324">
        <f>VLOOKUP($A49,[0]!Data,305,FALSE)</f>
        <v>14756</v>
      </c>
    </row>
    <row r="50" spans="1:17" x14ac:dyDescent="0.25">
      <c r="A50" s="36" t="s">
        <v>1187</v>
      </c>
      <c r="B50" s="36" t="s">
        <v>1545</v>
      </c>
      <c r="C50" s="322">
        <f>VLOOKUP($A50,[0]!Data,267,FALSE)</f>
        <v>53</v>
      </c>
      <c r="D50" s="322">
        <f>VLOOKUP($A50,[0]!Data,268,FALSE)</f>
        <v>95</v>
      </c>
      <c r="E50" s="322">
        <f>VLOOKUP($A50,[0]!Data,269,FALSE)</f>
        <v>244</v>
      </c>
      <c r="F50" s="322">
        <f>VLOOKUP($A50,[0]!Data,290,FALSE)</f>
        <v>0</v>
      </c>
      <c r="G50" s="322">
        <f>VLOOKUP($A50,[0]!Data,292,FALSE)</f>
        <v>4</v>
      </c>
      <c r="H50" s="322">
        <f>VLOOKUP($A50,[0]!Data,270,FALSE)</f>
        <v>392</v>
      </c>
      <c r="I50" s="322">
        <f>VLOOKUP($A50,[0]!Data,279,FALSE)</f>
        <v>1122</v>
      </c>
      <c r="J50" s="322">
        <f>VLOOKUP($A50,[0]!Data,280,FALSE)</f>
        <v>970</v>
      </c>
      <c r="K50" s="322">
        <f>VLOOKUP($A50,[0]!Data,281,FALSE)</f>
        <v>3528</v>
      </c>
      <c r="L50" s="322">
        <f>VLOOKUP($A50,[0]!Data,291,FALSE)</f>
        <v>0</v>
      </c>
      <c r="M50" s="322">
        <f>VLOOKUP($A50,[0]!Data,293,FALSE)</f>
        <v>26</v>
      </c>
      <c r="N50" s="322">
        <f>VLOOKUP($A50,[0]!Data,282,FALSE)</f>
        <v>5620</v>
      </c>
      <c r="O50" s="452">
        <f>N50/'Table 1'!D50</f>
        <v>0.26723728007608177</v>
      </c>
      <c r="P50" s="322">
        <f>VLOOKUP($A50,[0]!Data,304,FALSE)</f>
        <v>279</v>
      </c>
      <c r="Q50" s="324">
        <f>VLOOKUP($A50,[0]!Data,305,FALSE)</f>
        <v>4416</v>
      </c>
    </row>
    <row r="51" spans="1:17" x14ac:dyDescent="0.25">
      <c r="A51" s="36" t="s">
        <v>1210</v>
      </c>
      <c r="B51" s="36" t="s">
        <v>1546</v>
      </c>
      <c r="C51" s="322">
        <f>VLOOKUP($A51,[0]!Data,267,FALSE)</f>
        <v>216</v>
      </c>
      <c r="D51" s="322">
        <f>VLOOKUP($A51,[0]!Data,268,FALSE)</f>
        <v>89</v>
      </c>
      <c r="E51" s="322">
        <f>VLOOKUP($A51,[0]!Data,269,FALSE)</f>
        <v>1537</v>
      </c>
      <c r="F51" s="322">
        <f>VLOOKUP($A51,[0]!Data,290,FALSE)</f>
        <v>6</v>
      </c>
      <c r="G51" s="322">
        <f>VLOOKUP($A51,[0]!Data,292,FALSE)</f>
        <v>48</v>
      </c>
      <c r="H51" s="322">
        <f>VLOOKUP($A51,[0]!Data,270,FALSE)</f>
        <v>1842</v>
      </c>
      <c r="I51" s="322">
        <f>VLOOKUP($A51,[0]!Data,279,FALSE)</f>
        <v>3673</v>
      </c>
      <c r="J51" s="322">
        <f>VLOOKUP($A51,[0]!Data,280,FALSE)</f>
        <v>731</v>
      </c>
      <c r="K51" s="322">
        <f>VLOOKUP($A51,[0]!Data,281,FALSE)</f>
        <v>39881</v>
      </c>
      <c r="L51" s="322">
        <f>VLOOKUP($A51,[0]!Data,291,FALSE)</f>
        <v>11</v>
      </c>
      <c r="M51" s="322">
        <f>VLOOKUP($A51,[0]!Data,293,FALSE)</f>
        <v>380</v>
      </c>
      <c r="N51" s="322">
        <f>VLOOKUP($A51,[0]!Data,282,FALSE)</f>
        <v>44285</v>
      </c>
      <c r="O51" s="452">
        <f>N51/'Table 1'!D51</f>
        <v>0.30817461256358691</v>
      </c>
      <c r="P51" s="322">
        <f>VLOOKUP($A51,[0]!Data,304,FALSE)</f>
        <v>1491</v>
      </c>
      <c r="Q51" s="324">
        <f>VLOOKUP($A51,[0]!Data,305,FALSE)</f>
        <v>7460</v>
      </c>
    </row>
    <row r="52" spans="1:17" x14ac:dyDescent="0.25">
      <c r="A52" s="36" t="s">
        <v>1236</v>
      </c>
      <c r="B52" s="36" t="s">
        <v>1547</v>
      </c>
      <c r="C52" s="322">
        <f>VLOOKUP($A52,[0]!Data,267,FALSE)</f>
        <v>97</v>
      </c>
      <c r="D52" s="322">
        <f>VLOOKUP($A52,[0]!Data,268,FALSE)</f>
        <v>22</v>
      </c>
      <c r="E52" s="322">
        <f>VLOOKUP($A52,[0]!Data,269,FALSE)</f>
        <v>300</v>
      </c>
      <c r="F52" s="322">
        <f>VLOOKUP($A52,[0]!Data,290,FALSE)</f>
        <v>4</v>
      </c>
      <c r="G52" s="322">
        <f>VLOOKUP($A52,[0]!Data,292,FALSE)</f>
        <v>30</v>
      </c>
      <c r="H52" s="322">
        <f>VLOOKUP($A52,[0]!Data,270,FALSE)</f>
        <v>419</v>
      </c>
      <c r="I52" s="322">
        <f>VLOOKUP($A52,[0]!Data,279,FALSE)</f>
        <v>1053</v>
      </c>
      <c r="J52" s="322">
        <f>VLOOKUP($A52,[0]!Data,280,FALSE)</f>
        <v>111</v>
      </c>
      <c r="K52" s="322">
        <f>VLOOKUP($A52,[0]!Data,281,FALSE)</f>
        <v>13026</v>
      </c>
      <c r="L52" s="322">
        <f>VLOOKUP($A52,[0]!Data,291,FALSE)</f>
        <v>3</v>
      </c>
      <c r="M52" s="322">
        <f>VLOOKUP($A52,[0]!Data,293,FALSE)</f>
        <v>169</v>
      </c>
      <c r="N52" s="322">
        <f>VLOOKUP($A52,[0]!Data,282,FALSE)</f>
        <v>14190</v>
      </c>
      <c r="O52" s="452">
        <f>N52/'Table 1'!D52</f>
        <v>0.10696759311608132</v>
      </c>
      <c r="P52" s="322">
        <f>VLOOKUP($A52,[0]!Data,304,FALSE)</f>
        <v>130</v>
      </c>
      <c r="Q52" s="324">
        <f>VLOOKUP($A52,[0]!Data,305,FALSE)</f>
        <v>4079</v>
      </c>
    </row>
    <row r="53" spans="1:17" x14ac:dyDescent="0.25">
      <c r="A53" s="36" t="s">
        <v>1249</v>
      </c>
      <c r="B53" s="36" t="s">
        <v>1548</v>
      </c>
      <c r="C53" s="322">
        <f>VLOOKUP($A53,[0]!Data,267,FALSE)</f>
        <v>347</v>
      </c>
      <c r="D53" s="322">
        <f>VLOOKUP($A53,[0]!Data,268,FALSE)</f>
        <v>123</v>
      </c>
      <c r="E53" s="322">
        <f>VLOOKUP($A53,[0]!Data,269,FALSE)</f>
        <v>545</v>
      </c>
      <c r="F53" s="322">
        <f>VLOOKUP($A53,[0]!Data,290,FALSE)</f>
        <v>99</v>
      </c>
      <c r="G53" s="322">
        <f>VLOOKUP($A53,[0]!Data,292,FALSE)</f>
        <v>190</v>
      </c>
      <c r="H53" s="322">
        <f>VLOOKUP($A53,[0]!Data,270,FALSE)</f>
        <v>1015</v>
      </c>
      <c r="I53" s="322">
        <f>VLOOKUP($A53,[0]!Data,279,FALSE)</f>
        <v>4559</v>
      </c>
      <c r="J53" s="322">
        <f>VLOOKUP($A53,[0]!Data,280,FALSE)</f>
        <v>948</v>
      </c>
      <c r="K53" s="322">
        <f>VLOOKUP($A53,[0]!Data,281,FALSE)</f>
        <v>10530</v>
      </c>
      <c r="L53" s="322">
        <f>VLOOKUP($A53,[0]!Data,291,FALSE)</f>
        <v>385</v>
      </c>
      <c r="M53" s="322">
        <f>VLOOKUP($A53,[0]!Data,293,FALSE)</f>
        <v>921</v>
      </c>
      <c r="N53" s="322">
        <f>VLOOKUP($A53,[0]!Data,282,FALSE)</f>
        <v>16037</v>
      </c>
      <c r="O53" s="452">
        <f>N53/'Table 1'!D53</f>
        <v>0.17452198800753066</v>
      </c>
      <c r="P53" s="322">
        <f>VLOOKUP($A53,[0]!Data,304,FALSE)</f>
        <v>1345</v>
      </c>
      <c r="Q53" s="324">
        <f>VLOOKUP($A53,[0]!Data,305,FALSE)</f>
        <v>11864</v>
      </c>
    </row>
    <row r="54" spans="1:17" x14ac:dyDescent="0.25">
      <c r="A54" s="36" t="s">
        <v>1265</v>
      </c>
      <c r="B54" s="36" t="s">
        <v>1549</v>
      </c>
      <c r="C54" s="322">
        <f>VLOOKUP($A54,[0]!Data,267,FALSE)</f>
        <v>205</v>
      </c>
      <c r="D54" s="322">
        <f>VLOOKUP($A54,[0]!Data,268,FALSE)</f>
        <v>90</v>
      </c>
      <c r="E54" s="322">
        <f>VLOOKUP($A54,[0]!Data,269,FALSE)</f>
        <v>1056</v>
      </c>
      <c r="F54" s="322">
        <f>VLOOKUP($A54,[0]!Data,290,FALSE)</f>
        <v>0</v>
      </c>
      <c r="G54" s="322">
        <f>VLOOKUP($A54,[0]!Data,292,FALSE)</f>
        <v>18</v>
      </c>
      <c r="H54" s="322">
        <f>VLOOKUP($A54,[0]!Data,270,FALSE)</f>
        <v>1351</v>
      </c>
      <c r="I54" s="322">
        <f>VLOOKUP($A54,[0]!Data,279,FALSE)</f>
        <v>4741</v>
      </c>
      <c r="J54" s="322">
        <f>VLOOKUP($A54,[0]!Data,280,FALSE)</f>
        <v>1324</v>
      </c>
      <c r="K54" s="322">
        <f>VLOOKUP($A54,[0]!Data,281,FALSE)</f>
        <v>33489</v>
      </c>
      <c r="L54" s="322">
        <f>VLOOKUP($A54,[0]!Data,291,FALSE)</f>
        <v>0</v>
      </c>
      <c r="M54" s="322">
        <f>VLOOKUP($A54,[0]!Data,293,FALSE)</f>
        <v>75</v>
      </c>
      <c r="N54" s="322">
        <f>VLOOKUP($A54,[0]!Data,282,FALSE)</f>
        <v>39554</v>
      </c>
      <c r="O54" s="452">
        <f>N54/'Table 1'!D54</f>
        <v>0.28058452152940344</v>
      </c>
      <c r="P54" s="322">
        <f>VLOOKUP($A54,[0]!Data,304,FALSE)</f>
        <v>746</v>
      </c>
      <c r="Q54" s="324">
        <f>VLOOKUP($A54,[0]!Data,305,FALSE)</f>
        <v>16108</v>
      </c>
    </row>
    <row r="55" spans="1:17" x14ac:dyDescent="0.25">
      <c r="A55" s="36" t="s">
        <v>1280</v>
      </c>
      <c r="B55" s="36" t="s">
        <v>1550</v>
      </c>
      <c r="C55" s="322">
        <f>VLOOKUP($A55,[0]!Data,267,FALSE)</f>
        <v>148</v>
      </c>
      <c r="D55" s="322">
        <f>VLOOKUP($A55,[0]!Data,268,FALSE)</f>
        <v>28</v>
      </c>
      <c r="E55" s="322">
        <f>VLOOKUP($A55,[0]!Data,269,FALSE)</f>
        <v>271</v>
      </c>
      <c r="F55" s="322">
        <f>VLOOKUP($A55,[0]!Data,290,FALSE)</f>
        <v>6</v>
      </c>
      <c r="G55" s="322">
        <f>VLOOKUP($A55,[0]!Data,292,FALSE)</f>
        <v>22</v>
      </c>
      <c r="H55" s="322">
        <f>VLOOKUP($A55,[0]!Data,270,FALSE)</f>
        <v>447</v>
      </c>
      <c r="I55" s="322">
        <f>VLOOKUP($A55,[0]!Data,279,FALSE)</f>
        <v>1687</v>
      </c>
      <c r="J55" s="322">
        <f>VLOOKUP($A55,[0]!Data,280,FALSE)</f>
        <v>568</v>
      </c>
      <c r="K55" s="322">
        <f>VLOOKUP($A55,[0]!Data,281,FALSE)</f>
        <v>3147</v>
      </c>
      <c r="L55" s="322">
        <f>VLOOKUP($A55,[0]!Data,291,FALSE)</f>
        <v>69</v>
      </c>
      <c r="M55" s="322">
        <f>VLOOKUP($A55,[0]!Data,293,FALSE)</f>
        <v>89</v>
      </c>
      <c r="N55" s="322">
        <f>VLOOKUP($A55,[0]!Data,282,FALSE)</f>
        <v>5402</v>
      </c>
      <c r="O55" s="452">
        <f>N55/'Table 1'!D55</f>
        <v>7.9789669586281253E-2</v>
      </c>
      <c r="P55" s="322">
        <f>VLOOKUP($A55,[0]!Data,304,FALSE)</f>
        <v>82</v>
      </c>
      <c r="Q55" s="324">
        <f>VLOOKUP($A55,[0]!Data,305,FALSE)</f>
        <v>2598</v>
      </c>
    </row>
    <row r="56" spans="1:17" x14ac:dyDescent="0.25">
      <c r="A56" s="36" t="s">
        <v>1292</v>
      </c>
      <c r="B56" s="36" t="s">
        <v>1551</v>
      </c>
      <c r="C56" s="322">
        <f>VLOOKUP($A56,[0]!Data,267,FALSE)</f>
        <v>4</v>
      </c>
      <c r="D56" s="322">
        <f>VLOOKUP($A56,[0]!Data,268,FALSE)</f>
        <v>0</v>
      </c>
      <c r="E56" s="322">
        <f>VLOOKUP($A56,[0]!Data,269,FALSE)</f>
        <v>119</v>
      </c>
      <c r="F56" s="322">
        <f>VLOOKUP($A56,[0]!Data,290,FALSE)</f>
        <v>0</v>
      </c>
      <c r="G56" s="322">
        <f>VLOOKUP($A56,[0]!Data,292,FALSE)</f>
        <v>0</v>
      </c>
      <c r="H56" s="322">
        <f>VLOOKUP($A56,[0]!Data,270,FALSE)</f>
        <v>123</v>
      </c>
      <c r="I56" s="322">
        <f>VLOOKUP($A56,[0]!Data,279,FALSE)</f>
        <v>40</v>
      </c>
      <c r="J56" s="322">
        <f>VLOOKUP($A56,[0]!Data,280,FALSE)</f>
        <v>0</v>
      </c>
      <c r="K56" s="322">
        <f>VLOOKUP($A56,[0]!Data,281,FALSE)</f>
        <v>3125</v>
      </c>
      <c r="L56" s="322">
        <f>VLOOKUP($A56,[0]!Data,291,FALSE)</f>
        <v>0</v>
      </c>
      <c r="M56" s="322">
        <f>VLOOKUP($A56,[0]!Data,293,FALSE)</f>
        <v>0</v>
      </c>
      <c r="N56" s="322">
        <f>VLOOKUP($A56,[0]!Data,282,FALSE)</f>
        <v>3165</v>
      </c>
      <c r="O56" s="452">
        <f>N56/'Table 1'!D56</f>
        <v>4.984330461897038E-2</v>
      </c>
      <c r="P56" s="322">
        <f>VLOOKUP($A56,[0]!Data,304,FALSE)</f>
        <v>0</v>
      </c>
      <c r="Q56" s="324">
        <f>VLOOKUP($A56,[0]!Data,305,FALSE)</f>
        <v>0</v>
      </c>
    </row>
    <row r="57" spans="1:17" x14ac:dyDescent="0.25">
      <c r="A57" s="36" t="s">
        <v>1323</v>
      </c>
      <c r="B57" s="36" t="s">
        <v>1552</v>
      </c>
      <c r="C57" s="322">
        <f>VLOOKUP($A57,[0]!Data,267,FALSE)</f>
        <v>44</v>
      </c>
      <c r="D57" s="322">
        <f>VLOOKUP($A57,[0]!Data,268,FALSE)</f>
        <v>14</v>
      </c>
      <c r="E57" s="322">
        <f>VLOOKUP($A57,[0]!Data,269,FALSE)</f>
        <v>128</v>
      </c>
      <c r="F57" s="322">
        <f>VLOOKUP($A57,[0]!Data,290,FALSE)</f>
        <v>0</v>
      </c>
      <c r="G57" s="322">
        <f>VLOOKUP($A57,[0]!Data,292,FALSE)</f>
        <v>0</v>
      </c>
      <c r="H57" s="322">
        <f>VLOOKUP($A57,[0]!Data,270,FALSE)</f>
        <v>186</v>
      </c>
      <c r="I57" s="322">
        <f>VLOOKUP($A57,[0]!Data,279,FALSE)</f>
        <v>1368</v>
      </c>
      <c r="J57" s="322">
        <f>VLOOKUP($A57,[0]!Data,280,FALSE)</f>
        <v>182</v>
      </c>
      <c r="K57" s="322">
        <f>VLOOKUP($A57,[0]!Data,281,FALSE)</f>
        <v>6196</v>
      </c>
      <c r="L57" s="322">
        <f>VLOOKUP($A57,[0]!Data,291,FALSE)</f>
        <v>0</v>
      </c>
      <c r="M57" s="322">
        <f>VLOOKUP($A57,[0]!Data,293,FALSE)</f>
        <v>0</v>
      </c>
      <c r="N57" s="322">
        <f>VLOOKUP($A57,[0]!Data,282,FALSE)</f>
        <v>7746</v>
      </c>
      <c r="O57" s="452">
        <f>N57/'Table 1'!D57</f>
        <v>0.21643521752493783</v>
      </c>
      <c r="P57" s="322">
        <f>VLOOKUP($A57,[0]!Data,304,FALSE)</f>
        <v>229</v>
      </c>
      <c r="Q57" s="324">
        <f>VLOOKUP($A57,[0]!Data,305,FALSE)</f>
        <v>2708</v>
      </c>
    </row>
    <row r="58" spans="1:17" x14ac:dyDescent="0.25">
      <c r="A58" s="36" t="s">
        <v>1360</v>
      </c>
      <c r="B58" s="36" t="s">
        <v>1553</v>
      </c>
      <c r="C58" s="322">
        <f>VLOOKUP($A58,[0]!Data,267,FALSE)</f>
        <v>60</v>
      </c>
      <c r="D58" s="322">
        <f>VLOOKUP($A58,[0]!Data,268,FALSE)</f>
        <v>0</v>
      </c>
      <c r="E58" s="322">
        <f>VLOOKUP($A58,[0]!Data,269,FALSE)</f>
        <v>154</v>
      </c>
      <c r="F58" s="322">
        <f>VLOOKUP($A58,[0]!Data,290,FALSE)</f>
        <v>0</v>
      </c>
      <c r="G58" s="322">
        <f>VLOOKUP($A58,[0]!Data,292,FALSE)</f>
        <v>34</v>
      </c>
      <c r="H58" s="322">
        <f>VLOOKUP($A58,[0]!Data,270,FALSE)</f>
        <v>214</v>
      </c>
      <c r="I58" s="322">
        <f>VLOOKUP($A58,[0]!Data,279,FALSE)</f>
        <v>781</v>
      </c>
      <c r="J58" s="322">
        <f>VLOOKUP($A58,[0]!Data,280,FALSE)</f>
        <v>0</v>
      </c>
      <c r="K58" s="322">
        <f>VLOOKUP($A58,[0]!Data,281,FALSE)</f>
        <v>7593</v>
      </c>
      <c r="L58" s="322">
        <f>VLOOKUP($A58,[0]!Data,291,FALSE)</f>
        <v>0</v>
      </c>
      <c r="M58" s="322">
        <f>VLOOKUP($A58,[0]!Data,293,FALSE)</f>
        <v>47</v>
      </c>
      <c r="N58" s="322">
        <f>VLOOKUP($A58,[0]!Data,282,FALSE)</f>
        <v>8374</v>
      </c>
      <c r="O58" s="452">
        <f>N58/'Table 1'!D58</f>
        <v>0.13560913993295656</v>
      </c>
      <c r="P58" s="322">
        <f>VLOOKUP($A58,[0]!Data,304,FALSE)</f>
        <v>66</v>
      </c>
      <c r="Q58" s="324">
        <f>VLOOKUP($A58,[0]!Data,305,FALSE)</f>
        <v>977</v>
      </c>
    </row>
    <row r="59" spans="1:17" x14ac:dyDescent="0.25">
      <c r="A59" s="36" t="s">
        <v>1371</v>
      </c>
      <c r="B59" s="36" t="s">
        <v>1554</v>
      </c>
      <c r="C59" s="322">
        <f>VLOOKUP($A59,[0]!Data,267,FALSE)</f>
        <v>105</v>
      </c>
      <c r="D59" s="322">
        <f>VLOOKUP($A59,[0]!Data,268,FALSE)</f>
        <v>58</v>
      </c>
      <c r="E59" s="322">
        <f>VLOOKUP($A59,[0]!Data,269,FALSE)</f>
        <v>277</v>
      </c>
      <c r="F59" s="322">
        <f>VLOOKUP($A59,[0]!Data,290,FALSE)</f>
        <v>0</v>
      </c>
      <c r="G59" s="322">
        <f>VLOOKUP($A59,[0]!Data,292,FALSE)</f>
        <v>0</v>
      </c>
      <c r="H59" s="322">
        <f>VLOOKUP($A59,[0]!Data,270,FALSE)</f>
        <v>440</v>
      </c>
      <c r="I59" s="322">
        <f>VLOOKUP($A59,[0]!Data,279,FALSE)</f>
        <v>6859</v>
      </c>
      <c r="J59" s="322">
        <f>VLOOKUP($A59,[0]!Data,280,FALSE)</f>
        <v>789</v>
      </c>
      <c r="K59" s="322">
        <f>VLOOKUP($A59,[0]!Data,281,FALSE)</f>
        <v>8726</v>
      </c>
      <c r="L59" s="322">
        <f>VLOOKUP($A59,[0]!Data,291,FALSE)</f>
        <v>0</v>
      </c>
      <c r="M59" s="322">
        <f>VLOOKUP($A59,[0]!Data,293,FALSE)</f>
        <v>0</v>
      </c>
      <c r="N59" s="322">
        <f>VLOOKUP($A59,[0]!Data,282,FALSE)</f>
        <v>16374</v>
      </c>
      <c r="O59" s="452">
        <f>N59/'Table 1'!D59</f>
        <v>0.47962740560649109</v>
      </c>
      <c r="P59" s="322">
        <f>VLOOKUP($A59,[0]!Data,304,FALSE)</f>
        <v>859</v>
      </c>
      <c r="Q59" s="324">
        <f>VLOOKUP($A59,[0]!Data,305,FALSE)</f>
        <v>6733</v>
      </c>
    </row>
    <row r="60" spans="1:17" x14ac:dyDescent="0.25">
      <c r="A60" s="36" t="s">
        <v>1383</v>
      </c>
      <c r="B60" s="36" t="s">
        <v>1555</v>
      </c>
      <c r="C60" s="322">
        <f>VLOOKUP($A60,[0]!Data,267,FALSE)</f>
        <v>403</v>
      </c>
      <c r="D60" s="322">
        <f>VLOOKUP($A60,[0]!Data,268,FALSE)</f>
        <v>85</v>
      </c>
      <c r="E60" s="322">
        <f>VLOOKUP($A60,[0]!Data,269,FALSE)</f>
        <v>1116</v>
      </c>
      <c r="F60" s="322">
        <f>VLOOKUP($A60,[0]!Data,290,FALSE)</f>
        <v>52</v>
      </c>
      <c r="G60" s="322">
        <f>VLOOKUP($A60,[0]!Data,292,FALSE)</f>
        <v>158</v>
      </c>
      <c r="H60" s="322">
        <f>VLOOKUP($A60,[0]!Data,270,FALSE)</f>
        <v>1604</v>
      </c>
      <c r="I60" s="322">
        <f>VLOOKUP($A60,[0]!Data,279,FALSE)</f>
        <v>4707</v>
      </c>
      <c r="J60" s="322">
        <f>VLOOKUP($A60,[0]!Data,280,FALSE)</f>
        <v>2668</v>
      </c>
      <c r="K60" s="322">
        <f>VLOOKUP($A60,[0]!Data,281,FALSE)</f>
        <v>32539</v>
      </c>
      <c r="L60" s="322">
        <f>VLOOKUP($A60,[0]!Data,291,FALSE)</f>
        <v>52</v>
      </c>
      <c r="M60" s="322">
        <f>VLOOKUP($A60,[0]!Data,293,FALSE)</f>
        <v>434</v>
      </c>
      <c r="N60" s="322">
        <f>VLOOKUP($A60,[0]!Data,282,FALSE)</f>
        <v>39914</v>
      </c>
      <c r="O60" s="452">
        <f>N60/'Table 1'!D60</f>
        <v>0.17825514145992899</v>
      </c>
      <c r="P60" s="322">
        <f>VLOOKUP($A60,[0]!Data,304,FALSE)</f>
        <v>518</v>
      </c>
      <c r="Q60" s="324">
        <f>VLOOKUP($A60,[0]!Data,305,FALSE)</f>
        <v>13188</v>
      </c>
    </row>
    <row r="61" spans="1:17" x14ac:dyDescent="0.25">
      <c r="A61" s="36" t="s">
        <v>1146</v>
      </c>
      <c r="B61" s="36" t="s">
        <v>1556</v>
      </c>
      <c r="C61" s="322">
        <f>VLOOKUP($A61,[0]!Data,267,FALSE)</f>
        <v>50</v>
      </c>
      <c r="D61" s="322">
        <f>VLOOKUP($A61,[0]!Data,268,FALSE)</f>
        <v>84</v>
      </c>
      <c r="E61" s="322">
        <f>VLOOKUP($A61,[0]!Data,269,FALSE)</f>
        <v>209</v>
      </c>
      <c r="F61" s="322">
        <f>VLOOKUP($A61,[0]!Data,290,FALSE)</f>
        <v>0</v>
      </c>
      <c r="G61" s="322">
        <f>VLOOKUP($A61,[0]!Data,292,FALSE)</f>
        <v>0</v>
      </c>
      <c r="H61" s="322">
        <f>VLOOKUP($A61,[0]!Data,270,FALSE)</f>
        <v>343</v>
      </c>
      <c r="I61" s="322">
        <f>VLOOKUP($A61,[0]!Data,279,FALSE)</f>
        <v>1538</v>
      </c>
      <c r="J61" s="322">
        <f>VLOOKUP($A61,[0]!Data,280,FALSE)</f>
        <v>354</v>
      </c>
      <c r="K61" s="322">
        <f>VLOOKUP($A61,[0]!Data,281,FALSE)</f>
        <v>4165</v>
      </c>
      <c r="L61" s="322">
        <f>VLOOKUP($A61,[0]!Data,291,FALSE)</f>
        <v>0</v>
      </c>
      <c r="M61" s="322">
        <f>VLOOKUP($A61,[0]!Data,293,FALSE)</f>
        <v>0</v>
      </c>
      <c r="N61" s="322">
        <f>VLOOKUP($A61,[0]!Data,282,FALSE)</f>
        <v>6057</v>
      </c>
      <c r="O61" s="452">
        <f>N61/'Table 1'!D61</f>
        <v>0.13476471242629881</v>
      </c>
      <c r="P61" s="322">
        <f>VLOOKUP($A61,[0]!Data,304,FALSE)</f>
        <v>203</v>
      </c>
      <c r="Q61" s="324">
        <f>VLOOKUP($A61,[0]!Data,305,FALSE)</f>
        <v>7200</v>
      </c>
    </row>
    <row r="62" spans="1:17" x14ac:dyDescent="0.25">
      <c r="A62" s="36" t="s">
        <v>1394</v>
      </c>
      <c r="B62" s="36" t="s">
        <v>1557</v>
      </c>
      <c r="C62" s="322">
        <f>VLOOKUP($A62,All!A$3:RC$87,267,FALSE)</f>
        <v>928</v>
      </c>
      <c r="D62" s="322">
        <f>VLOOKUP($A62,All!A$3:RC$87,268,FALSE)</f>
        <v>533</v>
      </c>
      <c r="E62" s="322">
        <f>VLOOKUP($A62,All!A$3:RC$87,269,FALSE)</f>
        <v>7775</v>
      </c>
      <c r="F62" s="322">
        <f>VLOOKUP($A62,All!A$3:RC$87,290,FALSE)</f>
        <v>80</v>
      </c>
      <c r="G62" s="322">
        <f>VLOOKUP($A62,All!A$3:RC$87,292,FALSE)</f>
        <v>17</v>
      </c>
      <c r="H62" s="322">
        <f>VLOOKUP($A62,All!A$3:RC$87,270,FALSE)</f>
        <v>9236</v>
      </c>
      <c r="I62" s="322">
        <f>VLOOKUP($A62,All!A$3:RC$87,279,FALSE)</f>
        <v>18629</v>
      </c>
      <c r="J62" s="322">
        <f>VLOOKUP($A62,All!A$3:RC$87,280,FALSE)</f>
        <v>14478</v>
      </c>
      <c r="K62" s="322">
        <f>VLOOKUP($A62,All!A$3:RC$87,281,FALSE)</f>
        <v>303976</v>
      </c>
      <c r="L62" s="322">
        <f>VLOOKUP($A62,All!A$3:RC$87,291,FALSE)</f>
        <v>1074</v>
      </c>
      <c r="M62" s="322">
        <f>VLOOKUP($A62,All!A$3:RC$87,293,FALSE)</f>
        <v>311</v>
      </c>
      <c r="N62" s="322">
        <f>VLOOKUP($A62,All!A$3:RC$87,282,FALSE)</f>
        <v>337083</v>
      </c>
      <c r="O62" s="452">
        <f>N62/'Table 1'!D62</f>
        <v>0.32830158909488988</v>
      </c>
      <c r="P62" s="322">
        <f>VLOOKUP($A62,All!A$3:RC$87,304,FALSE)</f>
        <v>16682</v>
      </c>
      <c r="Q62" s="324">
        <f>VLOOKUP($A62,All!A$3:RC$87,305,FALSE)</f>
        <v>69056</v>
      </c>
    </row>
    <row r="63" spans="1:17" x14ac:dyDescent="0.25">
      <c r="A63" s="36" t="s">
        <v>1408</v>
      </c>
      <c r="B63" s="36" t="s">
        <v>1558</v>
      </c>
      <c r="C63" s="322">
        <f>VLOOKUP($A63,All!A$3:RC$87,267,FALSE)</f>
        <v>105</v>
      </c>
      <c r="D63" s="322">
        <f>VLOOKUP($A63,All!A$3:RC$87,268,FALSE)</f>
        <v>19</v>
      </c>
      <c r="E63" s="322">
        <f>VLOOKUP($A63,All!A$3:RC$87,269,FALSE)</f>
        <v>101</v>
      </c>
      <c r="F63" s="322">
        <f>VLOOKUP($A63,All!A$3:RC$87,290,FALSE)</f>
        <v>20</v>
      </c>
      <c r="G63" s="322">
        <f>VLOOKUP($A63,All!A$3:RC$87,292,FALSE)</f>
        <v>24</v>
      </c>
      <c r="H63" s="322">
        <f>VLOOKUP($A63,All!A$3:RC$87,270,FALSE)</f>
        <v>225</v>
      </c>
      <c r="I63" s="322">
        <f>VLOOKUP($A63,All!A$3:RC$87,279,FALSE)</f>
        <v>1292</v>
      </c>
      <c r="J63" s="322">
        <f>VLOOKUP($A63,All!A$3:RC$87,280,FALSE)</f>
        <v>367</v>
      </c>
      <c r="K63" s="322">
        <f>VLOOKUP($A63,All!A$3:RC$87,281,FALSE)</f>
        <v>2149</v>
      </c>
      <c r="L63" s="322">
        <f>VLOOKUP($A63,All!A$3:RC$87,291,FALSE)</f>
        <v>110</v>
      </c>
      <c r="M63" s="322">
        <f>VLOOKUP($A63,All!A$3:RC$87,293,FALSE)</f>
        <v>135</v>
      </c>
      <c r="N63" s="322">
        <f>VLOOKUP($A63,All!A$3:RC$87,282,FALSE)</f>
        <v>3808</v>
      </c>
      <c r="O63" s="452">
        <f>N63/'Table 1'!D63</f>
        <v>0.18925500720640126</v>
      </c>
      <c r="P63" s="322">
        <f>VLOOKUP($A63,All!A$3:RC$87,304,FALSE)</f>
        <v>261</v>
      </c>
      <c r="Q63" s="324">
        <f>VLOOKUP($A63,All!A$3:RC$87,305,FALSE)</f>
        <v>2475</v>
      </c>
    </row>
    <row r="64" spans="1:17" x14ac:dyDescent="0.25">
      <c r="A64" s="36" t="s">
        <v>1420</v>
      </c>
      <c r="B64" s="36" t="s">
        <v>1559</v>
      </c>
      <c r="C64" s="322">
        <f>VLOOKUP($A64,All!A$3:RC$87,267,FALSE)</f>
        <v>271</v>
      </c>
      <c r="D64" s="322">
        <f>VLOOKUP($A64,All!A$3:RC$87,268,FALSE)</f>
        <v>115</v>
      </c>
      <c r="E64" s="322">
        <f>VLOOKUP($A64,All!A$3:RC$87,269,FALSE)</f>
        <v>588</v>
      </c>
      <c r="F64" s="322">
        <f>VLOOKUP($A64,All!A$3:RC$87,290,FALSE)</f>
        <v>14</v>
      </c>
      <c r="G64" s="322">
        <f>VLOOKUP($A64,All!A$3:RC$87,292,FALSE)</f>
        <v>124</v>
      </c>
      <c r="H64" s="322">
        <f>VLOOKUP($A64,All!A$3:RC$87,270,FALSE)</f>
        <v>974</v>
      </c>
      <c r="I64" s="322">
        <f>VLOOKUP($A64,All!A$3:RC$87,279,FALSE)</f>
        <v>3827</v>
      </c>
      <c r="J64" s="322">
        <f>VLOOKUP($A64,All!A$3:RC$87,280,FALSE)</f>
        <v>1868</v>
      </c>
      <c r="K64" s="322">
        <f>VLOOKUP($A64,All!A$3:RC$87,281,FALSE)</f>
        <v>14836</v>
      </c>
      <c r="L64" s="322">
        <f>VLOOKUP($A64,All!A$3:RC$87,291,FALSE)</f>
        <v>741</v>
      </c>
      <c r="M64" s="322">
        <f>VLOOKUP($A64,All!A$3:RC$87,293,FALSE)</f>
        <v>851</v>
      </c>
      <c r="N64" s="322">
        <f>VLOOKUP($A64,All!A$3:RC$87,282,FALSE)</f>
        <v>20531</v>
      </c>
      <c r="O64" s="452">
        <f>N64/'Table 1'!D64</f>
        <v>0.16450067303377988</v>
      </c>
      <c r="P64" s="322">
        <f>VLOOKUP($A64,All!A$3:RC$87,304,FALSE)</f>
        <v>909</v>
      </c>
      <c r="Q64" s="324">
        <f>VLOOKUP($A64,All!A$3:RC$87,305,FALSE)</f>
        <v>3608</v>
      </c>
    </row>
    <row r="65" spans="1:17" x14ac:dyDescent="0.25">
      <c r="A65" s="36" t="s">
        <v>1432</v>
      </c>
      <c r="B65" s="36" t="s">
        <v>1560</v>
      </c>
      <c r="C65" s="322">
        <f>VLOOKUP($A65,All!A$3:RC$87,267,FALSE)</f>
        <v>42</v>
      </c>
      <c r="D65" s="322">
        <f>VLOOKUP($A65,All!A$3:RC$87,268,FALSE)</f>
        <v>79</v>
      </c>
      <c r="E65" s="322">
        <f>VLOOKUP($A65,All!A$3:RC$87,269,FALSE)</f>
        <v>392</v>
      </c>
      <c r="F65" s="322">
        <f>VLOOKUP($A65,All!A$3:RC$87,290,FALSE)</f>
        <v>2</v>
      </c>
      <c r="G65" s="322">
        <f>VLOOKUP($A65,All!A$3:RC$87,292,FALSE)</f>
        <v>125</v>
      </c>
      <c r="H65" s="322">
        <f>VLOOKUP($A65,All!A$3:RC$87,270,FALSE)</f>
        <v>513</v>
      </c>
      <c r="I65" s="322">
        <f>VLOOKUP($A65,All!A$3:RC$87,279,FALSE)</f>
        <v>503</v>
      </c>
      <c r="J65" s="322">
        <f>VLOOKUP($A65,All!A$3:RC$87,280,FALSE)</f>
        <v>578</v>
      </c>
      <c r="K65" s="322">
        <f>VLOOKUP($A65,All!A$3:RC$87,281,FALSE)</f>
        <v>9990</v>
      </c>
      <c r="L65" s="322">
        <f>VLOOKUP($A65,All!A$3:RC$87,291,FALSE)</f>
        <v>8</v>
      </c>
      <c r="M65" s="322">
        <f>VLOOKUP($A65,All!A$3:RC$87,293,FALSE)</f>
        <v>332</v>
      </c>
      <c r="N65" s="322">
        <f>VLOOKUP($A65,All!A$3:RC$87,282,FALSE)</f>
        <v>11071</v>
      </c>
      <c r="O65" s="452">
        <f>N65/'Table 1'!D65</f>
        <v>0.1354118251424937</v>
      </c>
      <c r="P65" s="322">
        <f>VLOOKUP($A65,All!A$3:RC$87,304,FALSE)</f>
        <v>714</v>
      </c>
      <c r="Q65" s="324">
        <f>VLOOKUP($A65,All!A$3:RC$87,305,FALSE)</f>
        <v>7244</v>
      </c>
    </row>
    <row r="66" spans="1:17" ht="15.75" thickBot="1" x14ac:dyDescent="0.3">
      <c r="A66" s="599" t="s">
        <v>1647</v>
      </c>
      <c r="B66" s="600"/>
      <c r="C66" s="325">
        <f t="shared" ref="C66:N66" si="0">SUM(C8:C65)</f>
        <v>27145</v>
      </c>
      <c r="D66" s="325">
        <f t="shared" si="0"/>
        <v>11445</v>
      </c>
      <c r="E66" s="325">
        <f t="shared" si="0"/>
        <v>73470</v>
      </c>
      <c r="F66" s="325">
        <f t="shared" si="0"/>
        <v>3177</v>
      </c>
      <c r="G66" s="325">
        <f t="shared" si="0"/>
        <v>9903</v>
      </c>
      <c r="H66" s="325">
        <f t="shared" si="0"/>
        <v>112060</v>
      </c>
      <c r="I66" s="325">
        <f t="shared" si="0"/>
        <v>312820</v>
      </c>
      <c r="J66" s="325">
        <f t="shared" si="0"/>
        <v>160278</v>
      </c>
      <c r="K66" s="325">
        <f t="shared" si="0"/>
        <v>1898461</v>
      </c>
      <c r="L66" s="325">
        <f t="shared" si="0"/>
        <v>27434</v>
      </c>
      <c r="M66" s="325">
        <f t="shared" si="0"/>
        <v>36242</v>
      </c>
      <c r="N66" s="325">
        <f t="shared" si="0"/>
        <v>2371559</v>
      </c>
      <c r="O66" s="465">
        <f>AVERAGE(O8:O65)</f>
        <v>0.24022485296075585</v>
      </c>
      <c r="P66" s="325">
        <f>SUM(P8:P65)</f>
        <v>84052</v>
      </c>
      <c r="Q66" s="325">
        <f>SUM(Q8:Q65)</f>
        <v>607033</v>
      </c>
    </row>
    <row r="67" spans="1:17" ht="16.5" thickTop="1" thickBot="1" x14ac:dyDescent="0.3">
      <c r="A67" s="602" t="s">
        <v>1455</v>
      </c>
      <c r="B67" s="602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50"/>
    </row>
    <row r="68" spans="1:17" ht="15.75" thickTop="1" x14ac:dyDescent="0.25">
      <c r="A68" s="36" t="s">
        <v>364</v>
      </c>
      <c r="B68" s="36" t="s">
        <v>1561</v>
      </c>
      <c r="C68" s="322">
        <f>VLOOKUP($A68,[0]!Data,267,FALSE)</f>
        <v>88</v>
      </c>
      <c r="D68" s="322">
        <f>VLOOKUP($A68,[0]!Data,268,FALSE)</f>
        <v>24</v>
      </c>
      <c r="E68" s="322">
        <f>VLOOKUP($A68,[0]!Data,269,FALSE)</f>
        <v>287</v>
      </c>
      <c r="F68" s="322">
        <f>VLOOKUP($A68,[0]!Data,290,FALSE)</f>
        <v>0</v>
      </c>
      <c r="G68" s="322">
        <f>VLOOKUP($A68,[0]!Data,292,FALSE)</f>
        <v>0</v>
      </c>
      <c r="H68" s="322">
        <f>VLOOKUP($A68,[0]!Data,270,FALSE)</f>
        <v>399</v>
      </c>
      <c r="I68" s="322">
        <f>VLOOKUP($A68,[0]!Data,279,FALSE)</f>
        <v>1393</v>
      </c>
      <c r="J68" s="322">
        <f>VLOOKUP($A68,[0]!Data,280,FALSE)</f>
        <v>262</v>
      </c>
      <c r="K68" s="322">
        <f>VLOOKUP($A68,[0]!Data,281,FALSE)</f>
        <v>9590</v>
      </c>
      <c r="L68" s="322">
        <f>VLOOKUP($A68,[0]!Data,291,FALSE)</f>
        <v>0</v>
      </c>
      <c r="M68" s="322">
        <f>VLOOKUP($A68,[0]!Data,293,FALSE)</f>
        <v>0</v>
      </c>
      <c r="N68" s="322">
        <f>VLOOKUP($A68,[0]!Data,282,FALSE)</f>
        <v>11245</v>
      </c>
      <c r="O68" s="452">
        <f>N68/'Table 1'!D68</f>
        <v>0.14687059192309701</v>
      </c>
      <c r="P68" s="322">
        <f>VLOOKUP($A68,[0]!Data,304,FALSE)</f>
        <v>121</v>
      </c>
      <c r="Q68" s="324">
        <f>VLOOKUP($A68,[0]!Data,305,FALSE)</f>
        <v>695</v>
      </c>
    </row>
    <row r="69" spans="1:17" x14ac:dyDescent="0.25">
      <c r="A69" s="36" t="s">
        <v>409</v>
      </c>
      <c r="B69" s="36" t="s">
        <v>1562</v>
      </c>
      <c r="C69" s="322">
        <f>VLOOKUP($A69,[0]!Data,267,FALSE)</f>
        <v>1335</v>
      </c>
      <c r="D69" s="322">
        <f>VLOOKUP($A69,[0]!Data,268,FALSE)</f>
        <v>2</v>
      </c>
      <c r="E69" s="322">
        <f>VLOOKUP($A69,[0]!Data,269,FALSE)</f>
        <v>250</v>
      </c>
      <c r="F69" s="322">
        <f>VLOOKUP($A69,[0]!Data,290,FALSE)</f>
        <v>2</v>
      </c>
      <c r="G69" s="322">
        <f>VLOOKUP($A69,[0]!Data,292,FALSE)</f>
        <v>2</v>
      </c>
      <c r="H69" s="322">
        <f>VLOOKUP($A69,[0]!Data,270,FALSE)</f>
        <v>1587</v>
      </c>
      <c r="I69" s="322">
        <f>VLOOKUP($A69,[0]!Data,279,FALSE)</f>
        <v>13367</v>
      </c>
      <c r="J69" s="322">
        <f>VLOOKUP($A69,[0]!Data,280,FALSE)</f>
        <v>85</v>
      </c>
      <c r="K69" s="322">
        <f>VLOOKUP($A69,[0]!Data,281,FALSE)</f>
        <v>4111</v>
      </c>
      <c r="L69" s="322">
        <f>VLOOKUP($A69,[0]!Data,291,FALSE)</f>
        <v>11</v>
      </c>
      <c r="M69" s="322">
        <f>VLOOKUP($A69,[0]!Data,293,FALSE)</f>
        <v>16</v>
      </c>
      <c r="N69" s="322">
        <f>VLOOKUP($A69,[0]!Data,282,FALSE)</f>
        <v>17563</v>
      </c>
      <c r="O69" s="452">
        <f>N69/'Table 1'!D69</f>
        <v>0.3409893992932862</v>
      </c>
      <c r="P69" s="322">
        <f>VLOOKUP($A69,[0]!Data,304,FALSE)</f>
        <v>1568</v>
      </c>
      <c r="Q69" s="324">
        <f>VLOOKUP($A69,[0]!Data,305,FALSE)</f>
        <v>17133</v>
      </c>
    </row>
    <row r="70" spans="1:17" x14ac:dyDescent="0.25">
      <c r="A70" s="36" t="s">
        <v>393</v>
      </c>
      <c r="B70" s="36" t="s">
        <v>1563</v>
      </c>
      <c r="C70" s="322">
        <f>VLOOKUP($A70,[0]!Data,267,FALSE)</f>
        <v>497</v>
      </c>
      <c r="D70" s="322">
        <f>VLOOKUP($A70,[0]!Data,268,FALSE)</f>
        <v>151</v>
      </c>
      <c r="E70" s="322">
        <f>VLOOKUP($A70,[0]!Data,269,FALSE)</f>
        <v>1098</v>
      </c>
      <c r="F70" s="322">
        <f>VLOOKUP($A70,[0]!Data,290,FALSE)</f>
        <v>0</v>
      </c>
      <c r="G70" s="322">
        <f>VLOOKUP($A70,[0]!Data,292,FALSE)</f>
        <v>44</v>
      </c>
      <c r="H70" s="322">
        <f>VLOOKUP($A70,[0]!Data,270,FALSE)</f>
        <v>1746</v>
      </c>
      <c r="I70" s="322">
        <f>VLOOKUP($A70,[0]!Data,279,FALSE)</f>
        <v>5392</v>
      </c>
      <c r="J70" s="322">
        <f>VLOOKUP($A70,[0]!Data,280,FALSE)</f>
        <v>1779</v>
      </c>
      <c r="K70" s="322">
        <f>VLOOKUP($A70,[0]!Data,281,FALSE)</f>
        <v>27577</v>
      </c>
      <c r="L70" s="322">
        <f>VLOOKUP($A70,[0]!Data,291,FALSE)</f>
        <v>0</v>
      </c>
      <c r="M70" s="322">
        <f>VLOOKUP($A70,[0]!Data,293,FALSE)</f>
        <v>258</v>
      </c>
      <c r="N70" s="322">
        <f>VLOOKUP($A70,[0]!Data,282,FALSE)</f>
        <v>34748</v>
      </c>
      <c r="O70" s="452">
        <f>N70/'Table 1'!D70</f>
        <v>0.22806061839160427</v>
      </c>
      <c r="P70" s="322">
        <f>VLOOKUP($A70,[0]!Data,304,FALSE)</f>
        <v>1537</v>
      </c>
      <c r="Q70" s="324">
        <f>VLOOKUP($A70,[0]!Data,305,FALSE)</f>
        <v>10968</v>
      </c>
    </row>
    <row r="71" spans="1:17" x14ac:dyDescent="0.25">
      <c r="A71" s="36" t="s">
        <v>428</v>
      </c>
      <c r="B71" s="36" t="s">
        <v>1564</v>
      </c>
      <c r="C71" s="322">
        <f>VLOOKUP($A71,[0]!Data,267,FALSE)</f>
        <v>188</v>
      </c>
      <c r="D71" s="322">
        <f>VLOOKUP($A71,[0]!Data,268,FALSE)</f>
        <v>28</v>
      </c>
      <c r="E71" s="322">
        <f>VLOOKUP($A71,[0]!Data,269,FALSE)</f>
        <v>399</v>
      </c>
      <c r="F71" s="322">
        <f>VLOOKUP($A71,[0]!Data,290,FALSE)</f>
        <v>8</v>
      </c>
      <c r="G71" s="322">
        <f>VLOOKUP($A71,[0]!Data,292,FALSE)</f>
        <v>80</v>
      </c>
      <c r="H71" s="322">
        <f>VLOOKUP($A71,[0]!Data,270,FALSE)</f>
        <v>615</v>
      </c>
      <c r="I71" s="322">
        <f>VLOOKUP($A71,[0]!Data,279,FALSE)</f>
        <v>1377</v>
      </c>
      <c r="J71" s="322">
        <f>VLOOKUP($A71,[0]!Data,280,FALSE)</f>
        <v>380</v>
      </c>
      <c r="K71" s="322">
        <f>VLOOKUP($A71,[0]!Data,281,FALSE)</f>
        <v>9171</v>
      </c>
      <c r="L71" s="322">
        <f>VLOOKUP($A71,[0]!Data,291,FALSE)</f>
        <v>105</v>
      </c>
      <c r="M71" s="322">
        <f>VLOOKUP($A71,[0]!Data,293,FALSE)</f>
        <v>294</v>
      </c>
      <c r="N71" s="322">
        <f>VLOOKUP($A71,[0]!Data,282,FALSE)</f>
        <v>10928</v>
      </c>
      <c r="O71" s="452">
        <f>N71/'Table 1'!D71</f>
        <v>0.16243534098341161</v>
      </c>
      <c r="P71" s="322">
        <f>VLOOKUP($A71,[0]!Data,304,FALSE)</f>
        <v>105</v>
      </c>
      <c r="Q71" s="324">
        <f>VLOOKUP($A71,[0]!Data,305,FALSE)</f>
        <v>820</v>
      </c>
    </row>
    <row r="72" spans="1:17" x14ac:dyDescent="0.25">
      <c r="A72" s="36" t="s">
        <v>629</v>
      </c>
      <c r="B72" s="36" t="s">
        <v>1565</v>
      </c>
      <c r="C72" s="322">
        <f>VLOOKUP($A72,[0]!Data,267,FALSE)</f>
        <v>569</v>
      </c>
      <c r="D72" s="322">
        <f>VLOOKUP($A72,[0]!Data,268,FALSE)</f>
        <v>293</v>
      </c>
      <c r="E72" s="322">
        <f>VLOOKUP($A72,[0]!Data,269,FALSE)</f>
        <v>1429</v>
      </c>
      <c r="F72" s="322">
        <f>VLOOKUP($A72,[0]!Data,290,FALSE)</f>
        <v>2</v>
      </c>
      <c r="G72" s="322">
        <f>VLOOKUP($A72,[0]!Data,292,FALSE)</f>
        <v>85</v>
      </c>
      <c r="H72" s="322">
        <f>VLOOKUP($A72,[0]!Data,270,FALSE)</f>
        <v>2291</v>
      </c>
      <c r="I72" s="322">
        <f>VLOOKUP($A72,[0]!Data,279,FALSE)</f>
        <v>9511</v>
      </c>
      <c r="J72" s="322">
        <f>VLOOKUP($A72,[0]!Data,280,FALSE)</f>
        <v>3193</v>
      </c>
      <c r="K72" s="322">
        <f>VLOOKUP($A72,[0]!Data,281,FALSE)</f>
        <v>38948</v>
      </c>
      <c r="L72" s="322">
        <f>VLOOKUP($A72,[0]!Data,291,FALSE)</f>
        <v>12</v>
      </c>
      <c r="M72" s="322">
        <f>VLOOKUP($A72,[0]!Data,293,FALSE)</f>
        <v>329</v>
      </c>
      <c r="N72" s="322">
        <f>VLOOKUP($A72,[0]!Data,282,FALSE)</f>
        <v>51652</v>
      </c>
      <c r="O72" s="452">
        <f>N72/'Table 1'!D72</f>
        <v>0.27628186612749661</v>
      </c>
      <c r="P72" s="322">
        <f>VLOOKUP($A72,[0]!Data,304,FALSE)</f>
        <v>821</v>
      </c>
      <c r="Q72" s="324">
        <f>VLOOKUP($A72,[0]!Data,305,FALSE)</f>
        <v>5516</v>
      </c>
    </row>
    <row r="73" spans="1:17" x14ac:dyDescent="0.25">
      <c r="A73" s="36" t="s">
        <v>715</v>
      </c>
      <c r="B73" s="36" t="s">
        <v>1566</v>
      </c>
      <c r="C73" s="322">
        <f>VLOOKUP($A73,[0]!Data,267,FALSE)</f>
        <v>352</v>
      </c>
      <c r="D73" s="322">
        <f>VLOOKUP($A73,[0]!Data,268,FALSE)</f>
        <v>19</v>
      </c>
      <c r="E73" s="322">
        <f>VLOOKUP($A73,[0]!Data,269,FALSE)</f>
        <v>1185</v>
      </c>
      <c r="F73" s="322">
        <f>VLOOKUP($A73,[0]!Data,290,FALSE)</f>
        <v>3</v>
      </c>
      <c r="G73" s="322">
        <f>VLOOKUP($A73,[0]!Data,292,FALSE)</f>
        <v>189</v>
      </c>
      <c r="H73" s="322">
        <f>VLOOKUP($A73,[0]!Data,270,FALSE)</f>
        <v>1556</v>
      </c>
      <c r="I73" s="322">
        <f>VLOOKUP($A73,[0]!Data,279,FALSE)</f>
        <v>4567</v>
      </c>
      <c r="J73" s="322">
        <f>VLOOKUP($A73,[0]!Data,280,FALSE)</f>
        <v>141</v>
      </c>
      <c r="K73" s="322">
        <f>VLOOKUP($A73,[0]!Data,281,FALSE)</f>
        <v>21613</v>
      </c>
      <c r="L73" s="322">
        <f>VLOOKUP($A73,[0]!Data,291,FALSE)</f>
        <v>35</v>
      </c>
      <c r="M73" s="322">
        <f>VLOOKUP($A73,[0]!Data,293,FALSE)</f>
        <v>521</v>
      </c>
      <c r="N73" s="322">
        <f>VLOOKUP($A73,[0]!Data,282,FALSE)</f>
        <v>26321</v>
      </c>
      <c r="O73" s="452">
        <f>N73/'Table 1'!D73</f>
        <v>0.23280764910356538</v>
      </c>
      <c r="P73" s="322">
        <f>VLOOKUP($A73,[0]!Data,304,FALSE)</f>
        <v>1397</v>
      </c>
      <c r="Q73" s="324">
        <f>VLOOKUP($A73,[0]!Data,305,FALSE)</f>
        <v>19336</v>
      </c>
    </row>
    <row r="74" spans="1:17" x14ac:dyDescent="0.25">
      <c r="A74" s="36" t="s">
        <v>754</v>
      </c>
      <c r="B74" s="36" t="s">
        <v>1567</v>
      </c>
      <c r="C74" s="322">
        <f>VLOOKUP($A74,[0]!Data,267,FALSE)</f>
        <v>596</v>
      </c>
      <c r="D74" s="322">
        <f>VLOOKUP($A74,[0]!Data,268,FALSE)</f>
        <v>131</v>
      </c>
      <c r="E74" s="322">
        <f>VLOOKUP($A74,[0]!Data,269,FALSE)</f>
        <v>1963</v>
      </c>
      <c r="F74" s="322">
        <f>VLOOKUP($A74,[0]!Data,290,FALSE)</f>
        <v>0</v>
      </c>
      <c r="G74" s="322">
        <f>VLOOKUP($A74,[0]!Data,292,FALSE)</f>
        <v>95</v>
      </c>
      <c r="H74" s="322">
        <f>VLOOKUP($A74,[0]!Data,270,FALSE)</f>
        <v>2690</v>
      </c>
      <c r="I74" s="322">
        <f>VLOOKUP($A74,[0]!Data,279,FALSE)</f>
        <v>12559</v>
      </c>
      <c r="J74" s="322">
        <f>VLOOKUP($A74,[0]!Data,280,FALSE)</f>
        <v>1870</v>
      </c>
      <c r="K74" s="322">
        <f>VLOOKUP($A74,[0]!Data,281,FALSE)</f>
        <v>39241</v>
      </c>
      <c r="L74" s="322">
        <f>VLOOKUP($A74,[0]!Data,291,FALSE)</f>
        <v>0</v>
      </c>
      <c r="M74" s="322">
        <f>VLOOKUP($A74,[0]!Data,293,FALSE)</f>
        <v>513</v>
      </c>
      <c r="N74" s="322">
        <f>VLOOKUP($A74,[0]!Data,282,FALSE)</f>
        <v>53670</v>
      </c>
      <c r="O74" s="452">
        <f>N74/'Table 1'!D74</f>
        <v>0.3184766290254627</v>
      </c>
      <c r="P74" s="322">
        <f>VLOOKUP($A74,[0]!Data,304,FALSE)</f>
        <v>7470</v>
      </c>
      <c r="Q74" s="324">
        <f>VLOOKUP($A74,[0]!Data,305,FALSE)</f>
        <v>29675</v>
      </c>
    </row>
    <row r="75" spans="1:17" x14ac:dyDescent="0.25">
      <c r="A75" s="36" t="s">
        <v>1048</v>
      </c>
      <c r="B75" s="36" t="s">
        <v>1568</v>
      </c>
      <c r="C75" s="322">
        <f>VLOOKUP($A75,[0]!Data,267,FALSE)</f>
        <v>288</v>
      </c>
      <c r="D75" s="322">
        <f>VLOOKUP($A75,[0]!Data,268,FALSE)</f>
        <v>27</v>
      </c>
      <c r="E75" s="322">
        <f>VLOOKUP($A75,[0]!Data,269,FALSE)</f>
        <v>457</v>
      </c>
      <c r="F75" s="322">
        <f>VLOOKUP($A75,[0]!Data,290,FALSE)</f>
        <v>0</v>
      </c>
      <c r="G75" s="322">
        <f>VLOOKUP($A75,[0]!Data,292,FALSE)</f>
        <v>25</v>
      </c>
      <c r="H75" s="322">
        <f>VLOOKUP($A75,[0]!Data,270,FALSE)</f>
        <v>772</v>
      </c>
      <c r="I75" s="322">
        <f>VLOOKUP($A75,[0]!Data,279,FALSE)</f>
        <v>4634</v>
      </c>
      <c r="J75" s="322">
        <f>VLOOKUP($A75,[0]!Data,280,FALSE)</f>
        <v>349</v>
      </c>
      <c r="K75" s="322">
        <f>VLOOKUP($A75,[0]!Data,281,FALSE)</f>
        <v>11305</v>
      </c>
      <c r="L75" s="322">
        <f>VLOOKUP($A75,[0]!Data,291,FALSE)</f>
        <v>0</v>
      </c>
      <c r="M75" s="322">
        <f>VLOOKUP($A75,[0]!Data,293,FALSE)</f>
        <v>131</v>
      </c>
      <c r="N75" s="322">
        <f>VLOOKUP($A75,[0]!Data,282,FALSE)</f>
        <v>16288</v>
      </c>
      <c r="O75" s="452">
        <f>N75/'Table 1'!D75</f>
        <v>0.33414023714766339</v>
      </c>
      <c r="P75" s="322">
        <f>VLOOKUP($A75,[0]!Data,304,FALSE)</f>
        <v>264</v>
      </c>
      <c r="Q75" s="324">
        <f>VLOOKUP($A75,[0]!Data,305,FALSE)</f>
        <v>3221</v>
      </c>
    </row>
    <row r="76" spans="1:17" x14ac:dyDescent="0.25">
      <c r="A76" s="36" t="s">
        <v>1064</v>
      </c>
      <c r="B76" s="36" t="s">
        <v>1569</v>
      </c>
      <c r="C76" s="322">
        <f>VLOOKUP($A76,[0]!Data,267,FALSE)</f>
        <v>324</v>
      </c>
      <c r="D76" s="322">
        <f>VLOOKUP($A76,[0]!Data,268,FALSE)</f>
        <v>51</v>
      </c>
      <c r="E76" s="322">
        <f>VLOOKUP($A76,[0]!Data,269,FALSE)</f>
        <v>827</v>
      </c>
      <c r="F76" s="322">
        <f>VLOOKUP($A76,[0]!Data,290,FALSE)</f>
        <v>0</v>
      </c>
      <c r="G76" s="322">
        <f>VLOOKUP($A76,[0]!Data,292,FALSE)</f>
        <v>44</v>
      </c>
      <c r="H76" s="322">
        <f>VLOOKUP($A76,[0]!Data,270,FALSE)</f>
        <v>1202</v>
      </c>
      <c r="I76" s="322">
        <f>VLOOKUP($A76,[0]!Data,279,FALSE)</f>
        <v>3204</v>
      </c>
      <c r="J76" s="322">
        <f>VLOOKUP($A76,[0]!Data,280,FALSE)</f>
        <v>407</v>
      </c>
      <c r="K76" s="322">
        <f>VLOOKUP($A76,[0]!Data,281,FALSE)</f>
        <v>24191</v>
      </c>
      <c r="L76" s="322">
        <f>VLOOKUP($A76,[0]!Data,291,FALSE)</f>
        <v>0</v>
      </c>
      <c r="M76" s="322">
        <f>VLOOKUP($A76,[0]!Data,293,FALSE)</f>
        <v>164</v>
      </c>
      <c r="N76" s="322">
        <f>VLOOKUP($A76,[0]!Data,282,FALSE)</f>
        <v>27802</v>
      </c>
      <c r="O76" s="452">
        <f>N76/'Table 1'!D76</f>
        <v>0.31111658199234576</v>
      </c>
      <c r="P76" s="322">
        <f>VLOOKUP($A76,[0]!Data,304,FALSE)</f>
        <v>1902</v>
      </c>
      <c r="Q76" s="324">
        <f>VLOOKUP($A76,[0]!Data,305,FALSE)</f>
        <v>5265</v>
      </c>
    </row>
    <row r="77" spans="1:17" x14ac:dyDescent="0.25">
      <c r="A77" s="36" t="s">
        <v>1093</v>
      </c>
      <c r="B77" s="36" t="s">
        <v>1570</v>
      </c>
      <c r="C77" s="322">
        <f>VLOOKUP($A77,[0]!Data,267,FALSE)</f>
        <v>1428</v>
      </c>
      <c r="D77" s="322">
        <f>VLOOKUP($A77,[0]!Data,268,FALSE)</f>
        <v>185</v>
      </c>
      <c r="E77" s="322">
        <f>VLOOKUP($A77,[0]!Data,269,FALSE)</f>
        <v>3429</v>
      </c>
      <c r="F77" s="322">
        <f>VLOOKUP($A77,[0]!Data,290,FALSE)</f>
        <v>658</v>
      </c>
      <c r="G77" s="322">
        <f>VLOOKUP($A77,[0]!Data,292,FALSE)</f>
        <v>545</v>
      </c>
      <c r="H77" s="322">
        <f>VLOOKUP($A77,[0]!Data,270,FALSE)</f>
        <v>5042</v>
      </c>
      <c r="I77" s="322">
        <f>VLOOKUP($A77,[0]!Data,279,FALSE)</f>
        <v>18491</v>
      </c>
      <c r="J77" s="322">
        <f>VLOOKUP($A77,[0]!Data,280,FALSE)</f>
        <v>688</v>
      </c>
      <c r="K77" s="322">
        <f>VLOOKUP($A77,[0]!Data,281,FALSE)</f>
        <v>63400</v>
      </c>
      <c r="L77" s="322">
        <f>VLOOKUP($A77,[0]!Data,291,FALSE)</f>
        <v>8333</v>
      </c>
      <c r="M77" s="322">
        <f>VLOOKUP($A77,[0]!Data,293,FALSE)</f>
        <v>1569</v>
      </c>
      <c r="N77" s="322">
        <f>VLOOKUP($A77,[0]!Data,282,FALSE)</f>
        <v>82579</v>
      </c>
      <c r="O77" s="452">
        <f>N77/'Table 1'!D77</f>
        <v>0.49002201506043758</v>
      </c>
      <c r="P77" s="322">
        <f>VLOOKUP($A77,[0]!Data,304,FALSE)</f>
        <v>785</v>
      </c>
      <c r="Q77" s="324">
        <f>VLOOKUP($A77,[0]!Data,305,FALSE)</f>
        <v>2793</v>
      </c>
    </row>
    <row r="78" spans="1:17" x14ac:dyDescent="0.25">
      <c r="A78" s="36" t="s">
        <v>1172</v>
      </c>
      <c r="B78" s="36" t="s">
        <v>1571</v>
      </c>
      <c r="C78" s="322">
        <f>VLOOKUP($A78,[0]!Data,267,FALSE)</f>
        <v>350</v>
      </c>
      <c r="D78" s="322">
        <f>VLOOKUP($A78,[0]!Data,268,FALSE)</f>
        <v>21</v>
      </c>
      <c r="E78" s="322">
        <f>VLOOKUP($A78,[0]!Data,269,FALSE)</f>
        <v>632</v>
      </c>
      <c r="F78" s="322">
        <f>VLOOKUP($A78,[0]!Data,290,FALSE)</f>
        <v>2</v>
      </c>
      <c r="G78" s="322">
        <f>VLOOKUP($A78,[0]!Data,292,FALSE)</f>
        <v>20</v>
      </c>
      <c r="H78" s="322">
        <f>VLOOKUP($A78,[0]!Data,270,FALSE)</f>
        <v>1003</v>
      </c>
      <c r="I78" s="322">
        <f>VLOOKUP($A78,[0]!Data,279,FALSE)</f>
        <v>4608</v>
      </c>
      <c r="J78" s="322">
        <f>VLOOKUP($A78,[0]!Data,280,FALSE)</f>
        <v>887</v>
      </c>
      <c r="K78" s="322">
        <f>VLOOKUP($A78,[0]!Data,281,FALSE)</f>
        <v>13386</v>
      </c>
      <c r="L78" s="322">
        <f>VLOOKUP($A78,[0]!Data,291,FALSE)</f>
        <v>10</v>
      </c>
      <c r="M78" s="322">
        <f>VLOOKUP($A78,[0]!Data,293,FALSE)</f>
        <v>62</v>
      </c>
      <c r="N78" s="322">
        <f>VLOOKUP($A78,[0]!Data,282,FALSE)</f>
        <v>18881</v>
      </c>
      <c r="O78" s="452">
        <f>N78/'Table 1'!D78</f>
        <v>0.42398724512709962</v>
      </c>
      <c r="P78" s="322">
        <f>VLOOKUP($A78,[0]!Data,304,FALSE)</f>
        <v>637</v>
      </c>
      <c r="Q78" s="324">
        <f>VLOOKUP($A78,[0]!Data,305,FALSE)</f>
        <v>5522</v>
      </c>
    </row>
    <row r="79" spans="1:17" x14ac:dyDescent="0.25">
      <c r="A79" s="36" t="s">
        <v>1305</v>
      </c>
      <c r="B79" s="36" t="s">
        <v>1572</v>
      </c>
      <c r="C79" s="322">
        <f>VLOOKUP($A79,[0]!Data,267,FALSE)</f>
        <v>737</v>
      </c>
      <c r="D79" s="322">
        <f>VLOOKUP($A79,[0]!Data,268,FALSE)</f>
        <v>173</v>
      </c>
      <c r="E79" s="322">
        <f>VLOOKUP($A79,[0]!Data,269,FALSE)</f>
        <v>1261</v>
      </c>
      <c r="F79" s="322">
        <f>VLOOKUP($A79,[0]!Data,290,FALSE)</f>
        <v>104</v>
      </c>
      <c r="G79" s="322">
        <f>VLOOKUP($A79,[0]!Data,292,FALSE)</f>
        <v>318</v>
      </c>
      <c r="H79" s="322">
        <f>VLOOKUP($A79,[0]!Data,270,FALSE)</f>
        <v>2171</v>
      </c>
      <c r="I79" s="322">
        <f>VLOOKUP($A79,[0]!Data,279,FALSE)</f>
        <v>8752</v>
      </c>
      <c r="J79" s="322">
        <f>VLOOKUP($A79,[0]!Data,280,FALSE)</f>
        <v>2028</v>
      </c>
      <c r="K79" s="322">
        <f>VLOOKUP($A79,[0]!Data,281,FALSE)</f>
        <v>49107</v>
      </c>
      <c r="L79" s="322">
        <f>VLOOKUP($A79,[0]!Data,291,FALSE)</f>
        <v>797</v>
      </c>
      <c r="M79" s="322">
        <f>VLOOKUP($A79,[0]!Data,293,FALSE)</f>
        <v>2011</v>
      </c>
      <c r="N79" s="322">
        <f>VLOOKUP($A79,[0]!Data,282,FALSE)</f>
        <v>59887</v>
      </c>
      <c r="O79" s="452">
        <f>N79/'Table 1'!D79</f>
        <v>0.25717144476699244</v>
      </c>
      <c r="P79" s="322">
        <f>VLOOKUP($A79,[0]!Data,304,FALSE)</f>
        <v>2028</v>
      </c>
      <c r="Q79" s="324">
        <f>VLOOKUP($A79,[0]!Data,305,FALSE)</f>
        <v>29913</v>
      </c>
    </row>
    <row r="80" spans="1:17" ht="15.75" thickBot="1" x14ac:dyDescent="0.3">
      <c r="A80" s="599" t="s">
        <v>1647</v>
      </c>
      <c r="B80" s="600"/>
      <c r="C80" s="325">
        <f t="shared" ref="C80:N80" si="1">SUM(C68:C79)</f>
        <v>6752</v>
      </c>
      <c r="D80" s="325">
        <f t="shared" si="1"/>
        <v>1105</v>
      </c>
      <c r="E80" s="325">
        <f t="shared" si="1"/>
        <v>13217</v>
      </c>
      <c r="F80" s="325">
        <f t="shared" si="1"/>
        <v>779</v>
      </c>
      <c r="G80" s="325">
        <f t="shared" si="1"/>
        <v>1447</v>
      </c>
      <c r="H80" s="325">
        <f t="shared" si="1"/>
        <v>21074</v>
      </c>
      <c r="I80" s="325">
        <f t="shared" si="1"/>
        <v>87855</v>
      </c>
      <c r="J80" s="325">
        <f t="shared" si="1"/>
        <v>12069</v>
      </c>
      <c r="K80" s="325">
        <f t="shared" si="1"/>
        <v>311640</v>
      </c>
      <c r="L80" s="325">
        <f t="shared" si="1"/>
        <v>9303</v>
      </c>
      <c r="M80" s="325">
        <f t="shared" si="1"/>
        <v>5868</v>
      </c>
      <c r="N80" s="325">
        <f t="shared" si="1"/>
        <v>411564</v>
      </c>
      <c r="O80" s="465">
        <f>AVERAGE(O68:O79)</f>
        <v>0.29352996824520522</v>
      </c>
      <c r="P80" s="325">
        <f>SUM(P68:P79)</f>
        <v>18635</v>
      </c>
      <c r="Q80" s="44">
        <f>SUM(Q68:Q79)</f>
        <v>130857</v>
      </c>
    </row>
    <row r="81" spans="1:17" ht="16.5" thickTop="1" thickBot="1" x14ac:dyDescent="0.3">
      <c r="A81" s="54"/>
      <c r="B81" s="45" t="s">
        <v>1456</v>
      </c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50"/>
    </row>
    <row r="82" spans="1:17" ht="15.75" thickTop="1" x14ac:dyDescent="0.25">
      <c r="A82" s="51" t="s">
        <v>557</v>
      </c>
      <c r="B82" s="36" t="s">
        <v>1573</v>
      </c>
      <c r="C82" s="322">
        <f>VLOOKUP($A82,[0]!Data,267,FALSE)</f>
        <v>132</v>
      </c>
      <c r="D82" s="322">
        <f>VLOOKUP($A82,[0]!Data,268,FALSE)</f>
        <v>150</v>
      </c>
      <c r="E82" s="322">
        <f>VLOOKUP($A82,[0]!Data,269,FALSE)</f>
        <v>738</v>
      </c>
      <c r="F82" s="322">
        <f>VLOOKUP($A82,[0]!Data,290,FALSE)</f>
        <v>19</v>
      </c>
      <c r="G82" s="322">
        <f>VLOOKUP($A82,[0]!Data,292,FALSE)</f>
        <v>60</v>
      </c>
      <c r="H82" s="322">
        <f>VLOOKUP($A82,[0]!Data,270,FALSE)</f>
        <v>1020</v>
      </c>
      <c r="I82" s="322">
        <f>VLOOKUP($A82,[0]!Data,279,FALSE)</f>
        <v>3327</v>
      </c>
      <c r="J82" s="322">
        <f>VLOOKUP($A82,[0]!Data,280,FALSE)</f>
        <v>2162</v>
      </c>
      <c r="K82" s="322">
        <f>VLOOKUP($A82,[0]!Data,281,FALSE)</f>
        <v>32031</v>
      </c>
      <c r="L82" s="322">
        <f>VLOOKUP($A82,[0]!Data,291,FALSE)</f>
        <v>121</v>
      </c>
      <c r="M82" s="322">
        <f>VLOOKUP($A82,[0]!Data,293,FALSE)</f>
        <v>566</v>
      </c>
      <c r="N82" s="322">
        <f>VLOOKUP($A82,[0]!Data,282,FALSE)</f>
        <v>37520</v>
      </c>
      <c r="O82" s="452">
        <f>N82/'Table 1'!D82</f>
        <v>0.62687963643654343</v>
      </c>
      <c r="P82" s="322">
        <f>VLOOKUP($A82,[0]!Data,304,FALSE)</f>
        <v>2601</v>
      </c>
      <c r="Q82" s="324">
        <f>VLOOKUP($A82,[0]!Data,305,FALSE)</f>
        <v>0</v>
      </c>
    </row>
    <row r="83" spans="1:17" x14ac:dyDescent="0.25">
      <c r="A83" s="51" t="s">
        <v>946</v>
      </c>
      <c r="B83" s="36" t="s">
        <v>1457</v>
      </c>
      <c r="C83" s="322">
        <f>VLOOKUP($A83,[0]!Data,267,FALSE)</f>
        <v>112</v>
      </c>
      <c r="D83" s="322">
        <f>VLOOKUP($A83,[0]!Data,268,FALSE)</f>
        <v>23</v>
      </c>
      <c r="E83" s="322">
        <f>VLOOKUP($A83,[0]!Data,269,FALSE)</f>
        <v>159</v>
      </c>
      <c r="F83" s="322">
        <f>VLOOKUP($A83,[0]!Data,290,FALSE)</f>
        <v>104</v>
      </c>
      <c r="G83" s="322">
        <f>VLOOKUP($A83,[0]!Data,292,FALSE)</f>
        <v>12</v>
      </c>
      <c r="H83" s="322">
        <f>VLOOKUP($A83,[0]!Data,270,FALSE)</f>
        <v>294</v>
      </c>
      <c r="I83" s="322">
        <f>VLOOKUP($A83,[0]!Data,279,FALSE)</f>
        <v>2360</v>
      </c>
      <c r="J83" s="322">
        <f>VLOOKUP($A83,[0]!Data,280,FALSE)</f>
        <v>281</v>
      </c>
      <c r="K83" s="322">
        <f>VLOOKUP($A83,[0]!Data,281,FALSE)</f>
        <v>4808</v>
      </c>
      <c r="L83" s="322">
        <f>VLOOKUP($A83,[0]!Data,291,FALSE)</f>
        <v>156</v>
      </c>
      <c r="M83" s="322">
        <f>VLOOKUP($A83,[0]!Data,293,FALSE)</f>
        <v>144</v>
      </c>
      <c r="N83" s="322">
        <f>VLOOKUP($A83,[0]!Data,282,FALSE)</f>
        <v>7449</v>
      </c>
      <c r="O83" s="452">
        <f>N83/'Table 1'!D83</f>
        <v>0.38343542492407473</v>
      </c>
      <c r="P83" s="322">
        <f>VLOOKUP($A83,[0]!Data,304,FALSE)</f>
        <v>0</v>
      </c>
      <c r="Q83" s="324">
        <f>VLOOKUP($A83,[0]!Data,305,FALSE)</f>
        <v>0</v>
      </c>
    </row>
    <row r="84" spans="1:17" x14ac:dyDescent="0.25">
      <c r="A84" s="51" t="s">
        <v>743</v>
      </c>
      <c r="B84" s="36" t="s">
        <v>1574</v>
      </c>
      <c r="C84" s="322">
        <f>VLOOKUP($A84,[0]!Data,267,FALSE)</f>
        <v>64</v>
      </c>
      <c r="D84" s="322">
        <f>VLOOKUP($A84,[0]!Data,268,FALSE)</f>
        <v>2</v>
      </c>
      <c r="E84" s="322">
        <f>VLOOKUP($A84,[0]!Data,269,FALSE)</f>
        <v>272</v>
      </c>
      <c r="F84" s="322">
        <f>VLOOKUP($A84,[0]!Data,290,FALSE)</f>
        <v>0</v>
      </c>
      <c r="G84" s="322">
        <f>VLOOKUP($A84,[0]!Data,292,FALSE)</f>
        <v>12</v>
      </c>
      <c r="H84" s="322">
        <f>VLOOKUP($A84,[0]!Data,270,FALSE)</f>
        <v>338</v>
      </c>
      <c r="I84" s="322">
        <f>VLOOKUP($A84,[0]!Data,279,FALSE)</f>
        <v>862</v>
      </c>
      <c r="J84" s="322">
        <f>VLOOKUP($A84,[0]!Data,280,FALSE)</f>
        <v>2</v>
      </c>
      <c r="K84" s="322">
        <f>VLOOKUP($A84,[0]!Data,281,FALSE)</f>
        <v>3903</v>
      </c>
      <c r="L84" s="322">
        <f>VLOOKUP($A84,[0]!Data,291,FALSE)</f>
        <v>0</v>
      </c>
      <c r="M84" s="322">
        <f>VLOOKUP($A84,[0]!Data,293,FALSE)</f>
        <v>57</v>
      </c>
      <c r="N84" s="322">
        <f>VLOOKUP($A84,[0]!Data,282,FALSE)</f>
        <v>4767</v>
      </c>
      <c r="O84" s="452">
        <f>N84/'Table 1'!D84</f>
        <v>1.0207708779443254</v>
      </c>
      <c r="P84" s="322">
        <f>VLOOKUP($A84,[0]!Data,304,FALSE)</f>
        <v>52</v>
      </c>
      <c r="Q84" s="324">
        <f>VLOOKUP($A84,[0]!Data,305,FALSE)</f>
        <v>0</v>
      </c>
    </row>
    <row r="85" spans="1:17" x14ac:dyDescent="0.25">
      <c r="A85" s="51" t="s">
        <v>917</v>
      </c>
      <c r="B85" s="36" t="s">
        <v>1575</v>
      </c>
      <c r="C85" s="322">
        <f>VLOOKUP($A85,[0]!Data,267,FALSE)</f>
        <v>247</v>
      </c>
      <c r="D85" s="322">
        <f>VLOOKUP($A85,[0]!Data,268,FALSE)</f>
        <v>6</v>
      </c>
      <c r="E85" s="322">
        <f>VLOOKUP($A85,[0]!Data,269,FALSE)</f>
        <v>779</v>
      </c>
      <c r="F85" s="322">
        <f>VLOOKUP($A85,[0]!Data,290,FALSE)</f>
        <v>0</v>
      </c>
      <c r="G85" s="322">
        <f>VLOOKUP($A85,[0]!Data,292,FALSE)</f>
        <v>10</v>
      </c>
      <c r="H85" s="322">
        <f>VLOOKUP($A85,[0]!Data,270,FALSE)</f>
        <v>1032</v>
      </c>
      <c r="I85" s="322">
        <f>VLOOKUP($A85,[0]!Data,279,FALSE)</f>
        <v>4280</v>
      </c>
      <c r="J85" s="322">
        <f>VLOOKUP($A85,[0]!Data,280,FALSE)</f>
        <v>142</v>
      </c>
      <c r="K85" s="322">
        <f>VLOOKUP($A85,[0]!Data,281,FALSE)</f>
        <v>15936</v>
      </c>
      <c r="L85" s="322">
        <f>VLOOKUP($A85,[0]!Data,291,FALSE)</f>
        <v>0</v>
      </c>
      <c r="M85" s="322">
        <f>VLOOKUP($A85,[0]!Data,293,FALSE)</f>
        <v>195</v>
      </c>
      <c r="N85" s="322">
        <f>VLOOKUP($A85,[0]!Data,282,FALSE)</f>
        <v>20358</v>
      </c>
      <c r="O85" s="452">
        <f>N85/'Table 1'!D85</f>
        <v>0.50325068598126221</v>
      </c>
      <c r="P85" s="322">
        <f>VLOOKUP($A85,[0]!Data,304,FALSE)</f>
        <v>1156</v>
      </c>
      <c r="Q85" s="324">
        <f>VLOOKUP($A85,[0]!Data,305,FALSE)</f>
        <v>4890</v>
      </c>
    </row>
    <row r="86" spans="1:17" x14ac:dyDescent="0.25">
      <c r="A86" s="51" t="s">
        <v>932</v>
      </c>
      <c r="B86" s="36" t="s">
        <v>1576</v>
      </c>
      <c r="C86" s="322">
        <f>VLOOKUP($A86,[0]!Data,267,FALSE)</f>
        <v>1866</v>
      </c>
      <c r="D86" s="322">
        <f>VLOOKUP($A86,[0]!Data,268,FALSE)</f>
        <v>12</v>
      </c>
      <c r="E86" s="322">
        <f>VLOOKUP($A86,[0]!Data,269,FALSE)</f>
        <v>1910</v>
      </c>
      <c r="F86" s="322">
        <f>VLOOKUP($A86,[0]!Data,290,FALSE)</f>
        <v>99</v>
      </c>
      <c r="G86" s="322">
        <f>VLOOKUP($A86,[0]!Data,292,FALSE)</f>
        <v>742</v>
      </c>
      <c r="H86" s="322">
        <f>VLOOKUP($A86,[0]!Data,270,FALSE)</f>
        <v>3788</v>
      </c>
      <c r="I86" s="322">
        <f>VLOOKUP($A86,[0]!Data,279,FALSE)</f>
        <v>9197</v>
      </c>
      <c r="J86" s="322">
        <f>VLOOKUP($A86,[0]!Data,280,FALSE)</f>
        <v>161</v>
      </c>
      <c r="K86" s="322">
        <f>VLOOKUP($A86,[0]!Data,281,FALSE)</f>
        <v>29303</v>
      </c>
      <c r="L86" s="322">
        <f>VLOOKUP($A86,[0]!Data,291,FALSE)</f>
        <v>233</v>
      </c>
      <c r="M86" s="322">
        <f>VLOOKUP($A86,[0]!Data,293,FALSE)</f>
        <v>1067</v>
      </c>
      <c r="N86" s="322">
        <f>VLOOKUP($A86,[0]!Data,282,FALSE)</f>
        <v>38661</v>
      </c>
      <c r="O86" s="452">
        <f>N86/'Table 1'!D86</f>
        <v>0.35068575160552956</v>
      </c>
      <c r="P86" s="322">
        <f>VLOOKUP($A86,[0]!Data,304,FALSE)</f>
        <v>175</v>
      </c>
      <c r="Q86" s="324">
        <f>VLOOKUP($A86,[0]!Data,305,FALSE)</f>
        <v>4283</v>
      </c>
    </row>
    <row r="87" spans="1:17" x14ac:dyDescent="0.25">
      <c r="A87" s="51" t="s">
        <v>970</v>
      </c>
      <c r="B87" s="36" t="s">
        <v>1577</v>
      </c>
      <c r="C87" s="322">
        <f>VLOOKUP($A87,[0]!Data,267,FALSE)</f>
        <v>95</v>
      </c>
      <c r="D87" s="322">
        <f>VLOOKUP($A87,[0]!Data,268,FALSE)</f>
        <v>26</v>
      </c>
      <c r="E87" s="322">
        <f>VLOOKUP($A87,[0]!Data,269,FALSE)</f>
        <v>464</v>
      </c>
      <c r="F87" s="322">
        <f>VLOOKUP($A87,[0]!Data,290,FALSE)</f>
        <v>22</v>
      </c>
      <c r="G87" s="322">
        <f>VLOOKUP($A87,[0]!Data,292,FALSE)</f>
        <v>18</v>
      </c>
      <c r="H87" s="322">
        <f>VLOOKUP($A87,[0]!Data,270,FALSE)</f>
        <v>585</v>
      </c>
      <c r="I87" s="322">
        <f>VLOOKUP($A87,[0]!Data,279,FALSE)</f>
        <v>987</v>
      </c>
      <c r="J87" s="322">
        <f>VLOOKUP($A87,[0]!Data,280,FALSE)</f>
        <v>4378</v>
      </c>
      <c r="K87" s="322">
        <f>VLOOKUP($A87,[0]!Data,281,FALSE)</f>
        <v>13881</v>
      </c>
      <c r="L87" s="322">
        <f>VLOOKUP($A87,[0]!Data,291,FALSE)</f>
        <v>122</v>
      </c>
      <c r="M87" s="322">
        <f>VLOOKUP($A87,[0]!Data,293,FALSE)</f>
        <v>85</v>
      </c>
      <c r="N87" s="322">
        <f>VLOOKUP($A87,[0]!Data,282,FALSE)</f>
        <v>19246</v>
      </c>
      <c r="O87" s="452">
        <f>N87/'Table 1'!D87</f>
        <v>1.7955033118761079</v>
      </c>
      <c r="P87" s="322">
        <f>VLOOKUP($A87,[0]!Data,304,FALSE)</f>
        <v>58</v>
      </c>
      <c r="Q87" s="324">
        <f>VLOOKUP($A87,[0]!Data,305,FALSE)</f>
        <v>2332</v>
      </c>
    </row>
    <row r="88" spans="1:17" x14ac:dyDescent="0.25">
      <c r="A88" s="51" t="s">
        <v>1033</v>
      </c>
      <c r="B88" s="36" t="s">
        <v>1578</v>
      </c>
      <c r="C88" s="322">
        <f>VLOOKUP($A88,[0]!Data,267,FALSE)</f>
        <v>114</v>
      </c>
      <c r="D88" s="322">
        <f>VLOOKUP($A88,[0]!Data,268,FALSE)</f>
        <v>23</v>
      </c>
      <c r="E88" s="322">
        <f>VLOOKUP($A88,[0]!Data,269,FALSE)</f>
        <v>822</v>
      </c>
      <c r="F88" s="322">
        <f>VLOOKUP($A88,[0]!Data,290,FALSE)</f>
        <v>25</v>
      </c>
      <c r="G88" s="322">
        <f>VLOOKUP($A88,[0]!Data,292,FALSE)</f>
        <v>10</v>
      </c>
      <c r="H88" s="322">
        <f>VLOOKUP($A88,[0]!Data,270,FALSE)</f>
        <v>959</v>
      </c>
      <c r="I88" s="322">
        <f>VLOOKUP($A88,[0]!Data,279,FALSE)</f>
        <v>1538</v>
      </c>
      <c r="J88" s="322">
        <f>VLOOKUP($A88,[0]!Data,280,FALSE)</f>
        <v>307</v>
      </c>
      <c r="K88" s="322">
        <f>VLOOKUP($A88,[0]!Data,281,FALSE)</f>
        <v>39109</v>
      </c>
      <c r="L88" s="322">
        <f>VLOOKUP($A88,[0]!Data,291,FALSE)</f>
        <v>32</v>
      </c>
      <c r="M88" s="322">
        <f>VLOOKUP($A88,[0]!Data,293,FALSE)</f>
        <v>0</v>
      </c>
      <c r="N88" s="322">
        <f>VLOOKUP($A88,[0]!Data,282,FALSE)</f>
        <v>40954</v>
      </c>
      <c r="O88" s="452">
        <f>N88/'Table 1'!D88</f>
        <v>1.0482748029077507</v>
      </c>
      <c r="P88" s="322">
        <f>VLOOKUP($A88,[0]!Data,304,FALSE)</f>
        <v>154</v>
      </c>
      <c r="Q88" s="324">
        <f>VLOOKUP($A88,[0]!Data,305,FALSE)</f>
        <v>2885</v>
      </c>
    </row>
    <row r="89" spans="1:17" x14ac:dyDescent="0.25">
      <c r="A89" s="51" t="s">
        <v>884</v>
      </c>
      <c r="B89" s="36" t="s">
        <v>1579</v>
      </c>
      <c r="C89" s="322">
        <f>VLOOKUP($A89,[0]!Data,267,FALSE)</f>
        <v>8</v>
      </c>
      <c r="D89" s="322">
        <f>VLOOKUP($A89,[0]!Data,268,FALSE)</f>
        <v>0</v>
      </c>
      <c r="E89" s="322">
        <f>VLOOKUP($A89,[0]!Data,269,FALSE)</f>
        <v>11</v>
      </c>
      <c r="F89" s="322">
        <f>VLOOKUP($A89,[0]!Data,290,FALSE)</f>
        <v>2</v>
      </c>
      <c r="G89" s="322">
        <f>VLOOKUP($A89,[0]!Data,292,FALSE)</f>
        <v>0</v>
      </c>
      <c r="H89" s="322">
        <f>VLOOKUP($A89,[0]!Data,270,FALSE)</f>
        <v>19</v>
      </c>
      <c r="I89" s="322">
        <f>VLOOKUP($A89,[0]!Data,279,FALSE)</f>
        <v>65</v>
      </c>
      <c r="J89" s="322">
        <f>VLOOKUP($A89,[0]!Data,280,FALSE)</f>
        <v>0</v>
      </c>
      <c r="K89" s="322">
        <f>VLOOKUP($A89,[0]!Data,281,FALSE)</f>
        <v>646</v>
      </c>
      <c r="L89" s="322">
        <f>VLOOKUP($A89,[0]!Data,291,FALSE)</f>
        <v>6</v>
      </c>
      <c r="M89" s="322">
        <f>VLOOKUP($A89,[0]!Data,293,FALSE)</f>
        <v>0</v>
      </c>
      <c r="N89" s="322">
        <f>VLOOKUP($A89,[0]!Data,282,FALSE)</f>
        <v>711</v>
      </c>
      <c r="O89" s="452">
        <f>N89/'Table 1'!D89</f>
        <v>0.13592047409673103</v>
      </c>
      <c r="P89" s="322">
        <f>VLOOKUP($A89,[0]!Data,304,FALSE)</f>
        <v>0</v>
      </c>
      <c r="Q89" s="324">
        <f>VLOOKUP($A89,[0]!Data,305,FALSE)</f>
        <v>2496</v>
      </c>
    </row>
    <row r="90" spans="1:17" x14ac:dyDescent="0.25">
      <c r="A90" s="51" t="s">
        <v>1224</v>
      </c>
      <c r="B90" s="36" t="s">
        <v>1580</v>
      </c>
      <c r="C90" s="322">
        <f>VLOOKUP($A90,[0]!Data,267,FALSE)</f>
        <v>106</v>
      </c>
      <c r="D90" s="322">
        <f>VLOOKUP($A90,[0]!Data,268,FALSE)</f>
        <v>29</v>
      </c>
      <c r="E90" s="322">
        <f>VLOOKUP($A90,[0]!Data,269,FALSE)</f>
        <v>74</v>
      </c>
      <c r="F90" s="322">
        <f>VLOOKUP($A90,[0]!Data,290,FALSE)</f>
        <v>0</v>
      </c>
      <c r="G90" s="322">
        <f>VLOOKUP($A90,[0]!Data,292,FALSE)</f>
        <v>1</v>
      </c>
      <c r="H90" s="322">
        <f>VLOOKUP($A90,[0]!Data,270,FALSE)</f>
        <v>209</v>
      </c>
      <c r="I90" s="322">
        <f>VLOOKUP($A90,[0]!Data,279,FALSE)</f>
        <v>1248</v>
      </c>
      <c r="J90" s="322">
        <f>VLOOKUP($A90,[0]!Data,280,FALSE)</f>
        <v>321</v>
      </c>
      <c r="K90" s="322">
        <f>VLOOKUP($A90,[0]!Data,281,FALSE)</f>
        <v>2636</v>
      </c>
      <c r="L90" s="322">
        <f>VLOOKUP($A90,[0]!Data,291,FALSE)</f>
        <v>0</v>
      </c>
      <c r="M90" s="322">
        <f>VLOOKUP($A90,[0]!Data,293,FALSE)</f>
        <v>4</v>
      </c>
      <c r="N90" s="322">
        <f>VLOOKUP($A90,[0]!Data,282,FALSE)</f>
        <v>4205</v>
      </c>
      <c r="O90" s="452">
        <f>N90/'Table 1'!D90</f>
        <v>0.27845838023971925</v>
      </c>
      <c r="P90" s="322">
        <f>VLOOKUP($A90,[0]!Data,304,FALSE)</f>
        <v>35</v>
      </c>
      <c r="Q90" s="324">
        <f>VLOOKUP($A90,[0]!Data,305,FALSE)</f>
        <v>320</v>
      </c>
    </row>
    <row r="91" spans="1:17" x14ac:dyDescent="0.25">
      <c r="A91" s="51" t="s">
        <v>1346</v>
      </c>
      <c r="B91" s="36" t="s">
        <v>1581</v>
      </c>
      <c r="C91" s="322">
        <f>VLOOKUP($A91,[0]!Data,267,FALSE)</f>
        <v>22</v>
      </c>
      <c r="D91" s="322">
        <f>VLOOKUP($A91,[0]!Data,268,FALSE)</f>
        <v>66</v>
      </c>
      <c r="E91" s="322">
        <f>VLOOKUP($A91,[0]!Data,269,FALSE)</f>
        <v>497</v>
      </c>
      <c r="F91" s="322">
        <f>VLOOKUP($A91,[0]!Data,290,FALSE)</f>
        <v>3</v>
      </c>
      <c r="G91" s="322">
        <f>VLOOKUP($A91,[0]!Data,292,FALSE)</f>
        <v>24</v>
      </c>
      <c r="H91" s="322">
        <f>VLOOKUP($A91,[0]!Data,270,FALSE)</f>
        <v>585</v>
      </c>
      <c r="I91" s="322">
        <f>VLOOKUP($A91,[0]!Data,279,FALSE)</f>
        <v>1326</v>
      </c>
      <c r="J91" s="322">
        <f>VLOOKUP($A91,[0]!Data,280,FALSE)</f>
        <v>172</v>
      </c>
      <c r="K91" s="322">
        <f>VLOOKUP($A91,[0]!Data,281,FALSE)</f>
        <v>14903</v>
      </c>
      <c r="L91" s="322">
        <f>VLOOKUP($A91,[0]!Data,291,FALSE)</f>
        <v>83</v>
      </c>
      <c r="M91" s="322">
        <f>VLOOKUP($A91,[0]!Data,293,FALSE)</f>
        <v>224</v>
      </c>
      <c r="N91" s="322">
        <f>VLOOKUP($A91,[0]!Data,282,FALSE)</f>
        <v>16401</v>
      </c>
      <c r="O91" s="452">
        <f>N91/'Table 1'!D91</f>
        <v>1.1922797324803722</v>
      </c>
      <c r="P91" s="322">
        <f>VLOOKUP($A91,[0]!Data,304,FALSE)</f>
        <v>16</v>
      </c>
      <c r="Q91" s="324">
        <f>VLOOKUP($A91,[0]!Data,305,FALSE)</f>
        <v>101</v>
      </c>
    </row>
    <row r="92" spans="1:17" x14ac:dyDescent="0.25">
      <c r="A92" s="51" t="s">
        <v>819</v>
      </c>
      <c r="B92" s="36" t="s">
        <v>1582</v>
      </c>
      <c r="C92" s="322">
        <f>VLOOKUP($A92,[0]!Data,267,FALSE)</f>
        <v>10</v>
      </c>
      <c r="D92" s="322">
        <f>VLOOKUP($A92,[0]!Data,268,FALSE)</f>
        <v>13</v>
      </c>
      <c r="E92" s="322">
        <f>VLOOKUP($A92,[0]!Data,269,FALSE)</f>
        <v>115</v>
      </c>
      <c r="F92" s="322">
        <f>VLOOKUP($A92,[0]!Data,290,FALSE)</f>
        <v>0</v>
      </c>
      <c r="G92" s="322">
        <f>VLOOKUP($A92,[0]!Data,292,FALSE)</f>
        <v>6</v>
      </c>
      <c r="H92" s="322">
        <f>VLOOKUP($A92,[0]!Data,270,FALSE)</f>
        <v>138</v>
      </c>
      <c r="I92" s="322">
        <f>VLOOKUP($A92,[0]!Data,279,FALSE)</f>
        <v>185</v>
      </c>
      <c r="J92" s="322">
        <f>VLOOKUP($A92,[0]!Data,280,FALSE)</f>
        <v>446</v>
      </c>
      <c r="K92" s="322">
        <f>VLOOKUP($A92,[0]!Data,281,FALSE)</f>
        <v>2015</v>
      </c>
      <c r="L92" s="322">
        <f>VLOOKUP($A92,[0]!Data,291,FALSE)</f>
        <v>0</v>
      </c>
      <c r="M92" s="322">
        <f>VLOOKUP($A92,[0]!Data,293,FALSE)</f>
        <v>21</v>
      </c>
      <c r="N92" s="322">
        <f>VLOOKUP($A92,[0]!Data,282,FALSE)</f>
        <v>2646</v>
      </c>
      <c r="O92" s="452">
        <f>N92/'Table 1'!D92</f>
        <v>0.27674929400690307</v>
      </c>
      <c r="P92" s="322">
        <f>VLOOKUP($A92,[0]!Data,304,FALSE)</f>
        <v>584</v>
      </c>
      <c r="Q92" s="324">
        <f>VLOOKUP($A92,[0]!Data,305,FALSE)</f>
        <v>2655</v>
      </c>
    </row>
    <row r="93" spans="1:17" ht="15.75" thickBot="1" x14ac:dyDescent="0.3">
      <c r="A93" s="599" t="s">
        <v>1647</v>
      </c>
      <c r="B93" s="600"/>
      <c r="C93" s="57">
        <f>SUM(C82:C92)</f>
        <v>2776</v>
      </c>
      <c r="D93" s="57">
        <f t="shared" ref="D93:N93" si="2">SUM(D82:D92)</f>
        <v>350</v>
      </c>
      <c r="E93" s="57">
        <f t="shared" si="2"/>
        <v>5841</v>
      </c>
      <c r="F93" s="57">
        <f t="shared" si="2"/>
        <v>274</v>
      </c>
      <c r="G93" s="57">
        <f t="shared" si="2"/>
        <v>895</v>
      </c>
      <c r="H93" s="57">
        <f t="shared" si="2"/>
        <v>8967</v>
      </c>
      <c r="I93" s="57">
        <f t="shared" si="2"/>
        <v>25375</v>
      </c>
      <c r="J93" s="57">
        <f t="shared" si="2"/>
        <v>8372</v>
      </c>
      <c r="K93" s="57">
        <f t="shared" si="2"/>
        <v>159171</v>
      </c>
      <c r="L93" s="57">
        <f t="shared" si="2"/>
        <v>753</v>
      </c>
      <c r="M93" s="57">
        <f t="shared" si="2"/>
        <v>2363</v>
      </c>
      <c r="N93" s="57">
        <f t="shared" si="2"/>
        <v>192918</v>
      </c>
      <c r="O93" s="466">
        <f>AVERAGE(O82:O92)</f>
        <v>0.69201894295448363</v>
      </c>
      <c r="P93" s="446">
        <f>AVERAGE(P82:P92)</f>
        <v>439.18181818181819</v>
      </c>
      <c r="Q93" s="467">
        <f>AVERAGE(Q82:Q92)</f>
        <v>1814.7272727272727</v>
      </c>
    </row>
    <row r="94" spans="1:17" ht="17.25" thickTop="1" thickBot="1" x14ac:dyDescent="0.3">
      <c r="A94" s="134"/>
      <c r="B94" s="14"/>
      <c r="C94" s="63"/>
      <c r="D94" s="63"/>
      <c r="E94" s="384"/>
      <c r="F94" s="63"/>
      <c r="G94" s="63"/>
      <c r="H94" s="72"/>
      <c r="I94" s="72"/>
      <c r="J94" s="72"/>
      <c r="K94" s="72"/>
      <c r="L94" s="72"/>
      <c r="M94" s="72"/>
      <c r="N94" s="72"/>
      <c r="O94" s="384"/>
      <c r="P94" s="384"/>
      <c r="Q94" s="468"/>
    </row>
    <row r="95" spans="1:17" s="86" customFormat="1" ht="14.25" thickTop="1" thickBot="1" x14ac:dyDescent="0.25">
      <c r="A95" s="655" t="s">
        <v>1647</v>
      </c>
      <c r="B95" s="656"/>
      <c r="C95" s="329">
        <f t="shared" ref="C95:N95" si="3">SUM(C82:C92,C68:C79,C8:C57,C59:C65)</f>
        <v>36613</v>
      </c>
      <c r="D95" s="329">
        <f t="shared" si="3"/>
        <v>12900</v>
      </c>
      <c r="E95" s="329">
        <f t="shared" si="3"/>
        <v>92374</v>
      </c>
      <c r="F95" s="329">
        <f t="shared" si="3"/>
        <v>4230</v>
      </c>
      <c r="G95" s="329">
        <f t="shared" si="3"/>
        <v>12211</v>
      </c>
      <c r="H95" s="329">
        <f t="shared" si="3"/>
        <v>141887</v>
      </c>
      <c r="I95" s="329">
        <f t="shared" si="3"/>
        <v>425269</v>
      </c>
      <c r="J95" s="329">
        <f t="shared" si="3"/>
        <v>180719</v>
      </c>
      <c r="K95" s="329">
        <f t="shared" si="3"/>
        <v>2361679</v>
      </c>
      <c r="L95" s="329">
        <f t="shared" si="3"/>
        <v>37490</v>
      </c>
      <c r="M95" s="329">
        <f t="shared" si="3"/>
        <v>44426</v>
      </c>
      <c r="N95" s="329">
        <f t="shared" si="3"/>
        <v>2967667</v>
      </c>
      <c r="O95" s="416">
        <f>AVERAGE(O82:O92,O68:O79,O8:O57,O59:O65)</f>
        <v>0.31165000404040832</v>
      </c>
      <c r="P95" s="329">
        <f>SUM(P82:P92,P68:P79,P8:P57,P59:P65)</f>
        <v>107452</v>
      </c>
      <c r="Q95" s="329">
        <f>SUM(Q82:Q92,Q68:Q79,Q8:Q57,Q59:Q65)</f>
        <v>756875</v>
      </c>
    </row>
    <row r="96" spans="1:17" s="86" customFormat="1" ht="13.5" thickTop="1" x14ac:dyDescent="0.2">
      <c r="A96" s="244"/>
      <c r="B96" s="244" t="s">
        <v>1671</v>
      </c>
      <c r="C96" s="232" t="s">
        <v>1462</v>
      </c>
      <c r="D96" s="232" t="s">
        <v>1462</v>
      </c>
      <c r="E96" s="232" t="s">
        <v>1462</v>
      </c>
      <c r="F96" s="232" t="s">
        <v>1462</v>
      </c>
      <c r="G96" s="232" t="s">
        <v>1462</v>
      </c>
      <c r="H96" s="469" t="s">
        <v>1462</v>
      </c>
      <c r="I96" s="232" t="s">
        <v>1462</v>
      </c>
      <c r="J96" s="232" t="s">
        <v>1462</v>
      </c>
      <c r="K96" s="232" t="s">
        <v>1462</v>
      </c>
      <c r="L96" s="232" t="s">
        <v>1462</v>
      </c>
      <c r="M96" s="232" t="s">
        <v>1462</v>
      </c>
      <c r="N96" s="232" t="s">
        <v>1462</v>
      </c>
      <c r="O96" s="232" t="s">
        <v>1649</v>
      </c>
      <c r="P96" s="232" t="s">
        <v>1462</v>
      </c>
      <c r="Q96" s="232" t="s">
        <v>1462</v>
      </c>
    </row>
  </sheetData>
  <mergeCells count="10">
    <mergeCell ref="A67:B67"/>
    <mergeCell ref="A80:B80"/>
    <mergeCell ref="A93:B93"/>
    <mergeCell ref="A95:B95"/>
    <mergeCell ref="B4:B6"/>
    <mergeCell ref="C4:H4"/>
    <mergeCell ref="I4:N4"/>
    <mergeCell ref="P4:Q4"/>
    <mergeCell ref="P5:Q5"/>
    <mergeCell ref="A66:B6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97"/>
  <sheetViews>
    <sheetView topLeftCell="A58" workbookViewId="0">
      <selection activeCell="C83" sqref="C83:I93"/>
    </sheetView>
  </sheetViews>
  <sheetFormatPr defaultColWidth="8.85546875" defaultRowHeight="15" x14ac:dyDescent="0.25"/>
  <cols>
    <col min="1" max="1" width="7" customWidth="1"/>
    <col min="2" max="2" width="21.28515625" customWidth="1"/>
    <col min="3" max="3" width="12.28515625" style="470" customWidth="1"/>
    <col min="4" max="4" width="9.7109375" customWidth="1"/>
    <col min="5" max="5" width="10.28515625" customWidth="1"/>
    <col min="6" max="6" width="12" customWidth="1"/>
    <col min="7" max="7" width="15.140625" customWidth="1"/>
    <col min="8" max="8" width="10.42578125" style="495" customWidth="1"/>
    <col min="9" max="9" width="13" style="495" customWidth="1"/>
  </cols>
  <sheetData>
    <row r="1" spans="1:9" x14ac:dyDescent="0.25">
      <c r="A1" s="335"/>
      <c r="B1" s="335"/>
      <c r="D1" s="335"/>
      <c r="E1" s="335"/>
      <c r="F1" s="471"/>
      <c r="G1" s="471"/>
      <c r="H1" s="472"/>
      <c r="I1" s="11" t="s">
        <v>1758</v>
      </c>
    </row>
    <row r="2" spans="1:9" ht="15.75" x14ac:dyDescent="0.25">
      <c r="A2" s="171" t="s">
        <v>1681</v>
      </c>
      <c r="B2" s="473"/>
      <c r="D2" s="335"/>
      <c r="E2" s="335"/>
      <c r="F2" s="471"/>
      <c r="G2" s="471"/>
      <c r="H2" s="472"/>
      <c r="I2" s="18" t="s">
        <v>1759</v>
      </c>
    </row>
    <row r="3" spans="1:9" ht="15.75" thickBot="1" x14ac:dyDescent="0.3">
      <c r="A3" s="335"/>
      <c r="B3" s="335"/>
      <c r="C3" s="498"/>
      <c r="D3" s="335"/>
      <c r="E3" s="335"/>
      <c r="F3" s="471"/>
      <c r="G3" s="471"/>
      <c r="H3" s="472"/>
      <c r="I3" s="472"/>
    </row>
    <row r="4" spans="1:9" ht="15.75" thickTop="1" x14ac:dyDescent="0.25">
      <c r="A4" s="92"/>
      <c r="B4" s="496"/>
      <c r="C4" s="474"/>
      <c r="D4" s="663" t="s">
        <v>1682</v>
      </c>
      <c r="E4" s="664"/>
      <c r="F4" s="665"/>
      <c r="G4" s="430"/>
      <c r="H4" s="475"/>
      <c r="I4" s="476"/>
    </row>
    <row r="5" spans="1:9" x14ac:dyDescent="0.25">
      <c r="A5" s="95"/>
      <c r="B5" s="477"/>
      <c r="C5" s="497"/>
      <c r="D5" s="458"/>
      <c r="E5" s="456"/>
      <c r="F5" s="138" t="s">
        <v>1683</v>
      </c>
      <c r="G5" s="436" t="s">
        <v>1684</v>
      </c>
      <c r="H5" s="478" t="s">
        <v>1685</v>
      </c>
      <c r="I5" s="479"/>
    </row>
    <row r="6" spans="1:9" x14ac:dyDescent="0.25">
      <c r="A6" s="95"/>
      <c r="B6" s="477"/>
      <c r="C6" s="438" t="s">
        <v>1686</v>
      </c>
      <c r="D6" s="480" t="s">
        <v>1474</v>
      </c>
      <c r="E6" s="436"/>
      <c r="F6" s="181">
        <v>5000</v>
      </c>
      <c r="G6" s="436" t="s">
        <v>1687</v>
      </c>
      <c r="H6" s="481" t="s">
        <v>1688</v>
      </c>
      <c r="I6" s="479" t="s">
        <v>1689</v>
      </c>
    </row>
    <row r="7" spans="1:9" ht="15.75" thickBot="1" x14ac:dyDescent="0.3">
      <c r="A7" s="99"/>
      <c r="B7" s="482"/>
      <c r="C7" s="438" t="s">
        <v>1690</v>
      </c>
      <c r="D7" s="462" t="s">
        <v>1691</v>
      </c>
      <c r="E7" s="439" t="s">
        <v>1692</v>
      </c>
      <c r="F7" s="142" t="s">
        <v>1470</v>
      </c>
      <c r="G7" s="439" t="s">
        <v>1666</v>
      </c>
      <c r="H7" s="483" t="s">
        <v>1693</v>
      </c>
      <c r="I7" s="484" t="s">
        <v>1659</v>
      </c>
    </row>
    <row r="8" spans="1:9" ht="16.5" thickTop="1" thickBot="1" x14ac:dyDescent="0.3">
      <c r="A8" s="30"/>
      <c r="B8" s="45" t="s">
        <v>1452</v>
      </c>
      <c r="C8" s="33"/>
      <c r="D8" s="33"/>
      <c r="E8" s="33"/>
      <c r="F8" s="33"/>
      <c r="G8" s="33"/>
      <c r="H8" s="33"/>
      <c r="I8" s="35"/>
    </row>
    <row r="9" spans="1:9" ht="15.75" thickTop="1" x14ac:dyDescent="0.25">
      <c r="A9" s="36" t="str">
        <f>'[2]Table 11'!A8</f>
        <v>NC0103</v>
      </c>
      <c r="B9" s="499" t="str">
        <f>'[2]Table 11'!B8</f>
        <v>Alamance</v>
      </c>
      <c r="C9" s="500">
        <f>VLOOKUP($A9,[0]!Data,242,FALSE)</f>
        <v>1671</v>
      </c>
      <c r="D9" s="322">
        <f>VLOOKUP($A9,[0]!Data,308,FALSE)</f>
        <v>55</v>
      </c>
      <c r="E9" s="322">
        <f>VLOOKUP($A9,[0]!Data,309,FALSE)</f>
        <v>93</v>
      </c>
      <c r="F9" s="452">
        <f>E9/('Table 1'!D8/5000)</f>
        <v>2.9235354030706553</v>
      </c>
      <c r="G9" s="322">
        <f>VLOOKUP($A9,[0]!Data,310,FALSE)</f>
        <v>103008</v>
      </c>
      <c r="H9" s="322">
        <f>VLOOKUP($A9,[0]!Data,313,FALSE)</f>
        <v>0</v>
      </c>
      <c r="I9" s="332">
        <f>VLOOKUP($A9,[0]!Data,312,FALSE)</f>
        <v>305693</v>
      </c>
    </row>
    <row r="10" spans="1:9" x14ac:dyDescent="0.25">
      <c r="A10" s="36" t="str">
        <f>'[2]Table 11'!A9</f>
        <v>NC0016</v>
      </c>
      <c r="B10" s="37" t="str">
        <f>'[2]Table 11'!B9</f>
        <v>Alexander</v>
      </c>
      <c r="C10" s="390">
        <f>VLOOKUP($A10,[0]!Data,242,FALSE)</f>
        <v>22</v>
      </c>
      <c r="D10" s="322">
        <f>VLOOKUP($A10,[0]!Data,308,FALSE)</f>
        <v>12</v>
      </c>
      <c r="E10" s="322">
        <f>VLOOKUP($A10,[0]!Data,309,FALSE)</f>
        <v>13</v>
      </c>
      <c r="F10" s="452">
        <f>E10/('Table 1'!D9/5000)</f>
        <v>1.6978372165917879</v>
      </c>
      <c r="G10" s="322">
        <f>VLOOKUP($A10,[0]!Data,310,FALSE)</f>
        <v>12359</v>
      </c>
      <c r="H10" s="322">
        <f>VLOOKUP($A10,[0]!Data,313,FALSE)</f>
        <v>0</v>
      </c>
      <c r="I10" s="324">
        <f>VLOOKUP($A10,[0]!Data,314,FALSE)</f>
        <v>0</v>
      </c>
    </row>
    <row r="11" spans="1:9" x14ac:dyDescent="0.25">
      <c r="A11" s="36" t="str">
        <f>'[2]Table 11'!A10</f>
        <v>NC0017</v>
      </c>
      <c r="B11" s="37" t="str">
        <f>'[2]Table 11'!B10</f>
        <v>Bladen</v>
      </c>
      <c r="C11" s="390">
        <f>VLOOKUP($A11,[0]!Data,242,FALSE)</f>
        <v>-1</v>
      </c>
      <c r="D11" s="322">
        <f>VLOOKUP($A11,[0]!Data,308,FALSE)</f>
        <v>14</v>
      </c>
      <c r="E11" s="322">
        <f>VLOOKUP($A11,[0]!Data,309,FALSE)</f>
        <v>14</v>
      </c>
      <c r="F11" s="452">
        <f>E11/('Table 1'!D10/5000)</f>
        <v>2.0192113537369836</v>
      </c>
      <c r="G11" s="322">
        <f>VLOOKUP($A11,[0]!Data,310,FALSE)</f>
        <v>9017</v>
      </c>
      <c r="H11" s="322">
        <f>VLOOKUP($A11,[0]!Data,313,FALSE)</f>
        <v>0</v>
      </c>
      <c r="I11" s="324">
        <f>VLOOKUP($A11,[0]!Data,314,FALSE)</f>
        <v>0</v>
      </c>
    </row>
    <row r="12" spans="1:9" x14ac:dyDescent="0.25">
      <c r="A12" s="36" t="str">
        <f>'[2]Table 11'!A11</f>
        <v>NC0018</v>
      </c>
      <c r="B12" s="37" t="str">
        <f>'[2]Table 11'!B11</f>
        <v>Brunswick</v>
      </c>
      <c r="C12" s="390">
        <f>VLOOKUP($A12,[0]!Data,242,FALSE)</f>
        <v>-1</v>
      </c>
      <c r="D12" s="322">
        <f>VLOOKUP($A12,[0]!Data,308,FALSE)</f>
        <v>16</v>
      </c>
      <c r="E12" s="322">
        <f>VLOOKUP($A12,[0]!Data,309,FALSE)</f>
        <v>65</v>
      </c>
      <c r="F12" s="452">
        <f>E12/('Table 1'!D11/5000)</f>
        <v>2.5440313111545989</v>
      </c>
      <c r="G12" s="322">
        <f>VLOOKUP($A12,[0]!Data,310,FALSE)</f>
        <v>85650</v>
      </c>
      <c r="H12" s="322">
        <f>VLOOKUP($A12,[0]!Data,313,FALSE)</f>
        <v>12792</v>
      </c>
      <c r="I12" s="324">
        <f>VLOOKUP($A12,[0]!Data,314,FALSE)</f>
        <v>0</v>
      </c>
    </row>
    <row r="13" spans="1:9" x14ac:dyDescent="0.25">
      <c r="A13" s="36" t="str">
        <f>'[2]Table 11'!A12</f>
        <v>NC0019</v>
      </c>
      <c r="B13" s="37" t="str">
        <f>'[2]Table 11'!B12</f>
        <v>Buncombe</v>
      </c>
      <c r="C13" s="390">
        <f>VLOOKUP($A13,[0]!Data,242,FALSE)</f>
        <v>1487</v>
      </c>
      <c r="D13" s="322">
        <f>VLOOKUP($A13,[0]!Data,308,FALSE)</f>
        <v>82</v>
      </c>
      <c r="E13" s="322">
        <f>VLOOKUP($A13,[0]!Data,309,FALSE)</f>
        <v>162</v>
      </c>
      <c r="F13" s="452">
        <f>E13/('Table 1'!D12/5000)</f>
        <v>3.1346021377212607</v>
      </c>
      <c r="G13" s="322">
        <f>VLOOKUP($A13,[0]!Data,310,FALSE)</f>
        <v>120401</v>
      </c>
      <c r="H13" s="322">
        <f>VLOOKUP($A13,[0]!Data,313,FALSE)</f>
        <v>0</v>
      </c>
      <c r="I13" s="324">
        <f>VLOOKUP($A13,[0]!Data,314,FALSE)</f>
        <v>0</v>
      </c>
    </row>
    <row r="14" spans="1:9" x14ac:dyDescent="0.25">
      <c r="A14" s="36" t="str">
        <f>'[2]Table 11'!A13</f>
        <v>NC0020</v>
      </c>
      <c r="B14" s="37" t="str">
        <f>'[2]Table 11'!B13</f>
        <v>Burke</v>
      </c>
      <c r="C14" s="390">
        <f>VLOOKUP($A14,[0]!Data,242,FALSE)</f>
        <v>0</v>
      </c>
      <c r="D14" s="322">
        <f>VLOOKUP($A14,[0]!Data,308,FALSE)</f>
        <v>35</v>
      </c>
      <c r="E14" s="322">
        <f>VLOOKUP($A14,[0]!Data,309,FALSE)</f>
        <v>37</v>
      </c>
      <c r="F14" s="452">
        <f>E14/('Table 1'!D13/5000)</f>
        <v>2.061350240119447</v>
      </c>
      <c r="G14" s="322">
        <f>VLOOKUP($A14,[0]!Data,310,FALSE)</f>
        <v>30170</v>
      </c>
      <c r="H14" s="322">
        <f>VLOOKUP($A14,[0]!Data,313,FALSE)</f>
        <v>0</v>
      </c>
      <c r="I14" s="324">
        <f>VLOOKUP($A14,[0]!Data,314,FALSE)</f>
        <v>0</v>
      </c>
    </row>
    <row r="15" spans="1:9" x14ac:dyDescent="0.25">
      <c r="A15" s="36" t="str">
        <f>'[2]Table 11'!A14</f>
        <v>NC0021</v>
      </c>
      <c r="B15" s="37" t="str">
        <f>'[2]Table 11'!B14</f>
        <v>Cabarrus</v>
      </c>
      <c r="C15" s="390">
        <f>VLOOKUP($A15,[0]!Data,242,FALSE)</f>
        <v>0</v>
      </c>
      <c r="D15" s="322">
        <f>VLOOKUP($A15,[0]!Data,308,FALSE)</f>
        <v>54</v>
      </c>
      <c r="E15" s="322">
        <f>VLOOKUP($A15,[0]!Data,309,FALSE)</f>
        <v>62</v>
      </c>
      <c r="F15" s="452">
        <f>E15/('Table 1'!D14/5000)</f>
        <v>1.5448787270199291</v>
      </c>
      <c r="G15" s="322">
        <f>VLOOKUP($A15,[0]!Data,310,FALSE)</f>
        <v>65333</v>
      </c>
      <c r="H15" s="322">
        <f>VLOOKUP($A15,[0]!Data,313,FALSE)</f>
        <v>0</v>
      </c>
      <c r="I15" s="324">
        <f>VLOOKUP($A15,[0]!Data,314,FALSE)</f>
        <v>0</v>
      </c>
    </row>
    <row r="16" spans="1:9" x14ac:dyDescent="0.25">
      <c r="A16" s="36" t="str">
        <f>'[2]Table 11'!A15</f>
        <v>NC0022</v>
      </c>
      <c r="B16" s="37" t="str">
        <f>'[2]Table 11'!B15</f>
        <v>Caldwell</v>
      </c>
      <c r="C16" s="390">
        <f>VLOOKUP($A16,[0]!Data,242,FALSE)</f>
        <v>0</v>
      </c>
      <c r="D16" s="322">
        <f>VLOOKUP($A16,[0]!Data,308,FALSE)</f>
        <v>33</v>
      </c>
      <c r="E16" s="322">
        <f>VLOOKUP($A16,[0]!Data,309,FALSE)</f>
        <v>43</v>
      </c>
      <c r="F16" s="452">
        <f>E16/('Table 1'!D15/5000)</f>
        <v>2.5974967380273521</v>
      </c>
      <c r="G16" s="322">
        <f>VLOOKUP($A16,[0]!Data,310,FALSE)</f>
        <v>43223</v>
      </c>
      <c r="H16" s="322">
        <f>VLOOKUP($A16,[0]!Data,313,FALSE)</f>
        <v>0</v>
      </c>
      <c r="I16" s="324">
        <f>VLOOKUP($A16,[0]!Data,314,FALSE)</f>
        <v>0</v>
      </c>
    </row>
    <row r="17" spans="1:9" x14ac:dyDescent="0.25">
      <c r="A17" s="36" t="str">
        <f>'[2]Table 11'!A16</f>
        <v>NC0107</v>
      </c>
      <c r="B17" s="37" t="str">
        <f>'[2]Table 11'!B16</f>
        <v>Caswell</v>
      </c>
      <c r="C17" s="390">
        <f>VLOOKUP($A17,[0]!Data,242,FALSE)</f>
        <v>1238</v>
      </c>
      <c r="D17" s="322">
        <f>VLOOKUP($A17,[0]!Data,308,FALSE)</f>
        <v>9</v>
      </c>
      <c r="E17" s="322">
        <f>VLOOKUP($A17,[0]!Data,309,FALSE)</f>
        <v>32</v>
      </c>
      <c r="F17" s="452">
        <f>E17/('Table 1'!D16/5000)</f>
        <v>6.7541897083034321</v>
      </c>
      <c r="G17" s="322">
        <f>VLOOKUP($A17,[0]!Data,310,FALSE)</f>
        <v>12774</v>
      </c>
      <c r="H17" s="322">
        <f>VLOOKUP($A17,[0]!Data,313,FALSE)</f>
        <v>1016</v>
      </c>
      <c r="I17" s="324">
        <f>VLOOKUP($A17,[0]!Data,314,FALSE)</f>
        <v>0</v>
      </c>
    </row>
    <row r="18" spans="1:9" x14ac:dyDescent="0.25">
      <c r="A18" s="36" t="str">
        <f>'[2]Table 11'!A17</f>
        <v>NC0023</v>
      </c>
      <c r="B18" s="37" t="str">
        <f>'[2]Table 11'!B17</f>
        <v>Catawba</v>
      </c>
      <c r="C18" s="390">
        <f>VLOOKUP($A18,[0]!Data,242,FALSE)</f>
        <v>7</v>
      </c>
      <c r="D18" s="322">
        <f>VLOOKUP($A18,[0]!Data,308,FALSE)</f>
        <v>60</v>
      </c>
      <c r="E18" s="322">
        <f>VLOOKUP($A18,[0]!Data,309,FALSE)</f>
        <v>127</v>
      </c>
      <c r="F18" s="452">
        <f>E18/('Table 1'!D17/5000)</f>
        <v>5.4690460605643025</v>
      </c>
      <c r="G18" s="322">
        <f>VLOOKUP($A18,[0]!Data,310,FALSE)</f>
        <v>91049</v>
      </c>
      <c r="H18" s="322">
        <f>VLOOKUP($A18,[0]!Data,313,FALSE)</f>
        <v>0</v>
      </c>
      <c r="I18" s="324">
        <f>VLOOKUP($A18,[0]!Data,314,FALSE)</f>
        <v>0</v>
      </c>
    </row>
    <row r="19" spans="1:9" x14ac:dyDescent="0.25">
      <c r="A19" s="36" t="str">
        <f>'[2]Table 11'!A18</f>
        <v>NC0104</v>
      </c>
      <c r="B19" s="37" t="str">
        <f>'[2]Table 11'!B18</f>
        <v>Chatham</v>
      </c>
      <c r="C19" s="390">
        <f>VLOOKUP($A19,[0]!Data,242,FALSE)</f>
        <v>11</v>
      </c>
      <c r="D19" s="322">
        <f>VLOOKUP($A19,[0]!Data,308,FALSE)</f>
        <v>24</v>
      </c>
      <c r="E19" s="322">
        <f>VLOOKUP($A19,[0]!Data,309,FALSE)</f>
        <v>57</v>
      </c>
      <c r="F19" s="452">
        <f>E19/('Table 1'!D18/5000)</f>
        <v>3.8888737275878067</v>
      </c>
      <c r="G19" s="322">
        <f>VLOOKUP($A19,[0]!Data,310,FALSE)</f>
        <v>30276</v>
      </c>
      <c r="H19" s="322">
        <f>VLOOKUP($A19,[0]!Data,313,FALSE)</f>
        <v>0</v>
      </c>
      <c r="I19" s="324">
        <f>VLOOKUP($A19,[0]!Data,314,FALSE)</f>
        <v>0</v>
      </c>
    </row>
    <row r="20" spans="1:9" x14ac:dyDescent="0.25">
      <c r="A20" s="36" t="str">
        <f>'[2]Table 11'!A19</f>
        <v>NC0024</v>
      </c>
      <c r="B20" s="37" t="str">
        <f>'[2]Table 11'!B19</f>
        <v>Cleveland</v>
      </c>
      <c r="C20" s="390">
        <f>VLOOKUP($A20,[0]!Data,242,FALSE)</f>
        <v>-1</v>
      </c>
      <c r="D20" s="322">
        <f>VLOOKUP($A20,[0]!Data,308,FALSE)</f>
        <v>23</v>
      </c>
      <c r="E20" s="322">
        <f>VLOOKUP($A20,[0]!Data,309,FALSE)</f>
        <v>33</v>
      </c>
      <c r="F20" s="452">
        <f>E20/('Table 1'!D19/5000)</f>
        <v>1.8622814640918275</v>
      </c>
      <c r="G20" s="322">
        <f>VLOOKUP($A20,[0]!Data,310,FALSE)</f>
        <v>28580</v>
      </c>
      <c r="H20" s="322">
        <f>VLOOKUP($A20,[0]!Data,313,FALSE)</f>
        <v>0</v>
      </c>
      <c r="I20" s="324">
        <f>VLOOKUP($A20,[0]!Data,314,FALSE)</f>
        <v>0</v>
      </c>
    </row>
    <row r="21" spans="1:9" x14ac:dyDescent="0.25">
      <c r="A21" s="36" t="str">
        <f>'[2]Table 11'!A20</f>
        <v>NC0025</v>
      </c>
      <c r="B21" s="37" t="str">
        <f>'[2]Table 11'!B20</f>
        <v>Columbus</v>
      </c>
      <c r="C21" s="390">
        <f>VLOOKUP($A21,[0]!Data,242,FALSE)</f>
        <v>0</v>
      </c>
      <c r="D21" s="322">
        <f>VLOOKUP($A21,[0]!Data,308,FALSE)</f>
        <v>47</v>
      </c>
      <c r="E21" s="322">
        <f>VLOOKUP($A21,[0]!Data,309,FALSE)</f>
        <v>92</v>
      </c>
      <c r="F21" s="452">
        <f>E21/('Table 1'!D20/5000)</f>
        <v>8.0444895246755959</v>
      </c>
      <c r="G21" s="322">
        <f>VLOOKUP($A21,[0]!Data,310,FALSE)</f>
        <v>53287</v>
      </c>
      <c r="H21" s="322">
        <f>VLOOKUP($A21,[0]!Data,313,FALSE)</f>
        <v>13380</v>
      </c>
      <c r="I21" s="324">
        <f>VLOOKUP($A21,[0]!Data,314,FALSE)</f>
        <v>0</v>
      </c>
    </row>
    <row r="22" spans="1:9" x14ac:dyDescent="0.25">
      <c r="A22" s="36" t="str">
        <f>'[2]Table 11'!A21</f>
        <v>NC0026</v>
      </c>
      <c r="B22" s="37" t="str">
        <f>'[2]Table 11'!B21</f>
        <v>Cumberland</v>
      </c>
      <c r="C22" s="390">
        <f>VLOOKUP($A22,[0]!Data,242,FALSE)</f>
        <v>22116</v>
      </c>
      <c r="D22" s="322">
        <f>VLOOKUP($A22,[0]!Data,308,FALSE)</f>
        <v>227</v>
      </c>
      <c r="E22" s="322">
        <f>VLOOKUP($A22,[0]!Data,309,FALSE)</f>
        <v>427</v>
      </c>
      <c r="F22" s="452">
        <f>E22/('Table 1'!D21/5000)</f>
        <v>6.4731493159988363</v>
      </c>
      <c r="G22" s="322">
        <f>VLOOKUP($A22,[0]!Data,310,FALSE)</f>
        <v>350665</v>
      </c>
      <c r="H22" s="322">
        <f>VLOOKUP($A22,[0]!Data,313,FALSE)</f>
        <v>608189</v>
      </c>
      <c r="I22" s="324">
        <f>VLOOKUP($A22,[0]!Data,314,FALSE)</f>
        <v>0</v>
      </c>
    </row>
    <row r="23" spans="1:9" x14ac:dyDescent="0.25">
      <c r="A23" s="36" t="str">
        <f>'[2]Table 11'!A22</f>
        <v>NC0027</v>
      </c>
      <c r="B23" s="37" t="str">
        <f>'[2]Table 11'!B22</f>
        <v>Davidson</v>
      </c>
      <c r="C23" s="390">
        <f>VLOOKUP($A23,[0]!Data,242,FALSE)</f>
        <v>4908</v>
      </c>
      <c r="D23" s="322">
        <f>VLOOKUP($A23,[0]!Data,308,FALSE)</f>
        <v>73</v>
      </c>
      <c r="E23" s="322">
        <f>VLOOKUP($A23,[0]!Data,309,FALSE)</f>
        <v>126</v>
      </c>
      <c r="F23" s="452">
        <f>E23/('Table 1'!D22/5000)</f>
        <v>3.9343525179856118</v>
      </c>
      <c r="G23" s="322">
        <f>VLOOKUP($A23,[0]!Data,310,FALSE)</f>
        <v>72101</v>
      </c>
      <c r="H23" s="322">
        <f>VLOOKUP($A23,[0]!Data,313,FALSE)</f>
        <v>0</v>
      </c>
      <c r="I23" s="324">
        <f>VLOOKUP($A23,[0]!Data,314,FALSE)</f>
        <v>0</v>
      </c>
    </row>
    <row r="24" spans="1:9" x14ac:dyDescent="0.25">
      <c r="A24" s="36" t="str">
        <f>'[2]Table 11'!A23</f>
        <v>NC0028</v>
      </c>
      <c r="B24" s="37" t="str">
        <f>'[2]Table 11'!B23</f>
        <v>Davie</v>
      </c>
      <c r="C24" s="390">
        <f>VLOOKUP($A24,[0]!Data,242,FALSE)</f>
        <v>557</v>
      </c>
      <c r="D24" s="322">
        <f>VLOOKUP($A24,[0]!Data,308,FALSE)</f>
        <v>15</v>
      </c>
      <c r="E24" s="322">
        <f>VLOOKUP($A24,[0]!Data,309,FALSE)</f>
        <v>37</v>
      </c>
      <c r="F24" s="452">
        <f>E24/('Table 1'!D23/5000)</f>
        <v>4.3827438345454981</v>
      </c>
      <c r="G24" s="322">
        <f>VLOOKUP($A24,[0]!Data,310,FALSE)</f>
        <v>11146</v>
      </c>
      <c r="H24" s="322">
        <f>VLOOKUP($A24,[0]!Data,313,FALSE)</f>
        <v>4153</v>
      </c>
      <c r="I24" s="324">
        <f>VLOOKUP($A24,[0]!Data,314,FALSE)</f>
        <v>0</v>
      </c>
    </row>
    <row r="25" spans="1:9" x14ac:dyDescent="0.25">
      <c r="A25" s="36" t="str">
        <f>'[2]Table 11'!A24</f>
        <v>NC0029</v>
      </c>
      <c r="B25" s="37" t="str">
        <f>'[2]Table 11'!B24</f>
        <v>Duplin</v>
      </c>
      <c r="C25" s="390">
        <f>VLOOKUP($A25,[0]!Data,242,FALSE)</f>
        <v>-1</v>
      </c>
      <c r="D25" s="322">
        <f>VLOOKUP($A25,[0]!Data,308,FALSE)</f>
        <v>13</v>
      </c>
      <c r="E25" s="322">
        <f>VLOOKUP($A25,[0]!Data,309,FALSE)</f>
        <v>42</v>
      </c>
      <c r="F25" s="452">
        <f>E25/('Table 1'!D24/5000)</f>
        <v>3.5236672986895314</v>
      </c>
      <c r="G25" s="322">
        <f>VLOOKUP($A25,[0]!Data,310,FALSE)</f>
        <v>8560</v>
      </c>
      <c r="H25" s="322">
        <f>VLOOKUP($A25,[0]!Data,313,FALSE)</f>
        <v>0</v>
      </c>
      <c r="I25" s="324">
        <f>VLOOKUP($A25,[0]!Data,314,FALSE)</f>
        <v>0</v>
      </c>
    </row>
    <row r="26" spans="1:9" x14ac:dyDescent="0.25">
      <c r="A26" s="36" t="str">
        <f>'[2]Table 11'!A25</f>
        <v>NC0030</v>
      </c>
      <c r="B26" s="37" t="str">
        <f>'[2]Table 11'!B25</f>
        <v>Durham</v>
      </c>
      <c r="C26" s="390">
        <f>VLOOKUP($A26,[0]!Data,242,FALSE)</f>
        <v>0</v>
      </c>
      <c r="D26" s="322">
        <f>VLOOKUP($A26,[0]!Data,308,FALSE)</f>
        <v>159</v>
      </c>
      <c r="E26" s="322">
        <f>VLOOKUP($A26,[0]!Data,309,FALSE)</f>
        <v>236</v>
      </c>
      <c r="F26" s="452">
        <f>E26/('Table 1'!D25/5000)</f>
        <v>3.9549537471510927</v>
      </c>
      <c r="G26" s="322">
        <f>VLOOKUP($A26,[0]!Data,310,FALSE)</f>
        <v>320315</v>
      </c>
      <c r="H26" s="322">
        <f>VLOOKUP($A26,[0]!Data,313,FALSE)</f>
        <v>0</v>
      </c>
      <c r="I26" s="324">
        <f>VLOOKUP($A26,[0]!Data,314,FALSE)</f>
        <v>0</v>
      </c>
    </row>
    <row r="27" spans="1:9" x14ac:dyDescent="0.25">
      <c r="A27" s="36" t="str">
        <f>'[2]Table 11'!A26</f>
        <v>NC0031</v>
      </c>
      <c r="B27" s="37" t="str">
        <f>'[2]Table 11'!B26</f>
        <v>Edgecombe</v>
      </c>
      <c r="C27" s="390">
        <f>VLOOKUP($A27,[0]!Data,242,FALSE)</f>
        <v>123</v>
      </c>
      <c r="D27" s="322">
        <f>VLOOKUP($A27,[0]!Data,308,FALSE)</f>
        <v>18</v>
      </c>
      <c r="E27" s="322">
        <f>VLOOKUP($A27,[0]!Data,309,FALSE)</f>
        <v>34</v>
      </c>
      <c r="F27" s="452">
        <f>E27/('Table 1'!D26/5000)</f>
        <v>3.177451310231393</v>
      </c>
      <c r="G27" s="322">
        <f>VLOOKUP($A27,[0]!Data,310,FALSE)</f>
        <v>32121</v>
      </c>
      <c r="H27" s="322">
        <f>VLOOKUP($A27,[0]!Data,313,FALSE)</f>
        <v>19504</v>
      </c>
      <c r="I27" s="324">
        <f>VLOOKUP($A27,[0]!Data,314,FALSE)</f>
        <v>0</v>
      </c>
    </row>
    <row r="28" spans="1:9" x14ac:dyDescent="0.25">
      <c r="A28" s="36" t="str">
        <f>'[2]Table 11'!A27</f>
        <v>NC0032</v>
      </c>
      <c r="B28" s="37" t="str">
        <f>'[2]Table 11'!B27</f>
        <v>Forsyth</v>
      </c>
      <c r="C28" s="390">
        <f>VLOOKUP($A28,[0]!Data,242,FALSE)</f>
        <v>901</v>
      </c>
      <c r="D28" s="322">
        <f>VLOOKUP($A28,[0]!Data,308,FALSE)</f>
        <v>113</v>
      </c>
      <c r="E28" s="322">
        <f>VLOOKUP($A28,[0]!Data,309,FALSE)</f>
        <v>140</v>
      </c>
      <c r="F28" s="452">
        <f>E28/('Table 1'!D27/5000)</f>
        <v>1.8964382181066504</v>
      </c>
      <c r="G28" s="322">
        <f>VLOOKUP($A28,[0]!Data,310,FALSE)</f>
        <v>282920</v>
      </c>
      <c r="H28" s="322">
        <f>VLOOKUP($A28,[0]!Data,313,FALSE)</f>
        <v>0</v>
      </c>
      <c r="I28" s="324">
        <f>VLOOKUP($A28,[0]!Data,314,FALSE)</f>
        <v>0</v>
      </c>
    </row>
    <row r="29" spans="1:9" x14ac:dyDescent="0.25">
      <c r="A29" s="36" t="str">
        <f>'[2]Table 11'!A28</f>
        <v>NC0033</v>
      </c>
      <c r="B29" s="37" t="str">
        <f>'[2]Table 11'!B28</f>
        <v>Franklin</v>
      </c>
      <c r="C29" s="390">
        <f>VLOOKUP($A29,[0]!Data,242,FALSE)</f>
        <v>0</v>
      </c>
      <c r="D29" s="322">
        <f>VLOOKUP($A29,[0]!Data,308,FALSE)</f>
        <v>19</v>
      </c>
      <c r="E29" s="322">
        <f>VLOOKUP($A29,[0]!Data,309,FALSE)</f>
        <v>35</v>
      </c>
      <c r="F29" s="452">
        <f>E29/('Table 1'!D28/5000)</f>
        <v>2.6740010696004277</v>
      </c>
      <c r="G29" s="322">
        <f>VLOOKUP($A29,[0]!Data,310,FALSE)</f>
        <v>27283</v>
      </c>
      <c r="H29" s="322">
        <f>VLOOKUP($A29,[0]!Data,313,FALSE)</f>
        <v>3137</v>
      </c>
      <c r="I29" s="324">
        <f>VLOOKUP($A29,[0]!Data,314,FALSE)</f>
        <v>0</v>
      </c>
    </row>
    <row r="30" spans="1:9" x14ac:dyDescent="0.25">
      <c r="A30" s="36" t="str">
        <f>'[2]Table 11'!A29</f>
        <v>NC0105</v>
      </c>
      <c r="B30" s="37" t="str">
        <f>'[2]Table 11'!B29</f>
        <v>Gaston</v>
      </c>
      <c r="C30" s="390">
        <f>VLOOKUP($A30,[0]!Data,242,FALSE)</f>
        <v>188</v>
      </c>
      <c r="D30" s="322">
        <f>VLOOKUP($A30,[0]!Data,308,FALSE)</f>
        <v>62</v>
      </c>
      <c r="E30" s="322">
        <f>VLOOKUP($A30,[0]!Data,309,FALSE)</f>
        <v>77</v>
      </c>
      <c r="F30" s="452">
        <f>E30/('Table 1'!D29/5000)</f>
        <v>1.7956000802190166</v>
      </c>
      <c r="G30" s="322">
        <f>VLOOKUP($A30,[0]!Data,310,FALSE)</f>
        <v>111582</v>
      </c>
      <c r="H30" s="322">
        <f>VLOOKUP($A30,[0]!Data,313,FALSE)</f>
        <v>94800</v>
      </c>
      <c r="I30" s="324">
        <f>VLOOKUP($A30,[0]!Data,314,FALSE)</f>
        <v>0</v>
      </c>
    </row>
    <row r="31" spans="1:9" x14ac:dyDescent="0.25">
      <c r="A31" s="36" t="str">
        <f>'[2]Table 11'!A30</f>
        <v>NC0034</v>
      </c>
      <c r="B31" s="37" t="str">
        <f>'[2]Table 11'!B30</f>
        <v>Granville</v>
      </c>
      <c r="C31" s="390">
        <f>VLOOKUP($A31,[0]!Data,242,FALSE)</f>
        <v>0</v>
      </c>
      <c r="D31" s="322">
        <f>VLOOKUP($A31,[0]!Data,308,FALSE)</f>
        <v>22</v>
      </c>
      <c r="E31" s="322">
        <f>VLOOKUP($A31,[0]!Data,309,FALSE)</f>
        <v>46</v>
      </c>
      <c r="F31" s="452">
        <f>E31/('Table 1'!D30/5000)</f>
        <v>3.869903925428634</v>
      </c>
      <c r="G31" s="322">
        <f>VLOOKUP($A31,[0]!Data,310,FALSE)</f>
        <v>54850</v>
      </c>
      <c r="H31" s="322">
        <f>VLOOKUP($A31,[0]!Data,313,FALSE)</f>
        <v>0</v>
      </c>
      <c r="I31" s="324">
        <f>VLOOKUP($A31,[0]!Data,314,FALSE)</f>
        <v>0</v>
      </c>
    </row>
    <row r="32" spans="1:9" x14ac:dyDescent="0.25">
      <c r="A32" s="36" t="str">
        <f>'[2]Table 11'!A31</f>
        <v>NC0035</v>
      </c>
      <c r="B32" s="37" t="str">
        <f>'[2]Table 11'!B31</f>
        <v>Guilford (Greensboro)</v>
      </c>
      <c r="C32" s="390">
        <f>VLOOKUP($A32,[0]!Data,242,FALSE)</f>
        <v>4309</v>
      </c>
      <c r="D32" s="322">
        <f>VLOOKUP($A32,[0]!Data,308,FALSE)</f>
        <v>113</v>
      </c>
      <c r="E32" s="322">
        <f>VLOOKUP($A32,[0]!Data,309,FALSE)</f>
        <v>293</v>
      </c>
      <c r="F32" s="452">
        <f>E32/('Table 1'!D31/5000)</f>
        <v>3.5213298849138055</v>
      </c>
      <c r="G32" s="322">
        <f>VLOOKUP($A32,[0]!Data,310,FALSE)</f>
        <v>395623</v>
      </c>
      <c r="H32" s="322">
        <f>VLOOKUP($A32,[0]!Data,313,FALSE)</f>
        <v>0</v>
      </c>
      <c r="I32" s="324">
        <f>VLOOKUP($A32,[0]!Data,314,FALSE)</f>
        <v>0</v>
      </c>
    </row>
    <row r="33" spans="1:9" x14ac:dyDescent="0.25">
      <c r="A33" s="36" t="str">
        <f>'[2]Table 11'!A32</f>
        <v>NC0036</v>
      </c>
      <c r="B33" s="37" t="str">
        <f>'[2]Table 11'!B32</f>
        <v>Halifax</v>
      </c>
      <c r="C33" s="390">
        <f>VLOOKUP($A33,[0]!Data,242,FALSE)</f>
        <v>0</v>
      </c>
      <c r="D33" s="322">
        <f>VLOOKUP($A33,[0]!Data,308,FALSE)</f>
        <v>15</v>
      </c>
      <c r="E33" s="322">
        <f>VLOOKUP($A33,[0]!Data,309,FALSE)</f>
        <v>59</v>
      </c>
      <c r="F33" s="452">
        <f>E33/('Table 1'!D32/5000)</f>
        <v>7.9602795542243445</v>
      </c>
      <c r="G33" s="322">
        <f>VLOOKUP($A33,[0]!Data,310,FALSE)</f>
        <v>37500</v>
      </c>
      <c r="H33" s="322">
        <f>VLOOKUP($A33,[0]!Data,313,FALSE)</f>
        <v>24168</v>
      </c>
      <c r="I33" s="324">
        <f>VLOOKUP($A33,[0]!Data,314,FALSE)</f>
        <v>0</v>
      </c>
    </row>
    <row r="34" spans="1:9" x14ac:dyDescent="0.25">
      <c r="A34" s="36" t="str">
        <f>'[2]Table 11'!A33</f>
        <v>NC0037</v>
      </c>
      <c r="B34" s="37" t="str">
        <f>'[2]Table 11'!B33</f>
        <v>Harnett</v>
      </c>
      <c r="C34" s="390">
        <f>VLOOKUP($A34,[0]!Data,242,FALSE)</f>
        <v>944</v>
      </c>
      <c r="D34" s="322">
        <f>VLOOKUP($A34,[0]!Data,308,FALSE)</f>
        <v>29</v>
      </c>
      <c r="E34" s="322">
        <f>VLOOKUP($A34,[0]!Data,309,FALSE)</f>
        <v>99</v>
      </c>
      <c r="F34" s="452">
        <f>E34/('Table 1'!D33/5000)</f>
        <v>3.8436750192183751</v>
      </c>
      <c r="G34" s="322">
        <f>VLOOKUP($A34,[0]!Data,310,FALSE)</f>
        <v>33242</v>
      </c>
      <c r="H34" s="322">
        <f>VLOOKUP($A34,[0]!Data,313,FALSE)</f>
        <v>0</v>
      </c>
      <c r="I34" s="324">
        <f>VLOOKUP($A34,[0]!Data,314,FALSE)</f>
        <v>0</v>
      </c>
    </row>
    <row r="35" spans="1:9" x14ac:dyDescent="0.25">
      <c r="A35" s="36" t="str">
        <f>'[2]Table 11'!A34</f>
        <v>NC0038</v>
      </c>
      <c r="B35" s="37" t="str">
        <f>'[2]Table 11'!B34</f>
        <v>Haywood</v>
      </c>
      <c r="C35" s="390">
        <f>VLOOKUP($A35,[0]!Data,242,FALSE)</f>
        <v>6</v>
      </c>
      <c r="D35" s="322">
        <f>VLOOKUP($A35,[0]!Data,308,FALSE)</f>
        <v>28</v>
      </c>
      <c r="E35" s="322">
        <f>VLOOKUP($A35,[0]!Data,309,FALSE)</f>
        <v>38</v>
      </c>
      <c r="F35" s="452">
        <f>E35/('Table 1'!D34/5000)</f>
        <v>3.0758770296741189</v>
      </c>
      <c r="G35" s="322">
        <f>VLOOKUP($A35,[0]!Data,310,FALSE)</f>
        <v>28979</v>
      </c>
      <c r="H35" s="322">
        <f>VLOOKUP($A35,[0]!Data,313,FALSE)</f>
        <v>4424</v>
      </c>
      <c r="I35" s="324">
        <f>VLOOKUP($A35,[0]!Data,314,FALSE)</f>
        <v>0</v>
      </c>
    </row>
    <row r="36" spans="1:9" x14ac:dyDescent="0.25">
      <c r="A36" s="36" t="str">
        <f>'[2]Table 11'!A35</f>
        <v>NC0039</v>
      </c>
      <c r="B36" s="37" t="str">
        <f>'[2]Table 11'!B35</f>
        <v>Henderson</v>
      </c>
      <c r="C36" s="390">
        <f>VLOOKUP($A36,[0]!Data,242,FALSE)</f>
        <v>403</v>
      </c>
      <c r="D36" s="322">
        <f>VLOOKUP($A36,[0]!Data,308,FALSE)</f>
        <v>52</v>
      </c>
      <c r="E36" s="322">
        <f>VLOOKUP($A36,[0]!Data,309,FALSE)</f>
        <v>77</v>
      </c>
      <c r="F36" s="452">
        <f>E36/('Table 1'!D35/5000)</f>
        <v>3.3658259387157408</v>
      </c>
      <c r="G36" s="322">
        <f>VLOOKUP($A36,[0]!Data,310,FALSE)</f>
        <v>66762</v>
      </c>
      <c r="H36" s="322">
        <f>VLOOKUP($A36,[0]!Data,313,FALSE)</f>
        <v>25948</v>
      </c>
      <c r="I36" s="324">
        <f>VLOOKUP($A36,[0]!Data,314,FALSE)</f>
        <v>0</v>
      </c>
    </row>
    <row r="37" spans="1:9" x14ac:dyDescent="0.25">
      <c r="A37" s="36" t="str">
        <f>'[2]Table 11'!A36</f>
        <v>NC0040</v>
      </c>
      <c r="B37" s="37" t="str">
        <f>'[2]Table 11'!B36</f>
        <v>Iredell</v>
      </c>
      <c r="C37" s="390">
        <f>VLOOKUP($A37,[0]!Data,242,FALSE)</f>
        <v>0</v>
      </c>
      <c r="D37" s="322">
        <f>VLOOKUP($A37,[0]!Data,308,FALSE)</f>
        <v>33</v>
      </c>
      <c r="E37" s="322">
        <f>VLOOKUP($A37,[0]!Data,309,FALSE)</f>
        <v>72</v>
      </c>
      <c r="F37" s="452">
        <f>E37/('Table 1'!D36/5000)</f>
        <v>2.6801069064866034</v>
      </c>
      <c r="G37" s="322">
        <f>VLOOKUP($A37,[0]!Data,310,FALSE)</f>
        <v>69353</v>
      </c>
      <c r="H37" s="322">
        <f>VLOOKUP($A37,[0]!Data,313,FALSE)</f>
        <v>58604</v>
      </c>
      <c r="I37" s="324">
        <f>VLOOKUP($A37,[0]!Data,314,FALSE)</f>
        <v>0</v>
      </c>
    </row>
    <row r="38" spans="1:9" x14ac:dyDescent="0.25">
      <c r="A38" s="36" t="str">
        <f>'[2]Table 11'!A37</f>
        <v>NC0041</v>
      </c>
      <c r="B38" s="37" t="str">
        <f>'[2]Table 11'!B37</f>
        <v>Johnston</v>
      </c>
      <c r="C38" s="390">
        <f>VLOOKUP($A38,[0]!Data,242,FALSE)</f>
        <v>0</v>
      </c>
      <c r="D38" s="322">
        <f>VLOOKUP($A38,[0]!Data,308,FALSE)</f>
        <v>25</v>
      </c>
      <c r="E38" s="322">
        <f>VLOOKUP($A38,[0]!Data,309,FALSE)</f>
        <v>48</v>
      </c>
      <c r="F38" s="452">
        <f>E38/('Table 1'!D37/5000)</f>
        <v>1.4114907106267607</v>
      </c>
      <c r="G38" s="322">
        <f>VLOOKUP($A38,[0]!Data,310,FALSE)</f>
        <v>55851</v>
      </c>
      <c r="H38" s="322">
        <f>VLOOKUP($A38,[0]!Data,313,FALSE)</f>
        <v>31924</v>
      </c>
      <c r="I38" s="324">
        <f>VLOOKUP($A38,[0]!Data,314,FALSE)</f>
        <v>0</v>
      </c>
    </row>
    <row r="39" spans="1:9" x14ac:dyDescent="0.25">
      <c r="A39" s="36" t="str">
        <f>'[2]Table 11'!A38</f>
        <v>NC0042</v>
      </c>
      <c r="B39" s="37" t="str">
        <f>'[2]Table 11'!B38</f>
        <v>Lee</v>
      </c>
      <c r="C39" s="390">
        <f>VLOOKUP($A39,[0]!Data,242,FALSE)</f>
        <v>20</v>
      </c>
      <c r="D39" s="322">
        <f>VLOOKUP($A39,[0]!Data,308,FALSE)</f>
        <v>13</v>
      </c>
      <c r="E39" s="322">
        <f>VLOOKUP($A39,[0]!Data,309,FALSE)</f>
        <v>26</v>
      </c>
      <c r="F39" s="452">
        <f>E39/('Table 1'!D38/5000)</f>
        <v>2.1943150361218011</v>
      </c>
      <c r="G39" s="322">
        <f>VLOOKUP($A39,[0]!Data,310,FALSE)</f>
        <v>20456</v>
      </c>
      <c r="H39" s="322">
        <f>VLOOKUP($A39,[0]!Data,313,FALSE)</f>
        <v>7034</v>
      </c>
      <c r="I39" s="324">
        <f>VLOOKUP($A39,[0]!Data,314,FALSE)</f>
        <v>0</v>
      </c>
    </row>
    <row r="40" spans="1:9" x14ac:dyDescent="0.25">
      <c r="A40" s="36" t="str">
        <f>'[2]Table 11'!A39</f>
        <v>NC0106</v>
      </c>
      <c r="B40" s="37" t="str">
        <f>'[2]Table 11'!B39</f>
        <v>Lincoln</v>
      </c>
      <c r="C40" s="390">
        <f>VLOOKUP($A40,[0]!Data,242,FALSE)</f>
        <v>0</v>
      </c>
      <c r="D40" s="322">
        <f>VLOOKUP($A40,[0]!Data,308,FALSE)</f>
        <v>27</v>
      </c>
      <c r="E40" s="322">
        <f>VLOOKUP($A40,[0]!Data,309,FALSE)</f>
        <v>46</v>
      </c>
      <c r="F40" s="452">
        <f>E40/('Table 1'!D39/5000)</f>
        <v>2.8037497104823665</v>
      </c>
      <c r="G40" s="322">
        <f>VLOOKUP($A40,[0]!Data,310,FALSE)</f>
        <v>38400</v>
      </c>
      <c r="H40" s="322">
        <f>VLOOKUP($A40,[0]!Data,313,FALSE)</f>
        <v>6287</v>
      </c>
      <c r="I40" s="324">
        <f>VLOOKUP($A40,[0]!Data,314,FALSE)</f>
        <v>0</v>
      </c>
    </row>
    <row r="41" spans="1:9" x14ac:dyDescent="0.25">
      <c r="A41" s="36" t="str">
        <f>'[2]Table 11'!A40</f>
        <v>NC0043</v>
      </c>
      <c r="B41" s="37" t="str">
        <f>'[2]Table 11'!B40</f>
        <v>Madison</v>
      </c>
      <c r="C41" s="390">
        <f>VLOOKUP($A41,[0]!Data,242,FALSE)</f>
        <v>816</v>
      </c>
      <c r="D41" s="322">
        <f>VLOOKUP($A41,[0]!Data,308,FALSE)</f>
        <v>14</v>
      </c>
      <c r="E41" s="322">
        <f>VLOOKUP($A41,[0]!Data,309,FALSE)</f>
        <v>55</v>
      </c>
      <c r="F41" s="452">
        <f>E41/('Table 1'!D40/5000)</f>
        <v>12.511943218526774</v>
      </c>
      <c r="G41" s="322">
        <f>VLOOKUP($A41,[0]!Data,310,FALSE)</f>
        <v>14773</v>
      </c>
      <c r="H41" s="322">
        <f>VLOOKUP($A41,[0]!Data,313,FALSE)</f>
        <v>11287</v>
      </c>
      <c r="I41" s="324">
        <f>VLOOKUP($A41,[0]!Data,314,FALSE)</f>
        <v>0</v>
      </c>
    </row>
    <row r="42" spans="1:9" x14ac:dyDescent="0.25">
      <c r="A42" s="36" t="str">
        <f>'[2]Table 11'!A41</f>
        <v>NC0044</v>
      </c>
      <c r="B42" s="37" t="str">
        <f>'[2]Table 11'!B41</f>
        <v>McDowell</v>
      </c>
      <c r="C42" s="390">
        <f>VLOOKUP($A42,[0]!Data,242,FALSE)</f>
        <v>38</v>
      </c>
      <c r="D42" s="322">
        <f>VLOOKUP($A42,[0]!Data,308,FALSE)</f>
        <v>15</v>
      </c>
      <c r="E42" s="322">
        <f>VLOOKUP($A42,[0]!Data,309,FALSE)</f>
        <v>38</v>
      </c>
      <c r="F42" s="452">
        <f>E42/('Table 1'!D41/5000)</f>
        <v>4.1749066139310038</v>
      </c>
      <c r="G42" s="322">
        <f>VLOOKUP($A42,[0]!Data,310,FALSE)</f>
        <v>16595</v>
      </c>
      <c r="H42" s="322">
        <f>VLOOKUP($A42,[0]!Data,313,FALSE)</f>
        <v>8250</v>
      </c>
      <c r="I42" s="324">
        <f>VLOOKUP($A42,[0]!Data,314,FALSE)</f>
        <v>0</v>
      </c>
    </row>
    <row r="43" spans="1:9" x14ac:dyDescent="0.25">
      <c r="A43" s="36" t="str">
        <f>'[2]Table 11'!A42</f>
        <v>NC0045</v>
      </c>
      <c r="B43" s="37" t="str">
        <f>'[2]Table 11'!B42</f>
        <v>Mecklenburg</v>
      </c>
      <c r="C43" s="390">
        <f>VLOOKUP($A43,[0]!Data,242,FALSE)</f>
        <v>497</v>
      </c>
      <c r="D43" s="322">
        <f>VLOOKUP($A43,[0]!Data,308,FALSE)</f>
        <v>483</v>
      </c>
      <c r="E43" s="322">
        <f>VLOOKUP($A43,[0]!Data,309,FALSE)</f>
        <v>912</v>
      </c>
      <c r="F43" s="452">
        <f>E43/('Table 1'!D42/5000)</f>
        <v>4.3282441661248452</v>
      </c>
      <c r="G43" s="322">
        <f>VLOOKUP($A43,[0]!Data,310,FALSE)</f>
        <v>758670</v>
      </c>
      <c r="H43" s="322">
        <f>VLOOKUP($A43,[0]!Data,313,FALSE)</f>
        <v>602421</v>
      </c>
      <c r="I43" s="324">
        <f>VLOOKUP($A43,[0]!Data,314,FALSE)</f>
        <v>0</v>
      </c>
    </row>
    <row r="44" spans="1:9" x14ac:dyDescent="0.25">
      <c r="A44" s="36" t="str">
        <f>'[2]Table 11'!A43</f>
        <v>NC0046</v>
      </c>
      <c r="B44" s="37" t="str">
        <f>'[2]Table 11'!B43</f>
        <v>Nash (Braswell)</v>
      </c>
      <c r="C44" s="390">
        <f>VLOOKUP($A44,[0]!Data,242,FALSE)</f>
        <v>7522</v>
      </c>
      <c r="D44" s="322">
        <f>VLOOKUP($A44,[0]!Data,308,FALSE)</f>
        <v>40</v>
      </c>
      <c r="E44" s="322">
        <f>VLOOKUP($A44,[0]!Data,309,FALSE)</f>
        <v>87</v>
      </c>
      <c r="F44" s="452">
        <f>E44/('Table 1'!D43/5000)</f>
        <v>4.8772283888328287</v>
      </c>
      <c r="G44" s="322">
        <f>VLOOKUP($A44,[0]!Data,310,FALSE)</f>
        <v>121881</v>
      </c>
      <c r="H44" s="322">
        <f>VLOOKUP($A44,[0]!Data,313,FALSE)</f>
        <v>61028</v>
      </c>
      <c r="I44" s="324">
        <f>VLOOKUP($A44,[0]!Data,314,FALSE)</f>
        <v>0</v>
      </c>
    </row>
    <row r="45" spans="1:9" x14ac:dyDescent="0.25">
      <c r="A45" s="36" t="str">
        <f>'[2]Table 11'!A44</f>
        <v>NC0047</v>
      </c>
      <c r="B45" s="37" t="str">
        <f>'[2]Table 11'!B44</f>
        <v>New Hanover</v>
      </c>
      <c r="C45" s="390">
        <f>VLOOKUP($A45,[0]!Data,242,FALSE)</f>
        <v>484</v>
      </c>
      <c r="D45" s="322">
        <f>VLOOKUP($A45,[0]!Data,308,FALSE)</f>
        <v>80</v>
      </c>
      <c r="E45" s="322">
        <f>VLOOKUP($A45,[0]!Data,309,FALSE)</f>
        <v>112</v>
      </c>
      <c r="F45" s="452">
        <f>E45/('Table 1'!D44/5000)</f>
        <v>2.5043826696719256</v>
      </c>
      <c r="G45" s="322">
        <f>VLOOKUP($A45,[0]!Data,310,FALSE)</f>
        <v>121423</v>
      </c>
      <c r="H45" s="322">
        <f>VLOOKUP($A45,[0]!Data,313,FALSE)</f>
        <v>0</v>
      </c>
      <c r="I45" s="324">
        <f>VLOOKUP($A45,[0]!Data,314,FALSE)</f>
        <v>0</v>
      </c>
    </row>
    <row r="46" spans="1:9" x14ac:dyDescent="0.25">
      <c r="A46" s="36" t="str">
        <f>'[2]Table 11'!A45</f>
        <v>NC0048</v>
      </c>
      <c r="B46" s="37" t="str">
        <f>'[2]Table 11'!B45</f>
        <v>Onslow</v>
      </c>
      <c r="C46" s="390">
        <f>VLOOKUP($A46,[0]!Data,242,FALSE)</f>
        <v>184</v>
      </c>
      <c r="D46" s="322">
        <f>VLOOKUP($A46,[0]!Data,308,FALSE)</f>
        <v>43</v>
      </c>
      <c r="E46" s="322">
        <f>VLOOKUP($A46,[0]!Data,309,FALSE)</f>
        <v>114</v>
      </c>
      <c r="F46" s="452">
        <f>E46/('Table 1'!D45/5000)</f>
        <v>2.939447383891828</v>
      </c>
      <c r="G46" s="322">
        <f>VLOOKUP($A46,[0]!Data,310,FALSE)</f>
        <v>74277</v>
      </c>
      <c r="H46" s="322">
        <f>VLOOKUP($A46,[0]!Data,313,FALSE)</f>
        <v>0</v>
      </c>
      <c r="I46" s="324">
        <f>VLOOKUP($A46,[0]!Data,314,FALSE)</f>
        <v>0</v>
      </c>
    </row>
    <row r="47" spans="1:9" x14ac:dyDescent="0.25">
      <c r="A47" s="36" t="str">
        <f>'[2]Table 11'!A46</f>
        <v>NC0108</v>
      </c>
      <c r="B47" s="37" t="str">
        <f>'[2]Table 11'!B46</f>
        <v>Orange</v>
      </c>
      <c r="C47" s="390">
        <f>VLOOKUP($A47,[0]!Data,242,FALSE)</f>
        <v>1034</v>
      </c>
      <c r="D47" s="322">
        <f>VLOOKUP($A47,[0]!Data,308,FALSE)</f>
        <v>35</v>
      </c>
      <c r="E47" s="322">
        <f>VLOOKUP($A47,[0]!Data,309,FALSE)</f>
        <v>60</v>
      </c>
      <c r="F47" s="452">
        <f>E47/('Table 1'!D46/5000)</f>
        <v>3.5645964282743789</v>
      </c>
      <c r="G47" s="322">
        <f>VLOOKUP($A47,[0]!Data,310,FALSE)</f>
        <v>64576</v>
      </c>
      <c r="H47" s="322">
        <f>VLOOKUP($A47,[0]!Data,313,FALSE)</f>
        <v>16092</v>
      </c>
      <c r="I47" s="324">
        <f>VLOOKUP($A47,[0]!Data,314,FALSE)</f>
        <v>0</v>
      </c>
    </row>
    <row r="48" spans="1:9" x14ac:dyDescent="0.25">
      <c r="A48" s="36" t="str">
        <f>'[2]Table 11'!A47</f>
        <v>NC0049</v>
      </c>
      <c r="B48" s="37" t="str">
        <f>'[2]Table 11'!B47</f>
        <v>Pender</v>
      </c>
      <c r="C48" s="390">
        <f>VLOOKUP($A48,[0]!Data,242,FALSE)</f>
        <v>85</v>
      </c>
      <c r="D48" s="322">
        <f>VLOOKUP($A48,[0]!Data,308,FALSE)</f>
        <v>19</v>
      </c>
      <c r="E48" s="322">
        <f>VLOOKUP($A48,[0]!Data,309,FALSE)</f>
        <v>25</v>
      </c>
      <c r="F48" s="452">
        <f>E48/('Table 1'!D47/5000)</f>
        <v>2.1022889722329672</v>
      </c>
      <c r="G48" s="322">
        <f>VLOOKUP($A48,[0]!Data,310,FALSE)</f>
        <v>13547</v>
      </c>
      <c r="H48" s="322">
        <f>VLOOKUP($A48,[0]!Data,313,FALSE)</f>
        <v>0</v>
      </c>
      <c r="I48" s="324">
        <f>VLOOKUP($A48,[0]!Data,314,FALSE)</f>
        <v>0</v>
      </c>
    </row>
    <row r="49" spans="1:9" x14ac:dyDescent="0.25">
      <c r="A49" s="36" t="str">
        <f>'[2]Table 11'!A48</f>
        <v>NC0109</v>
      </c>
      <c r="B49" s="37" t="str">
        <f>'[2]Table 11'!B48</f>
        <v>Person</v>
      </c>
      <c r="C49" s="390">
        <f>VLOOKUP($A49,[0]!Data,242,FALSE)</f>
        <v>0</v>
      </c>
      <c r="D49" s="322">
        <f>VLOOKUP($A49,[0]!Data,308,FALSE)</f>
        <v>10</v>
      </c>
      <c r="E49" s="322">
        <f>VLOOKUP($A49,[0]!Data,309,FALSE)</f>
        <v>13</v>
      </c>
      <c r="F49" s="452">
        <f>E49/('Table 1'!D48/5000)</f>
        <v>1.6361256544502618</v>
      </c>
      <c r="G49" s="322">
        <f>VLOOKUP($A49,[0]!Data,310,FALSE)</f>
        <v>16964</v>
      </c>
      <c r="H49" s="322">
        <f>VLOOKUP($A49,[0]!Data,313,FALSE)</f>
        <v>6175</v>
      </c>
      <c r="I49" s="324">
        <f>VLOOKUP($A49,[0]!Data,314,FALSE)</f>
        <v>0</v>
      </c>
    </row>
    <row r="50" spans="1:9" x14ac:dyDescent="0.25">
      <c r="A50" s="36" t="str">
        <f>'[2]Table 11'!A49</f>
        <v>NC0050</v>
      </c>
      <c r="B50" s="37" t="str">
        <f>'[2]Table 11'!B49</f>
        <v>Pitt (Sheppard)</v>
      </c>
      <c r="C50" s="390">
        <f>VLOOKUP($A50,[0]!Data,242,FALSE)</f>
        <v>0</v>
      </c>
      <c r="D50" s="322">
        <f>VLOOKUP($A50,[0]!Data,308,FALSE)</f>
        <v>42</v>
      </c>
      <c r="E50" s="322">
        <f>VLOOKUP($A50,[0]!Data,309,FALSE)</f>
        <v>132</v>
      </c>
      <c r="F50" s="452">
        <f>E50/('Table 1'!D49/5000)</f>
        <v>3.8548024413748792</v>
      </c>
      <c r="G50" s="322">
        <f>VLOOKUP($A50,[0]!Data,310,FALSE)</f>
        <v>134826</v>
      </c>
      <c r="H50" s="322">
        <f>VLOOKUP($A50,[0]!Data,313,FALSE)</f>
        <v>0</v>
      </c>
      <c r="I50" s="324">
        <f>VLOOKUP($A50,[0]!Data,314,FALSE)</f>
        <v>0</v>
      </c>
    </row>
    <row r="51" spans="1:9" x14ac:dyDescent="0.25">
      <c r="A51" s="36" t="str">
        <f>'[2]Table 11'!A50</f>
        <v>NC0051</v>
      </c>
      <c r="B51" s="37" t="str">
        <f>'[2]Table 11'!B50</f>
        <v>Polk</v>
      </c>
      <c r="C51" s="390">
        <f>VLOOKUP($A51,[0]!Data,242,FALSE)</f>
        <v>79</v>
      </c>
      <c r="D51" s="322">
        <f>VLOOKUP($A51,[0]!Data,308,FALSE)</f>
        <v>18</v>
      </c>
      <c r="E51" s="322">
        <f>VLOOKUP($A51,[0]!Data,309,FALSE)</f>
        <v>47</v>
      </c>
      <c r="F51" s="452">
        <f>E51/('Table 1'!D50/5000)</f>
        <v>11.174512601046123</v>
      </c>
      <c r="G51" s="322">
        <f>VLOOKUP($A51,[0]!Data,310,FALSE)</f>
        <v>24899</v>
      </c>
      <c r="H51" s="322">
        <f>VLOOKUP($A51,[0]!Data,313,FALSE)</f>
        <v>0</v>
      </c>
      <c r="I51" s="324">
        <f>VLOOKUP($A51,[0]!Data,314,FALSE)</f>
        <v>0</v>
      </c>
    </row>
    <row r="52" spans="1:9" x14ac:dyDescent="0.25">
      <c r="A52" s="36" t="str">
        <f>'[2]Table 11'!A51</f>
        <v>NC0052</v>
      </c>
      <c r="B52" s="37" t="str">
        <f>'[2]Table 11'!B51</f>
        <v>Randolph</v>
      </c>
      <c r="C52" s="390">
        <f>VLOOKUP($A52,[0]!Data,242,FALSE)</f>
        <v>-1</v>
      </c>
      <c r="D52" s="322">
        <f>VLOOKUP($A52,[0]!Data,308,FALSE)</f>
        <v>79</v>
      </c>
      <c r="E52" s="322">
        <f>VLOOKUP($A52,[0]!Data,309,FALSE)</f>
        <v>146</v>
      </c>
      <c r="F52" s="452">
        <f>E52/('Table 1'!D51/5000)</f>
        <v>5.0799924843946807</v>
      </c>
      <c r="G52" s="322">
        <f>VLOOKUP($A52,[0]!Data,310,FALSE)</f>
        <v>102145</v>
      </c>
      <c r="H52" s="322">
        <f>VLOOKUP($A52,[0]!Data,313,FALSE)</f>
        <v>27132</v>
      </c>
      <c r="I52" s="324">
        <f>VLOOKUP($A52,[0]!Data,314,FALSE)</f>
        <v>0</v>
      </c>
    </row>
    <row r="53" spans="1:9" x14ac:dyDescent="0.25">
      <c r="A53" s="36" t="str">
        <f>'[2]Table 11'!A52</f>
        <v>NC0053</v>
      </c>
      <c r="B53" s="37" t="str">
        <f>'[2]Table 11'!B52</f>
        <v>Robeson</v>
      </c>
      <c r="C53" s="390">
        <f>VLOOKUP($A53,[0]!Data,242,FALSE)</f>
        <v>250</v>
      </c>
      <c r="D53" s="322">
        <f>VLOOKUP($A53,[0]!Data,308,FALSE)</f>
        <v>19</v>
      </c>
      <c r="E53" s="322">
        <f>VLOOKUP($A53,[0]!Data,309,FALSE)</f>
        <v>53</v>
      </c>
      <c r="F53" s="452">
        <f>E53/('Table 1'!D52/5000)</f>
        <v>1.9976329933588124</v>
      </c>
      <c r="G53" s="322">
        <f>VLOOKUP($A53,[0]!Data,310,FALSE)</f>
        <v>53048</v>
      </c>
      <c r="H53" s="322">
        <f>VLOOKUP($A53,[0]!Data,313,FALSE)</f>
        <v>0</v>
      </c>
      <c r="I53" s="324">
        <f>VLOOKUP($A53,[0]!Data,314,FALSE)</f>
        <v>0</v>
      </c>
    </row>
    <row r="54" spans="1:9" x14ac:dyDescent="0.25">
      <c r="A54" s="36" t="str">
        <f>'[2]Table 11'!A53</f>
        <v>NC0054</v>
      </c>
      <c r="B54" s="37" t="str">
        <f>'[2]Table 11'!B53</f>
        <v>Rockingham</v>
      </c>
      <c r="C54" s="390">
        <f>VLOOKUP($A54,[0]!Data,242,FALSE)</f>
        <v>1784</v>
      </c>
      <c r="D54" s="322">
        <f>VLOOKUP($A54,[0]!Data,308,FALSE)</f>
        <v>33</v>
      </c>
      <c r="E54" s="322">
        <f>VLOOKUP($A54,[0]!Data,309,FALSE)</f>
        <v>88</v>
      </c>
      <c r="F54" s="452">
        <f>E54/('Table 1'!D53/5000)</f>
        <v>4.7882817686171659</v>
      </c>
      <c r="G54" s="322">
        <f>VLOOKUP($A54,[0]!Data,310,FALSE)</f>
        <v>141052</v>
      </c>
      <c r="H54" s="322">
        <f>VLOOKUP($A54,[0]!Data,313,FALSE)</f>
        <v>0</v>
      </c>
      <c r="I54" s="324">
        <f>VLOOKUP($A54,[0]!Data,314,FALSE)</f>
        <v>0</v>
      </c>
    </row>
    <row r="55" spans="1:9" x14ac:dyDescent="0.25">
      <c r="A55" s="36" t="str">
        <f>'[2]Table 11'!A54</f>
        <v>NC0055</v>
      </c>
      <c r="B55" s="37" t="str">
        <f>'[2]Table 11'!B54</f>
        <v>Rowan</v>
      </c>
      <c r="C55" s="390">
        <f>VLOOKUP($A55,[0]!Data,242,FALSE)</f>
        <v>260</v>
      </c>
      <c r="D55" s="322">
        <f>VLOOKUP($A55,[0]!Data,308,FALSE)</f>
        <v>50</v>
      </c>
      <c r="E55" s="322">
        <f>VLOOKUP($A55,[0]!Data,309,FALSE)</f>
        <v>97</v>
      </c>
      <c r="F55" s="452">
        <f>E55/('Table 1'!D54/5000)</f>
        <v>3.4404483223380864</v>
      </c>
      <c r="G55" s="322">
        <f>VLOOKUP($A55,[0]!Data,310,FALSE)</f>
        <v>81844</v>
      </c>
      <c r="H55" s="322">
        <f>VLOOKUP($A55,[0]!Data,313,FALSE)</f>
        <v>42092</v>
      </c>
      <c r="I55" s="324">
        <f>VLOOKUP($A55,[0]!Data,314,FALSE)</f>
        <v>0</v>
      </c>
    </row>
    <row r="56" spans="1:9" x14ac:dyDescent="0.25">
      <c r="A56" s="36" t="str">
        <f>'[2]Table 11'!A55</f>
        <v>NC0056</v>
      </c>
      <c r="B56" s="37" t="str">
        <f>'[2]Table 11'!B55</f>
        <v>Rutherford</v>
      </c>
      <c r="C56" s="390">
        <f>VLOOKUP($A56,[0]!Data,242,FALSE)</f>
        <v>346</v>
      </c>
      <c r="D56" s="322">
        <f>VLOOKUP($A56,[0]!Data,308,FALSE)</f>
        <v>17</v>
      </c>
      <c r="E56" s="322">
        <f>VLOOKUP($A56,[0]!Data,309,FALSE)</f>
        <v>35</v>
      </c>
      <c r="F56" s="452">
        <f>E56/('Table 1'!D55/5000)</f>
        <v>2.5848189888188116</v>
      </c>
      <c r="G56" s="322">
        <f>VLOOKUP($A56,[0]!Data,310,FALSE)</f>
        <v>21243</v>
      </c>
      <c r="H56" s="322">
        <f>VLOOKUP($A56,[0]!Data,313,FALSE)</f>
        <v>20221</v>
      </c>
      <c r="I56" s="324">
        <f>VLOOKUP($A56,[0]!Data,314,FALSE)</f>
        <v>0</v>
      </c>
    </row>
    <row r="57" spans="1:9" x14ac:dyDescent="0.25">
      <c r="A57" s="36" t="str">
        <f>'[2]Table 11'!A56</f>
        <v>NC0057</v>
      </c>
      <c r="B57" s="37" t="str">
        <f>'[2]Table 11'!B56</f>
        <v>Sampson</v>
      </c>
      <c r="C57" s="390">
        <f>VLOOKUP($A57,[0]!Data,242,FALSE)</f>
        <v>0</v>
      </c>
      <c r="D57" s="322">
        <f>VLOOKUP($A57,[0]!Data,308,FALSE)</f>
        <v>16</v>
      </c>
      <c r="E57" s="322">
        <f>VLOOKUP($A57,[0]!Data,309,FALSE)</f>
        <v>32</v>
      </c>
      <c r="F57" s="452">
        <f>E57/('Table 1'!D56/5000)</f>
        <v>2.5197247200743318</v>
      </c>
      <c r="G57" s="322">
        <f>VLOOKUP($A57,[0]!Data,310,FALSE)</f>
        <v>11111</v>
      </c>
      <c r="H57" s="322">
        <f>VLOOKUP($A57,[0]!Data,313,FALSE)</f>
        <v>0</v>
      </c>
      <c r="I57" s="324">
        <f>VLOOKUP($A57,[0]!Data,314,FALSE)</f>
        <v>0</v>
      </c>
    </row>
    <row r="58" spans="1:9" x14ac:dyDescent="0.25">
      <c r="A58" s="36" t="str">
        <f>'[2]Table 11'!A57</f>
        <v>NC0058</v>
      </c>
      <c r="B58" s="37" t="str">
        <f>'[2]Table 11'!B57</f>
        <v>Scotland</v>
      </c>
      <c r="C58" s="390">
        <f>VLOOKUP($A58,[0]!Data,242,FALSE)</f>
        <v>0</v>
      </c>
      <c r="D58" s="322">
        <f>VLOOKUP($A58,[0]!Data,308,FALSE)</f>
        <v>9</v>
      </c>
      <c r="E58" s="322">
        <f>VLOOKUP($A58,[0]!Data,309,FALSE)</f>
        <v>14</v>
      </c>
      <c r="F58" s="452">
        <f>E58/('Table 1'!D57/5000)</f>
        <v>1.9559082399619996</v>
      </c>
      <c r="G58" s="322">
        <f>VLOOKUP($A58,[0]!Data,310,FALSE)</f>
        <v>16207</v>
      </c>
      <c r="H58" s="322">
        <f>VLOOKUP($A58,[0]!Data,313,FALSE)</f>
        <v>2944</v>
      </c>
      <c r="I58" s="324">
        <f>VLOOKUP($A58,[0]!Data,314,FALSE)</f>
        <v>0</v>
      </c>
    </row>
    <row r="59" spans="1:9" x14ac:dyDescent="0.25">
      <c r="A59" s="36" t="str">
        <f>'[2]Table 11'!A58</f>
        <v>NC0059</v>
      </c>
      <c r="B59" s="37" t="str">
        <f>'[2]Table 11'!B58</f>
        <v>Stanly</v>
      </c>
      <c r="C59" s="390">
        <f>VLOOKUP($A59,[0]!Data,242,FALSE)</f>
        <v>309</v>
      </c>
      <c r="D59" s="322">
        <f>VLOOKUP($A59,[0]!Data,308,FALSE)</f>
        <v>20</v>
      </c>
      <c r="E59" s="322">
        <f>VLOOKUP($A59,[0]!Data,309,FALSE)</f>
        <v>42</v>
      </c>
      <c r="F59" s="452">
        <f>E59/('Table 1'!D58/5000)</f>
        <v>3.400754643649496</v>
      </c>
      <c r="G59" s="322">
        <f>VLOOKUP($A59,[0]!Data,310,FALSE)</f>
        <v>18320</v>
      </c>
      <c r="H59" s="322">
        <f>VLOOKUP($A59,[0]!Data,313,FALSE)</f>
        <v>0</v>
      </c>
      <c r="I59" s="324">
        <f>VLOOKUP($A59,[0]!Data,314,FALSE)</f>
        <v>0</v>
      </c>
    </row>
    <row r="60" spans="1:9" x14ac:dyDescent="0.25">
      <c r="A60" s="36" t="str">
        <f>'[2]Table 11'!A59</f>
        <v>NC0060</v>
      </c>
      <c r="B60" s="37" t="str">
        <f>'[2]Table 11'!B59</f>
        <v>Transylvania</v>
      </c>
      <c r="C60" s="390">
        <f>VLOOKUP($A60,[0]!Data,242,FALSE)</f>
        <v>109</v>
      </c>
      <c r="D60" s="322">
        <f>VLOOKUP($A60,[0]!Data,308,FALSE)</f>
        <v>36</v>
      </c>
      <c r="E60" s="322">
        <f>VLOOKUP($A60,[0]!Data,309,FALSE)</f>
        <v>50</v>
      </c>
      <c r="F60" s="452">
        <f>E60/('Table 1'!D59/5000)</f>
        <v>7.3230030170772435</v>
      </c>
      <c r="G60" s="322">
        <f>VLOOKUP($A60,[0]!Data,310,FALSE)</f>
        <v>29599</v>
      </c>
      <c r="H60" s="322">
        <f>VLOOKUP($A60,[0]!Data,313,FALSE)</f>
        <v>30057</v>
      </c>
      <c r="I60" s="324">
        <f>VLOOKUP($A60,[0]!Data,314,FALSE)</f>
        <v>0</v>
      </c>
    </row>
    <row r="61" spans="1:9" x14ac:dyDescent="0.25">
      <c r="A61" s="36" t="str">
        <f>'[2]Table 11'!A60</f>
        <v>NC0061</v>
      </c>
      <c r="B61" s="37" t="str">
        <f>'[2]Table 11'!B60</f>
        <v>Union</v>
      </c>
      <c r="C61" s="390">
        <f>VLOOKUP($A61,[0]!Data,242,FALSE)</f>
        <v>94</v>
      </c>
      <c r="D61" s="322">
        <f>VLOOKUP($A61,[0]!Data,308,FALSE)</f>
        <v>74</v>
      </c>
      <c r="E61" s="322">
        <f>VLOOKUP($A61,[0]!Data,309,FALSE)</f>
        <v>157</v>
      </c>
      <c r="F61" s="452">
        <f>E61/('Table 1'!D60/5000)</f>
        <v>3.5057946095616641</v>
      </c>
      <c r="G61" s="322">
        <f>VLOOKUP($A61,[0]!Data,310,FALSE)</f>
        <v>76958</v>
      </c>
      <c r="H61" s="322">
        <f>VLOOKUP($A61,[0]!Data,313,FALSE)</f>
        <v>0</v>
      </c>
      <c r="I61" s="324">
        <f>VLOOKUP($A61,[0]!Data,314,FALSE)</f>
        <v>0</v>
      </c>
    </row>
    <row r="62" spans="1:9" x14ac:dyDescent="0.25">
      <c r="A62" s="36" t="str">
        <f>'[2]Table 11'!A61</f>
        <v>NC0062</v>
      </c>
      <c r="B62" s="37" t="str">
        <f>'[2]Table 11'!B61</f>
        <v>Vance (Perry)</v>
      </c>
      <c r="C62" s="390">
        <f>VLOOKUP($A62,[0]!Data,242,FALSE)</f>
        <v>726</v>
      </c>
      <c r="D62" s="322">
        <f>VLOOKUP($A62,[0]!Data,308,FALSE)</f>
        <v>21</v>
      </c>
      <c r="E62" s="322">
        <f>VLOOKUP($A62,[0]!Data,309,FALSE)</f>
        <v>45</v>
      </c>
      <c r="F62" s="452">
        <f>E62/('Table 1'!D61/5000)</f>
        <v>5.0061185893870279</v>
      </c>
      <c r="G62" s="322">
        <f>VLOOKUP($A62,[0]!Data,310,FALSE)</f>
        <v>43747</v>
      </c>
      <c r="H62" s="322">
        <f>VLOOKUP($A62,[0]!Data,313,FALSE)</f>
        <v>0</v>
      </c>
      <c r="I62" s="324">
        <f>VLOOKUP($A62,[0]!Data,314,FALSE)</f>
        <v>0</v>
      </c>
    </row>
    <row r="63" spans="1:9" x14ac:dyDescent="0.25">
      <c r="A63" s="36" t="str">
        <f>'[2]Table 11'!A62</f>
        <v>NC0063</v>
      </c>
      <c r="B63" s="37" t="str">
        <f>'[2]Table 11'!B62</f>
        <v>Wake</v>
      </c>
      <c r="C63" s="390">
        <f>VLOOKUP($A63,All!A$3:RC$87,242,FALSE)</f>
        <v>0</v>
      </c>
      <c r="D63" s="322">
        <f>VLOOKUP($A63,All!A$3:RC$87,308,FALSE)</f>
        <v>368</v>
      </c>
      <c r="E63" s="322">
        <f>VLOOKUP($A63,All!A$3:RC$87,309,FALSE)</f>
        <v>473</v>
      </c>
      <c r="F63" s="452">
        <f>E63/('Table 1'!D62/5000)</f>
        <v>2.3033889523037785</v>
      </c>
      <c r="G63" s="322">
        <f>VLOOKUP($A63,All!A$3:RC$87,310,FALSE)</f>
        <v>628335</v>
      </c>
      <c r="H63" s="322">
        <f>VLOOKUP($A63,All!A$3:RC$87,313,FALSE)</f>
        <v>0</v>
      </c>
      <c r="I63" s="324">
        <f>VLOOKUP($A63,All!A$3:RC$87,314,FALSE)</f>
        <v>0</v>
      </c>
    </row>
    <row r="64" spans="1:9" x14ac:dyDescent="0.25">
      <c r="A64" s="36" t="str">
        <f>'[2]Table 11'!A63</f>
        <v>NC0101</v>
      </c>
      <c r="B64" s="37" t="str">
        <f>'[2]Table 11'!B63</f>
        <v>Warren</v>
      </c>
      <c r="C64" s="390">
        <f>VLOOKUP($A64,All!A$3:RC$87,242,FALSE)</f>
        <v>221</v>
      </c>
      <c r="D64" s="322">
        <f>VLOOKUP($A64,All!A$3:RC$87,308,FALSE)</f>
        <v>19</v>
      </c>
      <c r="E64" s="322">
        <f>VLOOKUP($A64,All!A$3:RC$87,309,FALSE)</f>
        <v>27</v>
      </c>
      <c r="F64" s="452">
        <f>E64/('Table 1'!D63/5000)</f>
        <v>6.709408081109288</v>
      </c>
      <c r="G64" s="322">
        <f>VLOOKUP($A64,All!A$3:RC$87,310,FALSE)</f>
        <v>21123</v>
      </c>
      <c r="H64" s="322">
        <f>VLOOKUP($A64,All!A$3:RC$87,313,FALSE)</f>
        <v>0</v>
      </c>
      <c r="I64" s="324">
        <f>VLOOKUP($A64,All!A$3:RC$87,314,FALSE)</f>
        <v>0</v>
      </c>
    </row>
    <row r="65" spans="1:9" x14ac:dyDescent="0.25">
      <c r="A65" s="36" t="str">
        <f>'[2]Table 11'!A64</f>
        <v>NC0065</v>
      </c>
      <c r="B65" s="37" t="str">
        <f>'[2]Table 11'!B64</f>
        <v>Wayne</v>
      </c>
      <c r="C65" s="390">
        <f>VLOOKUP($A65,All!A$3:RC$87,242,FALSE)</f>
        <v>1006</v>
      </c>
      <c r="D65" s="322">
        <f>VLOOKUP($A65,All!A$3:RC$87,308,FALSE)</f>
        <v>49</v>
      </c>
      <c r="E65" s="322">
        <f>VLOOKUP($A65,All!A$3:RC$87,309,FALSE)</f>
        <v>123</v>
      </c>
      <c r="F65" s="452">
        <f>E65/('Table 1'!D64/5000)</f>
        <v>4.9275687455932307</v>
      </c>
      <c r="G65" s="322">
        <f>VLOOKUP($A65,All!A$3:RC$87,310,FALSE)</f>
        <v>85252</v>
      </c>
      <c r="H65" s="322">
        <f>VLOOKUP($A65,All!A$3:RC$87,313,FALSE)</f>
        <v>91448</v>
      </c>
      <c r="I65" s="324">
        <f>VLOOKUP($A65,All!A$3:RC$87,314,FALSE)</f>
        <v>0</v>
      </c>
    </row>
    <row r="66" spans="1:9" x14ac:dyDescent="0.25">
      <c r="A66" s="36" t="str">
        <f>'[2]Table 11'!A65</f>
        <v>NC0066</v>
      </c>
      <c r="B66" s="37" t="str">
        <f>'[2]Table 11'!B65</f>
        <v>Wilson</v>
      </c>
      <c r="C66" s="390">
        <f>VLOOKUP($A66,All!A$3:RC$87,242,FALSE)</f>
        <v>4</v>
      </c>
      <c r="D66" s="322">
        <f>VLOOKUP($A66,All!A$3:RC$87,308,FALSE)</f>
        <v>33</v>
      </c>
      <c r="E66" s="322">
        <f>VLOOKUP($A66,All!A$3:RC$87,309,FALSE)</f>
        <v>55</v>
      </c>
      <c r="F66" s="452">
        <f>E66/('Table 1'!D65/5000)</f>
        <v>3.3635852149025167</v>
      </c>
      <c r="G66" s="322">
        <f>VLOOKUP($A66,All!A$3:RC$87,310,FALSE)</f>
        <v>43432</v>
      </c>
      <c r="H66" s="322">
        <f>VLOOKUP($A66,All!A$3:RC$87,313,FALSE)</f>
        <v>37400</v>
      </c>
      <c r="I66" s="324">
        <f>VLOOKUP($A66,All!A$3:RC$87,314,FALSE)</f>
        <v>0</v>
      </c>
    </row>
    <row r="67" spans="1:9" ht="15.75" thickBot="1" x14ac:dyDescent="0.3">
      <c r="A67" s="599" t="s">
        <v>1670</v>
      </c>
      <c r="B67" s="600"/>
      <c r="C67" s="442">
        <f>AVERAGE(C9:C66)</f>
        <v>944.0344827586207</v>
      </c>
      <c r="D67" s="325">
        <f>SUM(D9:D66)</f>
        <v>3162</v>
      </c>
      <c r="E67" s="325">
        <f>SUM(E9:E66)</f>
        <v>5820</v>
      </c>
      <c r="F67" s="465">
        <f>AVERAGE(F9:F66)</f>
        <v>3.8561317694929582</v>
      </c>
      <c r="G67" s="325">
        <f>SUM(G9:G66)</f>
        <v>5438683</v>
      </c>
      <c r="H67" s="325">
        <f>SUM(H9:H66)</f>
        <v>1871907</v>
      </c>
      <c r="I67" s="44">
        <f>SUM(I9:I66)</f>
        <v>305693</v>
      </c>
    </row>
    <row r="68" spans="1:9" ht="16.5" thickTop="1" thickBot="1" x14ac:dyDescent="0.3">
      <c r="A68" s="601" t="s">
        <v>1455</v>
      </c>
      <c r="B68" s="602"/>
      <c r="C68" s="49"/>
      <c r="D68" s="485"/>
      <c r="E68" s="485"/>
      <c r="F68" s="485"/>
      <c r="G68" s="485"/>
      <c r="H68" s="485"/>
      <c r="I68" s="486"/>
    </row>
    <row r="69" spans="1:9" ht="15.75" thickTop="1" x14ac:dyDescent="0.25">
      <c r="A69" s="444" t="str">
        <f>'[2]Table 11'!A68</f>
        <v>NC0001</v>
      </c>
      <c r="B69" s="487" t="str">
        <f>'[2]Table 11'!B68</f>
        <v>Albemarle</v>
      </c>
      <c r="C69" s="390">
        <f>VLOOKUP($A69,[0]!Data,242,FALSE)</f>
        <v>0</v>
      </c>
      <c r="D69" s="322">
        <f>VLOOKUP($A69,[0]!Data,308,FALSE)</f>
        <v>37</v>
      </c>
      <c r="E69" s="322">
        <f>VLOOKUP($A69,[0]!Data,309,FALSE)</f>
        <v>99</v>
      </c>
      <c r="F69" s="452">
        <f>E69/('Table 1'!D68/5000)</f>
        <v>6.4651794577085839</v>
      </c>
      <c r="G69" s="322">
        <f>VLOOKUP($A69,[0]!Data,310,FALSE)</f>
        <v>44579</v>
      </c>
      <c r="H69" s="322">
        <f>VLOOKUP($A69,[0]!Data,313,FALSE)</f>
        <v>33080</v>
      </c>
      <c r="I69" s="324">
        <f>VLOOKUP($A69,[0]!Data,314,FALSE)</f>
        <v>0</v>
      </c>
    </row>
    <row r="70" spans="1:9" x14ac:dyDescent="0.25">
      <c r="A70" s="444" t="str">
        <f>'[2]Table 11'!A69</f>
        <v>NC0003</v>
      </c>
      <c r="B70" s="487" t="str">
        <f>'[2]Table 11'!B69</f>
        <v>AMY</v>
      </c>
      <c r="C70" s="390">
        <f>VLOOKUP($A70,[0]!Data,242,FALSE)</f>
        <v>3248</v>
      </c>
      <c r="D70" s="322">
        <f>VLOOKUP($A70,[0]!Data,308,FALSE)</f>
        <v>13</v>
      </c>
      <c r="E70" s="322">
        <f>VLOOKUP($A70,[0]!Data,309,FALSE)</f>
        <v>109</v>
      </c>
      <c r="F70" s="452">
        <f>E70/('Table 1'!D69/5000)</f>
        <v>10.581291500019416</v>
      </c>
      <c r="G70" s="322">
        <f>VLOOKUP($A70,[0]!Data,310,FALSE)</f>
        <v>65915</v>
      </c>
      <c r="H70" s="322">
        <f>VLOOKUP($A70,[0]!Data,313,FALSE)</f>
        <v>17643</v>
      </c>
      <c r="I70" s="324">
        <f>VLOOKUP($A70,[0]!Data,314,FALSE)</f>
        <v>0</v>
      </c>
    </row>
    <row r="71" spans="1:9" x14ac:dyDescent="0.25">
      <c r="A71" s="444" t="str">
        <f>'[2]Table 11'!A70</f>
        <v>NC0002</v>
      </c>
      <c r="B71" s="487" t="str">
        <f>'[2]Table 11'!B70</f>
        <v>Appalachian</v>
      </c>
      <c r="C71" s="390">
        <f>VLOOKUP($A71,[0]!Data,242,FALSE)</f>
        <v>807</v>
      </c>
      <c r="D71" s="322">
        <f>VLOOKUP($A71,[0]!Data,308,FALSE)</f>
        <v>66</v>
      </c>
      <c r="E71" s="322">
        <f>VLOOKUP($A71,[0]!Data,309,FALSE)</f>
        <v>130</v>
      </c>
      <c r="F71" s="452">
        <f>E71/('Table 1'!D70/5000)</f>
        <v>4.2661276031582469</v>
      </c>
      <c r="G71" s="322">
        <f>VLOOKUP($A71,[0]!Data,310,FALSE)</f>
        <v>78741</v>
      </c>
      <c r="H71" s="322">
        <f>VLOOKUP($A71,[0]!Data,313,FALSE)</f>
        <v>35195</v>
      </c>
      <c r="I71" s="324">
        <f>VLOOKUP($A71,[0]!Data,314,FALSE)</f>
        <v>0</v>
      </c>
    </row>
    <row r="72" spans="1:9" x14ac:dyDescent="0.25">
      <c r="A72" s="444" t="str">
        <f>'[2]Table 11'!A71</f>
        <v>NC0004</v>
      </c>
      <c r="B72" s="487" t="str">
        <f>'[2]Table 11'!B71</f>
        <v>BHM</v>
      </c>
      <c r="C72" s="390">
        <f>VLOOKUP($A72,[0]!Data,242,FALSE)</f>
        <v>-1</v>
      </c>
      <c r="D72" s="322">
        <f>VLOOKUP($A72,[0]!Data,308,FALSE)</f>
        <v>22</v>
      </c>
      <c r="E72" s="322">
        <f>VLOOKUP($A72,[0]!Data,309,FALSE)</f>
        <v>83</v>
      </c>
      <c r="F72" s="452">
        <f>E72/('Table 1'!D71/5000)</f>
        <v>6.1686188239491058</v>
      </c>
      <c r="G72" s="322">
        <f>VLOOKUP($A72,[0]!Data,310,FALSE)</f>
        <v>32460</v>
      </c>
      <c r="H72" s="322">
        <f>VLOOKUP($A72,[0]!Data,313,FALSE)</f>
        <v>0</v>
      </c>
      <c r="I72" s="324">
        <f>VLOOKUP($A72,[0]!Data,314,FALSE)</f>
        <v>0</v>
      </c>
    </row>
    <row r="73" spans="1:9" x14ac:dyDescent="0.25">
      <c r="A73" s="444" t="str">
        <f>'[2]Table 11'!A72</f>
        <v>NC0006</v>
      </c>
      <c r="B73" s="487" t="str">
        <f>'[2]Table 11'!B72</f>
        <v>CPC</v>
      </c>
      <c r="C73" s="390">
        <f>VLOOKUP($A73,[0]!Data,242,FALSE)</f>
        <v>406</v>
      </c>
      <c r="D73" s="322">
        <f>VLOOKUP($A73,[0]!Data,308,FALSE)</f>
        <v>72</v>
      </c>
      <c r="E73" s="322">
        <f>VLOOKUP($A73,[0]!Data,309,FALSE)</f>
        <v>132</v>
      </c>
      <c r="F73" s="452">
        <f>E73/('Table 1'!D72/5000)</f>
        <v>3.5302801758721398</v>
      </c>
      <c r="G73" s="322">
        <f>VLOOKUP($A73,[0]!Data,310,FALSE)</f>
        <v>113897</v>
      </c>
      <c r="H73" s="322">
        <f>VLOOKUP($A73,[0]!Data,313,FALSE)</f>
        <v>30075</v>
      </c>
      <c r="I73" s="324">
        <f>VLOOKUP($A73,[0]!Data,314,FALSE)</f>
        <v>0</v>
      </c>
    </row>
    <row r="74" spans="1:9" x14ac:dyDescent="0.25">
      <c r="A74" s="444" t="str">
        <f>'[2]Table 11'!A73</f>
        <v>NC0007</v>
      </c>
      <c r="B74" s="487" t="str">
        <f>'[2]Table 11'!B73</f>
        <v>E. Albemarle</v>
      </c>
      <c r="C74" s="390">
        <f>VLOOKUP($A74,[0]!Data,242,FALSE)</f>
        <v>23</v>
      </c>
      <c r="D74" s="322">
        <f>VLOOKUP($A74,[0]!Data,308,FALSE)</f>
        <v>59</v>
      </c>
      <c r="E74" s="322">
        <f>VLOOKUP($A74,[0]!Data,309,FALSE)</f>
        <v>101</v>
      </c>
      <c r="F74" s="452">
        <f>E74/('Table 1'!D73/5000)</f>
        <v>4.4666943808100195</v>
      </c>
      <c r="G74" s="322">
        <f>VLOOKUP($A74,[0]!Data,310,FALSE)</f>
        <v>73483</v>
      </c>
      <c r="H74" s="322">
        <f>VLOOKUP($A74,[0]!Data,313,FALSE)</f>
        <v>31925</v>
      </c>
      <c r="I74" s="324">
        <f>VLOOKUP($A74,[0]!Data,314,FALSE)</f>
        <v>0</v>
      </c>
    </row>
    <row r="75" spans="1:9" x14ac:dyDescent="0.25">
      <c r="A75" s="444" t="str">
        <f>'[2]Table 11'!A74</f>
        <v>NC0008</v>
      </c>
      <c r="B75" s="487" t="str">
        <f>'[2]Table 11'!B74</f>
        <v>Fontana</v>
      </c>
      <c r="C75" s="390">
        <f>VLOOKUP($A75,[0]!Data,242,FALSE)</f>
        <v>7930</v>
      </c>
      <c r="D75" s="322">
        <f>VLOOKUP($A75,[0]!Data,308,FALSE)</f>
        <v>96</v>
      </c>
      <c r="E75" s="322">
        <f>VLOOKUP($A75,[0]!Data,309,FALSE)</f>
        <v>126</v>
      </c>
      <c r="F75" s="452">
        <f>E75/('Table 1'!D74/5000)</f>
        <v>3.7384064893989475</v>
      </c>
      <c r="G75" s="322">
        <f>VLOOKUP($A75,[0]!Data,310,FALSE)</f>
        <v>48743</v>
      </c>
      <c r="H75" s="322">
        <f>VLOOKUP($A75,[0]!Data,313,FALSE)</f>
        <v>88596</v>
      </c>
      <c r="I75" s="324">
        <f>VLOOKUP($A75,[0]!Data,314,FALSE)</f>
        <v>0</v>
      </c>
    </row>
    <row r="76" spans="1:9" x14ac:dyDescent="0.25">
      <c r="A76" s="444" t="str">
        <f>'[2]Table 11'!A75</f>
        <v>NC0011</v>
      </c>
      <c r="B76" s="487" t="str">
        <f>'[2]Table 11'!B75</f>
        <v>Nantahala</v>
      </c>
      <c r="C76" s="390">
        <f>VLOOKUP($A76,[0]!Data,242,FALSE)</f>
        <v>256</v>
      </c>
      <c r="D76" s="322">
        <f>VLOOKUP($A76,[0]!Data,308,FALSE)</f>
        <v>23</v>
      </c>
      <c r="E76" s="322">
        <f>VLOOKUP($A76,[0]!Data,309,FALSE)</f>
        <v>72</v>
      </c>
      <c r="F76" s="452">
        <f>E76/('Table 1'!D75/5000)</f>
        <v>7.385221351495507</v>
      </c>
      <c r="G76" s="322">
        <f>VLOOKUP($A76,[0]!Data,310,FALSE)</f>
        <v>53651</v>
      </c>
      <c r="H76" s="322">
        <f>VLOOKUP($A76,[0]!Data,313,FALSE)</f>
        <v>8049</v>
      </c>
      <c r="I76" s="324">
        <f>VLOOKUP($A76,[0]!Data,314,FALSE)</f>
        <v>0</v>
      </c>
    </row>
    <row r="77" spans="1:9" x14ac:dyDescent="0.25">
      <c r="A77" s="444" t="str">
        <f>'[2]Table 11'!A76</f>
        <v>NC0012</v>
      </c>
      <c r="B77" s="487" t="str">
        <f>'[2]Table 11'!B76</f>
        <v>Neuse</v>
      </c>
      <c r="C77" s="390">
        <f>VLOOKUP($A77,[0]!Data,242,FALSE)</f>
        <v>5163</v>
      </c>
      <c r="D77" s="322">
        <f>VLOOKUP($A77,[0]!Data,308,FALSE)</f>
        <v>40</v>
      </c>
      <c r="E77" s="322">
        <f>VLOOKUP($A77,[0]!Data,309,FALSE)</f>
        <v>175</v>
      </c>
      <c r="F77" s="452">
        <f>E77/('Table 1'!D76/5000)</f>
        <v>9.791634027886575</v>
      </c>
      <c r="G77" s="322">
        <f>VLOOKUP($A77,[0]!Data,310,FALSE)</f>
        <v>102701</v>
      </c>
      <c r="H77" s="322">
        <f>VLOOKUP($A77,[0]!Data,313,FALSE)</f>
        <v>0</v>
      </c>
      <c r="I77" s="324">
        <f>VLOOKUP($A77,[0]!Data,314,FALSE)</f>
        <v>0</v>
      </c>
    </row>
    <row r="78" spans="1:9" x14ac:dyDescent="0.25">
      <c r="A78" s="444" t="str">
        <f>'[2]Table 11'!A77</f>
        <v>NC0013</v>
      </c>
      <c r="B78" s="487" t="str">
        <f>'[2]Table 11'!B77</f>
        <v>Northwestern</v>
      </c>
      <c r="C78" s="390">
        <f>VLOOKUP($A78,[0]!Data,242,FALSE)</f>
        <v>400</v>
      </c>
      <c r="D78" s="322">
        <f>VLOOKUP($A78,[0]!Data,308,FALSE)</f>
        <v>52</v>
      </c>
      <c r="E78" s="322">
        <f>VLOOKUP($A78,[0]!Data,309,FALSE)</f>
        <v>156</v>
      </c>
      <c r="F78" s="452">
        <f>E78/('Table 1'!D77/5000)</f>
        <v>4.6285032725891728</v>
      </c>
      <c r="G78" s="322">
        <f>VLOOKUP($A78,[0]!Data,310,FALSE)</f>
        <v>127420</v>
      </c>
      <c r="H78" s="322">
        <f>VLOOKUP($A78,[0]!Data,313,FALSE)</f>
        <v>114047</v>
      </c>
      <c r="I78" s="324">
        <f>VLOOKUP($A78,[0]!Data,314,FALSE)</f>
        <v>0</v>
      </c>
    </row>
    <row r="79" spans="1:9" x14ac:dyDescent="0.25">
      <c r="A79" s="444" t="str">
        <f>'[2]Table 11'!A78</f>
        <v>NC0014</v>
      </c>
      <c r="B79" s="487" t="str">
        <f>'[2]Table 11'!B78</f>
        <v>Pettigrew</v>
      </c>
      <c r="C79" s="390">
        <f>VLOOKUP($A79,[0]!Data,242,FALSE)</f>
        <v>-1</v>
      </c>
      <c r="D79" s="322">
        <f>VLOOKUP($A79,[0]!Data,308,FALSE)</f>
        <v>20</v>
      </c>
      <c r="E79" s="322">
        <f>VLOOKUP($A79,[0]!Data,309,FALSE)</f>
        <v>51</v>
      </c>
      <c r="F79" s="452">
        <f>E79/('Table 1'!D78/5000)</f>
        <v>5.7262193478846672</v>
      </c>
      <c r="G79" s="322">
        <f>VLOOKUP($A79,[0]!Data,310,FALSE)</f>
        <v>40845</v>
      </c>
      <c r="H79" s="322">
        <f>VLOOKUP($A79,[0]!Data,313,FALSE)</f>
        <v>30814</v>
      </c>
      <c r="I79" s="324">
        <f>VLOOKUP($A79,[0]!Data,314,FALSE)</f>
        <v>0</v>
      </c>
    </row>
    <row r="80" spans="1:9" x14ac:dyDescent="0.25">
      <c r="A80" s="444" t="str">
        <f>'[2]Table 11'!A79</f>
        <v>NC0015</v>
      </c>
      <c r="B80" s="487" t="str">
        <f>'[2]Table 11'!B79</f>
        <v>Sandhill</v>
      </c>
      <c r="C80" s="390">
        <f>VLOOKUP($A80,[0]!Data,242,FALSE)</f>
        <v>160</v>
      </c>
      <c r="D80" s="322">
        <f>VLOOKUP($A80,[0]!Data,308,FALSE)</f>
        <v>76</v>
      </c>
      <c r="E80" s="322">
        <f>VLOOKUP($A80,[0]!Data,309,FALSE)</f>
        <v>135</v>
      </c>
      <c r="F80" s="452">
        <f>E80/('Table 1'!D79/5000)</f>
        <v>2.8986378549221019</v>
      </c>
      <c r="G80" s="322">
        <f>VLOOKUP($A80,[0]!Data,310,FALSE)</f>
        <v>74038</v>
      </c>
      <c r="H80" s="322">
        <f>VLOOKUP($A80,[0]!Data,313,FALSE)</f>
        <v>9312</v>
      </c>
      <c r="I80" s="324">
        <f>VLOOKUP($A80,[0]!Data,314,FALSE)</f>
        <v>0</v>
      </c>
    </row>
    <row r="81" spans="1:9" ht="15.75" thickBot="1" x14ac:dyDescent="0.3">
      <c r="A81" s="599" t="s">
        <v>1670</v>
      </c>
      <c r="B81" s="600"/>
      <c r="C81" s="325">
        <f>AVERAGE(C69:C80)</f>
        <v>1532.5833333333333</v>
      </c>
      <c r="D81" s="325">
        <f>SUM(D69:D80)</f>
        <v>576</v>
      </c>
      <c r="E81" s="325">
        <f>SUM(E69:E80)</f>
        <v>1369</v>
      </c>
      <c r="F81" s="465">
        <f>AVERAGE(F69:F80)</f>
        <v>5.8039011904745408</v>
      </c>
      <c r="G81" s="325">
        <f>SUM(G69:G80)</f>
        <v>856473</v>
      </c>
      <c r="H81" s="325">
        <f>SUM(H69:H80)</f>
        <v>398736</v>
      </c>
      <c r="I81" s="44">
        <f>SUM(I69:I80)</f>
        <v>0</v>
      </c>
    </row>
    <row r="82" spans="1:9" ht="16.5" thickTop="1" thickBot="1" x14ac:dyDescent="0.3">
      <c r="A82" s="54"/>
      <c r="B82" s="45" t="s">
        <v>1456</v>
      </c>
      <c r="C82" s="488"/>
      <c r="D82" s="49"/>
      <c r="E82" s="49"/>
      <c r="F82" s="49"/>
      <c r="G82" s="49"/>
      <c r="H82" s="49"/>
      <c r="I82" s="50"/>
    </row>
    <row r="83" spans="1:9" ht="15.75" thickTop="1" x14ac:dyDescent="0.25">
      <c r="A83" s="51" t="s">
        <v>557</v>
      </c>
      <c r="B83" s="37" t="str">
        <f>'[2]Table 11'!B82</f>
        <v>Chapel Hill</v>
      </c>
      <c r="C83" s="390">
        <f>VLOOKUP($A83,[0]!Data,242,FALSE)</f>
        <v>600</v>
      </c>
      <c r="D83" s="322">
        <f>VLOOKUP($A83,[0]!Data,308,FALSE)</f>
        <v>41</v>
      </c>
      <c r="E83" s="322">
        <f>VLOOKUP($A83,[0]!Data,309,FALSE)</f>
        <v>69</v>
      </c>
      <c r="F83" s="452">
        <f>E83/('Table 1'!D82/5000)</f>
        <v>5.764218405399987</v>
      </c>
      <c r="G83" s="322">
        <f>VLOOKUP($A83,[0]!Data,310,FALSE)</f>
        <v>41976</v>
      </c>
      <c r="H83" s="322">
        <f>VLOOKUP($A83,[0]!Data,313,FALSE)</f>
        <v>18556</v>
      </c>
      <c r="I83" s="324">
        <f>VLOOKUP($A83,[0]!Data,314,FALSE)</f>
        <v>0</v>
      </c>
    </row>
    <row r="84" spans="1:9" x14ac:dyDescent="0.25">
      <c r="A84" s="51" t="s">
        <v>946</v>
      </c>
      <c r="B84" s="37" t="str">
        <f>'[2]Table 11'!B83</f>
        <v>Clayton</v>
      </c>
      <c r="C84" s="390">
        <f>VLOOKUP($A84,[0]!Data,242,FALSE)</f>
        <v>0</v>
      </c>
      <c r="D84" s="322">
        <f>VLOOKUP($A84,[0]!Data,308,FALSE)</f>
        <v>7</v>
      </c>
      <c r="E84" s="322">
        <f>VLOOKUP($A84,[0]!Data,309,FALSE)</f>
        <v>8</v>
      </c>
      <c r="F84" s="452">
        <f>E84/('Table 1'!D83/5000)</f>
        <v>2.0589900653729343</v>
      </c>
      <c r="G84" s="322">
        <f>VLOOKUP($A84,[0]!Data,310,FALSE)</f>
        <v>7906</v>
      </c>
      <c r="H84" s="322">
        <f>VLOOKUP($A84,[0]!Data,313,FALSE)</f>
        <v>56160</v>
      </c>
      <c r="I84" s="324">
        <f>VLOOKUP($A84,[0]!Data,314,FALSE)</f>
        <v>0</v>
      </c>
    </row>
    <row r="85" spans="1:9" x14ac:dyDescent="0.25">
      <c r="A85" s="51" t="s">
        <v>743</v>
      </c>
      <c r="B85" s="37" t="str">
        <f>'[2]Table 11'!B84</f>
        <v>Farmville</v>
      </c>
      <c r="C85" s="390">
        <f>VLOOKUP($A85,[0]!Data,242,FALSE)</f>
        <v>275</v>
      </c>
      <c r="D85" s="322">
        <f>VLOOKUP($A85,[0]!Data,308,FALSE)</f>
        <v>7</v>
      </c>
      <c r="E85" s="322">
        <f>VLOOKUP($A85,[0]!Data,309,FALSE)</f>
        <v>20</v>
      </c>
      <c r="F85" s="452">
        <f>E85/('Table 1'!D84/5000)</f>
        <v>21.413276231263382</v>
      </c>
      <c r="G85" s="322">
        <f>VLOOKUP($A85,[0]!Data,310,FALSE)</f>
        <v>10863</v>
      </c>
      <c r="H85" s="322">
        <f>VLOOKUP($A85,[0]!Data,313,FALSE)</f>
        <v>1712</v>
      </c>
      <c r="I85" s="324">
        <f>VLOOKUP($A85,[0]!Data,314,FALSE)</f>
        <v>0</v>
      </c>
    </row>
    <row r="86" spans="1:9" x14ac:dyDescent="0.25">
      <c r="A86" s="51" t="s">
        <v>917</v>
      </c>
      <c r="B86" s="37" t="str">
        <f>'[2]Table 11'!B85</f>
        <v>Hickory</v>
      </c>
      <c r="C86" s="390">
        <f>VLOOKUP($A86,[0]!Data,242,FALSE)</f>
        <v>0</v>
      </c>
      <c r="D86" s="322">
        <f>VLOOKUP($A86,[0]!Data,308,FALSE)</f>
        <v>35</v>
      </c>
      <c r="E86" s="322">
        <f>VLOOKUP($A86,[0]!Data,309,FALSE)</f>
        <v>56</v>
      </c>
      <c r="F86" s="452">
        <f>E86/('Table 1'!D85/5000)</f>
        <v>6.9216127357674333</v>
      </c>
      <c r="G86" s="322">
        <f>VLOOKUP($A86,[0]!Data,310,FALSE)</f>
        <v>57130</v>
      </c>
      <c r="H86" s="322">
        <f>VLOOKUP($A86,[0]!Data,313,FALSE)</f>
        <v>17210</v>
      </c>
      <c r="I86" s="324">
        <f>VLOOKUP($A86,[0]!Data,314,FALSE)</f>
        <v>0</v>
      </c>
    </row>
    <row r="87" spans="1:9" x14ac:dyDescent="0.25">
      <c r="A87" s="51" t="s">
        <v>932</v>
      </c>
      <c r="B87" s="37" t="str">
        <f>'[2]Table 11'!B86</f>
        <v>High Point</v>
      </c>
      <c r="C87" s="390">
        <f>VLOOKUP($A87,[0]!Data,242,FALSE)</f>
        <v>446</v>
      </c>
      <c r="D87" s="322">
        <f>VLOOKUP($A87,[0]!Data,308,FALSE)</f>
        <v>125</v>
      </c>
      <c r="E87" s="322">
        <f>VLOOKUP($A87,[0]!Data,309,FALSE)</f>
        <v>112</v>
      </c>
      <c r="F87" s="452">
        <f>E87/('Table 1'!D86/5000)</f>
        <v>5.0796415224411309</v>
      </c>
      <c r="G87" s="322">
        <f>VLOOKUP($A87,[0]!Data,310,FALSE)</f>
        <v>65659</v>
      </c>
      <c r="H87" s="322">
        <f>VLOOKUP($A87,[0]!Data,313,FALSE)</f>
        <v>18806</v>
      </c>
      <c r="I87" s="324">
        <f>VLOOKUP($A87,[0]!Data,314,FALSE)</f>
        <v>0</v>
      </c>
    </row>
    <row r="88" spans="1:9" x14ac:dyDescent="0.25">
      <c r="A88" s="51" t="s">
        <v>970</v>
      </c>
      <c r="B88" s="37" t="str">
        <f>'[2]Table 11'!B87</f>
        <v>Kings Mountain</v>
      </c>
      <c r="C88" s="390">
        <f>VLOOKUP($A88,[0]!Data,242,FALSE)</f>
        <v>12</v>
      </c>
      <c r="D88" s="322">
        <f>VLOOKUP($A88,[0]!Data,308,FALSE)</f>
        <v>11</v>
      </c>
      <c r="E88" s="322">
        <f>VLOOKUP($A88,[0]!Data,309,FALSE)</f>
        <v>29</v>
      </c>
      <c r="F88" s="452">
        <f>E88/('Table 1'!D87/5000)</f>
        <v>13.527381285567683</v>
      </c>
      <c r="G88" s="322">
        <f>VLOOKUP($A88,[0]!Data,310,FALSE)</f>
        <v>20370</v>
      </c>
      <c r="H88" s="322">
        <f>VLOOKUP($A88,[0]!Data,313,FALSE)</f>
        <v>19710</v>
      </c>
      <c r="I88" s="324">
        <f>VLOOKUP($A88,[0]!Data,314,FALSE)</f>
        <v>0</v>
      </c>
    </row>
    <row r="89" spans="1:9" x14ac:dyDescent="0.25">
      <c r="A89" s="51" t="s">
        <v>1033</v>
      </c>
      <c r="B89" s="37" t="str">
        <f>'[2]Table 11'!B88</f>
        <v>Mooresville</v>
      </c>
      <c r="C89" s="390">
        <f>VLOOKUP($A89,[0]!Data,242,FALSE)</f>
        <v>0</v>
      </c>
      <c r="D89" s="322">
        <f>VLOOKUP($A89,[0]!Data,308,FALSE)</f>
        <v>26</v>
      </c>
      <c r="E89" s="322">
        <f>VLOOKUP($A89,[0]!Data,309,FALSE)</f>
        <v>44</v>
      </c>
      <c r="F89" s="452">
        <f>E89/('Table 1'!D88/5000)</f>
        <v>5.6312071260366539</v>
      </c>
      <c r="G89" s="322">
        <f>VLOOKUP($A89,[0]!Data,310,FALSE)</f>
        <v>45743</v>
      </c>
      <c r="H89" s="322">
        <f>VLOOKUP($A89,[0]!Data,313,FALSE)</f>
        <v>0</v>
      </c>
      <c r="I89" s="324">
        <f>VLOOKUP($A89,[0]!Data,314,FALSE)</f>
        <v>0</v>
      </c>
    </row>
    <row r="90" spans="1:9" x14ac:dyDescent="0.25">
      <c r="A90" s="51" t="s">
        <v>884</v>
      </c>
      <c r="B90" s="37" t="str">
        <f>'[2]Table 11'!B89</f>
        <v>Nashville</v>
      </c>
      <c r="C90" s="390">
        <f>VLOOKUP($A90,[0]!Data,242,FALSE)</f>
        <v>354</v>
      </c>
      <c r="D90" s="322">
        <f>VLOOKUP($A90,[0]!Data,308,FALSE)</f>
        <v>4</v>
      </c>
      <c r="E90" s="322">
        <f>VLOOKUP($A90,[0]!Data,309,FALSE)</f>
        <v>18</v>
      </c>
      <c r="F90" s="452">
        <f>E90/('Table 1'!D89/5000)</f>
        <v>17.205123303383672</v>
      </c>
      <c r="G90" s="322">
        <f>VLOOKUP($A90,[0]!Data,310,FALSE)</f>
        <v>5667</v>
      </c>
      <c r="H90" s="322">
        <f>VLOOKUP($A90,[0]!Data,313,FALSE)</f>
        <v>4776</v>
      </c>
      <c r="I90" s="324">
        <f>VLOOKUP($A90,[0]!Data,314,FALSE)</f>
        <v>0</v>
      </c>
    </row>
    <row r="91" spans="1:9" x14ac:dyDescent="0.25">
      <c r="A91" s="51" t="s">
        <v>1224</v>
      </c>
      <c r="B91" s="37" t="str">
        <f>'[2]Table 11'!B90</f>
        <v>Roanoke Rapids</v>
      </c>
      <c r="C91" s="390">
        <f>VLOOKUP($A91,[0]!Data,242,FALSE)</f>
        <v>53</v>
      </c>
      <c r="D91" s="322">
        <f>VLOOKUP($A91,[0]!Data,308,FALSE)</f>
        <v>8</v>
      </c>
      <c r="E91" s="322">
        <f>VLOOKUP($A91,[0]!Data,309,FALSE)</f>
        <v>13</v>
      </c>
      <c r="F91" s="452">
        <f>E91/('Table 1'!D90/5000)</f>
        <v>4.3043507052513075</v>
      </c>
      <c r="G91" s="322">
        <f>VLOOKUP($A91,[0]!Data,310,FALSE)</f>
        <v>6172</v>
      </c>
      <c r="H91" s="322">
        <f>VLOOKUP($A91,[0]!Data,313,FALSE)</f>
        <v>0</v>
      </c>
      <c r="I91" s="324">
        <f>VLOOKUP($A91,[0]!Data,314,FALSE)</f>
        <v>0</v>
      </c>
    </row>
    <row r="92" spans="1:9" x14ac:dyDescent="0.25">
      <c r="A92" s="51" t="s">
        <v>1346</v>
      </c>
      <c r="B92" s="37" t="str">
        <f>'[2]Table 11'!B91</f>
        <v>Southern Pines</v>
      </c>
      <c r="C92" s="390">
        <f>VLOOKUP($A92,[0]!Data,242,FALSE)</f>
        <v>128</v>
      </c>
      <c r="D92" s="322">
        <f>VLOOKUP($A92,[0]!Data,308,FALSE)</f>
        <v>12</v>
      </c>
      <c r="E92" s="322">
        <f>VLOOKUP($A92,[0]!Data,309,FALSE)</f>
        <v>13</v>
      </c>
      <c r="F92" s="452">
        <f>E92/('Table 1'!D91/5000)</f>
        <v>4.7252108170979934</v>
      </c>
      <c r="G92" s="322">
        <f>VLOOKUP($A92,[0]!Data,310,FALSE)</f>
        <v>12096</v>
      </c>
      <c r="H92" s="322">
        <f>VLOOKUP($A92,[0]!Data,313,FALSE)</f>
        <v>6504</v>
      </c>
      <c r="I92" s="324">
        <f>VLOOKUP($A92,[0]!Data,314,FALSE)</f>
        <v>0</v>
      </c>
    </row>
    <row r="93" spans="1:9" x14ac:dyDescent="0.25">
      <c r="A93" s="51" t="s">
        <v>819</v>
      </c>
      <c r="B93" s="37" t="str">
        <f>'[2]Table 11'!B92</f>
        <v>Washington</v>
      </c>
      <c r="C93" s="390">
        <f>VLOOKUP($A93,[0]!Data,242,FALSE)</f>
        <v>446</v>
      </c>
      <c r="D93" s="322">
        <f>VLOOKUP($A93,[0]!Data,308,FALSE)</f>
        <v>11</v>
      </c>
      <c r="E93" s="322">
        <f>VLOOKUP($A93,[0]!Data,309,FALSE)</f>
        <v>22</v>
      </c>
      <c r="F93" s="452">
        <f>E93/('Table 1'!D92/5000)</f>
        <v>11.505072691141095</v>
      </c>
      <c r="G93" s="322">
        <f>VLOOKUP($A93,[0]!Data,310,FALSE)</f>
        <v>7445</v>
      </c>
      <c r="H93" s="322">
        <f>VLOOKUP($A93,[0]!Data,313,FALSE)</f>
        <v>10950</v>
      </c>
      <c r="I93" s="324">
        <f>VLOOKUP($A93,[0]!Data,314,FALSE)</f>
        <v>0</v>
      </c>
    </row>
    <row r="94" spans="1:9" ht="15.75" thickBot="1" x14ac:dyDescent="0.3">
      <c r="A94" s="599" t="s">
        <v>1670</v>
      </c>
      <c r="B94" s="600"/>
      <c r="C94" s="489">
        <f>AVERAGE(C83:C93)</f>
        <v>210.36363636363637</v>
      </c>
      <c r="D94" s="57">
        <f>SUM(D83:D93)</f>
        <v>287</v>
      </c>
      <c r="E94" s="57">
        <f>SUM(E83:E93)</f>
        <v>404</v>
      </c>
      <c r="F94" s="466">
        <f>AVERAGE(F83:F93)</f>
        <v>8.9214622626112074</v>
      </c>
      <c r="G94" s="57">
        <f>SUM(G83:G93)</f>
        <v>281027</v>
      </c>
      <c r="H94" s="57">
        <f>SUM(H83:H93)</f>
        <v>154384</v>
      </c>
      <c r="I94" s="60">
        <f>SUM(I83:I93)</f>
        <v>0</v>
      </c>
    </row>
    <row r="95" spans="1:9" ht="15.75" thickTop="1" x14ac:dyDescent="0.25">
      <c r="A95" s="19"/>
      <c r="B95" s="20"/>
      <c r="C95" s="490"/>
      <c r="D95" s="9"/>
      <c r="E95" s="9"/>
      <c r="F95" s="9"/>
      <c r="G95" s="9"/>
      <c r="H95" s="491"/>
      <c r="I95" s="492"/>
    </row>
    <row r="96" spans="1:9" s="86" customFormat="1" ht="13.5" thickBot="1" x14ac:dyDescent="0.25">
      <c r="A96" s="655" t="s">
        <v>1680</v>
      </c>
      <c r="B96" s="634"/>
      <c r="C96" s="325">
        <f>SUM(C83:C93,C69:C80,C9:C58,C60:C66)</f>
        <v>75150</v>
      </c>
      <c r="D96" s="325">
        <f>SUM(D83:D93,D69:D80,D9:D58,D60:D66)</f>
        <v>4005</v>
      </c>
      <c r="E96" s="325">
        <f>SUM(E83:E93,E69:E80,E9:E58,E60:E66)</f>
        <v>7551</v>
      </c>
      <c r="F96" s="465">
        <f>AVERAGE(F83:F93,F69:F80,F9:F58,F60:F66)</f>
        <v>4.8504723395169984</v>
      </c>
      <c r="G96" s="325">
        <f>SUM(G83:G93,G69:G80,G9:G58,G60:G66)</f>
        <v>6557863</v>
      </c>
      <c r="H96" s="325">
        <f>SUM(H83:H93,H69:H80,H9:H58,H60:H66)</f>
        <v>2425027</v>
      </c>
      <c r="I96" s="44">
        <f>SUM(I83:I93,I69:I80,I9:I58,I60:I66)</f>
        <v>305693</v>
      </c>
    </row>
    <row r="97" spans="1:9" s="86" customFormat="1" ht="13.5" thickTop="1" x14ac:dyDescent="0.2">
      <c r="A97" s="244"/>
      <c r="B97" s="244" t="s">
        <v>1671</v>
      </c>
      <c r="C97" s="493" t="s">
        <v>1462</v>
      </c>
      <c r="D97" s="244" t="s">
        <v>1462</v>
      </c>
      <c r="E97" s="244" t="s">
        <v>1462</v>
      </c>
      <c r="F97" s="244" t="s">
        <v>1649</v>
      </c>
      <c r="G97" s="244" t="s">
        <v>1462</v>
      </c>
      <c r="H97" s="494" t="s">
        <v>1462</v>
      </c>
      <c r="I97" s="493" t="s">
        <v>1462</v>
      </c>
    </row>
  </sheetData>
  <mergeCells count="6">
    <mergeCell ref="A96:B96"/>
    <mergeCell ref="D4:F4"/>
    <mergeCell ref="A67:B67"/>
    <mergeCell ref="A68:B68"/>
    <mergeCell ref="A81:B81"/>
    <mergeCell ref="A94:B9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96"/>
  <sheetViews>
    <sheetView workbookViewId="0">
      <selection activeCell="P107" sqref="P107"/>
    </sheetView>
  </sheetViews>
  <sheetFormatPr defaultColWidth="8.85546875" defaultRowHeight="12.75" x14ac:dyDescent="0.2"/>
  <cols>
    <col min="1" max="1" width="6.7109375" style="118" customWidth="1"/>
    <col min="2" max="3" width="21.140625" style="118" customWidth="1"/>
    <col min="4" max="4" width="10.42578125" style="118" customWidth="1"/>
    <col min="5" max="5" width="9" style="118" customWidth="1"/>
    <col min="6" max="6" width="9.7109375" style="118" customWidth="1"/>
    <col min="7" max="7" width="12.140625" style="118" customWidth="1"/>
    <col min="8" max="9" width="10.42578125" style="118" customWidth="1"/>
    <col min="10" max="10" width="11.42578125" style="118" customWidth="1"/>
    <col min="11" max="11" width="11.7109375" style="118" customWidth="1"/>
    <col min="12" max="12" width="12.140625" style="118" customWidth="1"/>
    <col min="13" max="13" width="10.85546875" style="118" customWidth="1"/>
    <col min="14" max="15" width="10.42578125" style="118" customWidth="1"/>
    <col min="16" max="16" width="10" style="118" customWidth="1"/>
    <col min="17" max="17" width="10.42578125" style="118" customWidth="1"/>
    <col min="18" max="16384" width="8.85546875" style="118"/>
  </cols>
  <sheetData>
    <row r="1" spans="1:17" ht="15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O1" s="501"/>
      <c r="Q1" s="11" t="s">
        <v>1758</v>
      </c>
    </row>
    <row r="2" spans="1:17" ht="15.75" x14ac:dyDescent="0.25">
      <c r="A2" s="171" t="s">
        <v>1694</v>
      </c>
      <c r="B2" s="335"/>
      <c r="C2" s="335"/>
      <c r="D2" s="335"/>
      <c r="E2" s="335"/>
      <c r="F2" s="12"/>
      <c r="G2" s="12"/>
      <c r="H2" s="335"/>
      <c r="I2" s="335"/>
      <c r="J2" s="335"/>
      <c r="K2" s="335"/>
      <c r="L2" s="335"/>
      <c r="O2" s="502"/>
      <c r="Q2" s="18" t="s">
        <v>1759</v>
      </c>
    </row>
    <row r="3" spans="1:17" ht="15.75" thickBot="1" x14ac:dyDescent="0.3">
      <c r="A3" s="335"/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</row>
    <row r="4" spans="1:17" ht="13.5" thickTop="1" x14ac:dyDescent="0.2">
      <c r="A4" s="92"/>
      <c r="B4" s="612"/>
      <c r="C4" s="430" t="s">
        <v>1695</v>
      </c>
      <c r="D4" s="644" t="s">
        <v>1696</v>
      </c>
      <c r="E4" s="645"/>
      <c r="F4" s="645"/>
      <c r="G4" s="645"/>
      <c r="H4" s="645"/>
      <c r="I4" s="644" t="s">
        <v>1697</v>
      </c>
      <c r="J4" s="645"/>
      <c r="K4" s="645"/>
      <c r="L4" s="645"/>
      <c r="M4" s="645"/>
      <c r="N4" s="644" t="s">
        <v>1698</v>
      </c>
      <c r="O4" s="645"/>
      <c r="P4" s="645"/>
      <c r="Q4" s="646"/>
    </row>
    <row r="5" spans="1:17" x14ac:dyDescent="0.2">
      <c r="A5" s="95"/>
      <c r="B5" s="647"/>
      <c r="C5" s="503" t="s">
        <v>1699</v>
      </c>
      <c r="D5" s="456" t="s">
        <v>1700</v>
      </c>
      <c r="E5" s="456" t="s">
        <v>1701</v>
      </c>
      <c r="F5" s="458" t="s">
        <v>1702</v>
      </c>
      <c r="G5" s="458" t="s">
        <v>1703</v>
      </c>
      <c r="H5" s="458" t="s">
        <v>1610</v>
      </c>
      <c r="I5" s="504" t="s">
        <v>1700</v>
      </c>
      <c r="J5" s="505" t="s">
        <v>1701</v>
      </c>
      <c r="K5" s="506" t="s">
        <v>1702</v>
      </c>
      <c r="L5" s="506" t="s">
        <v>1703</v>
      </c>
      <c r="M5" s="507" t="s">
        <v>1610</v>
      </c>
      <c r="N5" s="456" t="s">
        <v>1700</v>
      </c>
      <c r="O5" s="456" t="s">
        <v>1701</v>
      </c>
      <c r="P5" s="458" t="s">
        <v>1702</v>
      </c>
      <c r="Q5" s="456" t="s">
        <v>1610</v>
      </c>
    </row>
    <row r="6" spans="1:17" ht="13.5" thickBot="1" x14ac:dyDescent="0.25">
      <c r="A6" s="99"/>
      <c r="B6" s="648"/>
      <c r="C6" s="508" t="s">
        <v>1704</v>
      </c>
      <c r="D6" s="439" t="s">
        <v>1705</v>
      </c>
      <c r="E6" s="439" t="s">
        <v>1706</v>
      </c>
      <c r="F6" s="462" t="s">
        <v>1676</v>
      </c>
      <c r="G6" s="462" t="s">
        <v>1707</v>
      </c>
      <c r="H6" s="462" t="s">
        <v>1708</v>
      </c>
      <c r="I6" s="509" t="s">
        <v>1705</v>
      </c>
      <c r="J6" s="510" t="s">
        <v>1706</v>
      </c>
      <c r="K6" s="511" t="s">
        <v>1676</v>
      </c>
      <c r="L6" s="511" t="s">
        <v>1707</v>
      </c>
      <c r="M6" s="512" t="s">
        <v>1708</v>
      </c>
      <c r="N6" s="439" t="s">
        <v>1705</v>
      </c>
      <c r="O6" s="439" t="s">
        <v>1706</v>
      </c>
      <c r="P6" s="462" t="s">
        <v>1676</v>
      </c>
      <c r="Q6" s="439" t="s">
        <v>1708</v>
      </c>
    </row>
    <row r="7" spans="1:17" ht="14.25" thickTop="1" thickBot="1" x14ac:dyDescent="0.25">
      <c r="A7" s="30"/>
      <c r="B7" s="45" t="s">
        <v>1452</v>
      </c>
      <c r="C7" s="45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54"/>
      <c r="Q7" s="513"/>
    </row>
    <row r="8" spans="1:17" ht="13.5" thickTop="1" x14ac:dyDescent="0.2">
      <c r="A8" s="36" t="str">
        <f>'[2]Table 13'!A9</f>
        <v>NC0103</v>
      </c>
      <c r="B8" s="37" t="str">
        <f>'[2]Table 13'!B9</f>
        <v>Alamance</v>
      </c>
      <c r="C8" s="390" t="str">
        <f>VLOOKUP($A8,[0]!Data,16,FALSE)</f>
        <v>Yes</v>
      </c>
      <c r="D8" s="322">
        <f>VLOOKUP($A8,[0]!Data,17,FALSE)</f>
        <v>923</v>
      </c>
      <c r="E8" s="322">
        <f>VLOOKUP($A8,[0]!Data,19,FALSE)</f>
        <v>274</v>
      </c>
      <c r="F8" s="322">
        <f>VLOOKUP($A8,[0]!Data,21,FALSE)</f>
        <v>10828</v>
      </c>
      <c r="G8" s="322">
        <f>VLOOKUP($A8,[0]!Data,24,FALSE)</f>
        <v>7285</v>
      </c>
      <c r="H8" s="322">
        <f>VLOOKUP($A8,[0]!Data,23,FALSE)</f>
        <v>73064</v>
      </c>
      <c r="I8" s="322">
        <f>VLOOKUP($A8,[0]!Data,18,FALSE)</f>
        <v>73</v>
      </c>
      <c r="J8" s="322">
        <f>VLOOKUP($A8,[0]!Data,20,FALSE)</f>
        <v>31</v>
      </c>
      <c r="K8" s="322">
        <f>VLOOKUP($A8,[0]!Data,21,FALSE)</f>
        <v>10828</v>
      </c>
      <c r="L8" s="322">
        <f>VLOOKUP($A8,[0]!Data,22,FALSE)</f>
        <v>434</v>
      </c>
      <c r="M8" s="322">
        <f>VLOOKUP($A8,[0]!Data,24,FALSE)</f>
        <v>7285</v>
      </c>
      <c r="N8" s="322">
        <f>SUM(D8,I8)</f>
        <v>996</v>
      </c>
      <c r="O8" s="322">
        <f>SUM(E8,J8)</f>
        <v>305</v>
      </c>
      <c r="P8" s="322">
        <f>SUM(F8,K8)</f>
        <v>21656</v>
      </c>
      <c r="Q8" s="324">
        <f>SUM(H8,M8)</f>
        <v>80349</v>
      </c>
    </row>
    <row r="9" spans="1:17" x14ac:dyDescent="0.2">
      <c r="A9" s="36" t="str">
        <f>'[2]Table 13'!A10</f>
        <v>NC0016</v>
      </c>
      <c r="B9" s="37" t="str">
        <f>'[2]Table 13'!B10</f>
        <v>Alexander</v>
      </c>
      <c r="C9" s="390" t="str">
        <f>VLOOKUP($A9,[0]!Data,16,FALSE)</f>
        <v>No</v>
      </c>
      <c r="D9" s="322">
        <f>VLOOKUP($A9,[0]!Data,17,FALSE)</f>
        <v>514</v>
      </c>
      <c r="E9" s="322">
        <f>VLOOKUP($A9,[0]!Data,19,FALSE)</f>
        <v>39</v>
      </c>
      <c r="F9" s="322">
        <f>VLOOKUP($A9,[0]!Data,21,FALSE)</f>
        <v>1285</v>
      </c>
      <c r="G9" s="322">
        <f>VLOOKUP($A9,[0]!Data,24,FALSE)</f>
        <v>1893</v>
      </c>
      <c r="H9" s="322">
        <f>VLOOKUP($A9,[0]!Data,23,FALSE)</f>
        <v>10485</v>
      </c>
      <c r="I9" s="322">
        <f>VLOOKUP($A9,[0]!Data,18,FALSE)</f>
        <v>115</v>
      </c>
      <c r="J9" s="322">
        <f>VLOOKUP($A9,[0]!Data,20,FALSE)</f>
        <v>2</v>
      </c>
      <c r="K9" s="322">
        <f>VLOOKUP($A9,[0]!Data,21,FALSE)</f>
        <v>1285</v>
      </c>
      <c r="L9" s="322">
        <f>VLOOKUP($A9,[0]!Data,22,FALSE)</f>
        <v>31</v>
      </c>
      <c r="M9" s="322">
        <f>VLOOKUP($A9,[0]!Data,24,FALSE)</f>
        <v>1893</v>
      </c>
      <c r="N9" s="322">
        <f t="shared" ref="N9:N65" si="0">SUM(D9,I9)</f>
        <v>629</v>
      </c>
      <c r="O9" s="322">
        <f t="shared" ref="O9:O65" si="1">SUM(E9,J9)</f>
        <v>41</v>
      </c>
      <c r="P9" s="322">
        <f t="shared" ref="P9:P65" si="2">SUM(F9,K9)</f>
        <v>2570</v>
      </c>
      <c r="Q9" s="324">
        <f t="shared" ref="Q9:Q65" si="3">SUM(H9,M9)</f>
        <v>12378</v>
      </c>
    </row>
    <row r="10" spans="1:17" x14ac:dyDescent="0.2">
      <c r="A10" s="36" t="str">
        <f>'[2]Table 13'!A11</f>
        <v>NC0017</v>
      </c>
      <c r="B10" s="37" t="str">
        <f>'[2]Table 13'!B11</f>
        <v>Bladen</v>
      </c>
      <c r="C10" s="390" t="str">
        <f>VLOOKUP($A10,[0]!Data,16,FALSE)</f>
        <v>Yes</v>
      </c>
      <c r="D10" s="322">
        <f>VLOOKUP($A10,[0]!Data,17,FALSE)</f>
        <v>195</v>
      </c>
      <c r="E10" s="322">
        <f>VLOOKUP($A10,[0]!Data,19,FALSE)</f>
        <v>29</v>
      </c>
      <c r="F10" s="322">
        <f>VLOOKUP($A10,[0]!Data,21,FALSE)</f>
        <v>696</v>
      </c>
      <c r="G10" s="322">
        <f>VLOOKUP($A10,[0]!Data,24,FALSE)</f>
        <v>0</v>
      </c>
      <c r="H10" s="322">
        <f>VLOOKUP($A10,[0]!Data,23,FALSE)</f>
        <v>3428</v>
      </c>
      <c r="I10" s="322">
        <f>VLOOKUP($A10,[0]!Data,18,FALSE)</f>
        <v>0</v>
      </c>
      <c r="J10" s="322">
        <f>VLOOKUP($A10,[0]!Data,20,FALSE)</f>
        <v>0</v>
      </c>
      <c r="K10" s="322">
        <f>VLOOKUP($A10,[0]!Data,21,FALSE)</f>
        <v>696</v>
      </c>
      <c r="L10" s="322">
        <f>VLOOKUP($A10,[0]!Data,22,FALSE)</f>
        <v>0</v>
      </c>
      <c r="M10" s="322">
        <f>VLOOKUP($A10,[0]!Data,24,FALSE)</f>
        <v>0</v>
      </c>
      <c r="N10" s="322">
        <f t="shared" si="0"/>
        <v>195</v>
      </c>
      <c r="O10" s="322">
        <f t="shared" si="1"/>
        <v>29</v>
      </c>
      <c r="P10" s="322">
        <f t="shared" si="2"/>
        <v>1392</v>
      </c>
      <c r="Q10" s="324">
        <f t="shared" si="3"/>
        <v>3428</v>
      </c>
    </row>
    <row r="11" spans="1:17" x14ac:dyDescent="0.2">
      <c r="A11" s="36" t="str">
        <f>'[2]Table 13'!A12</f>
        <v>NC0018</v>
      </c>
      <c r="B11" s="37" t="str">
        <f>'[2]Table 13'!B12</f>
        <v>Brunswick</v>
      </c>
      <c r="C11" s="390" t="str">
        <f>VLOOKUP($A11,[0]!Data,16,FALSE)</f>
        <v>No</v>
      </c>
      <c r="D11" s="322">
        <f>VLOOKUP($A11,[0]!Data,17,FALSE)</f>
        <v>675</v>
      </c>
      <c r="E11" s="322">
        <f>VLOOKUP($A11,[0]!Data,19,FALSE)</f>
        <v>65</v>
      </c>
      <c r="F11" s="322">
        <f>VLOOKUP($A11,[0]!Data,21,FALSE)</f>
        <v>3173</v>
      </c>
      <c r="G11" s="322">
        <f>VLOOKUP($A11,[0]!Data,24,FALSE)</f>
        <v>0</v>
      </c>
      <c r="H11" s="322">
        <f>VLOOKUP($A11,[0]!Data,23,FALSE)</f>
        <v>27071</v>
      </c>
      <c r="I11" s="322">
        <f>VLOOKUP($A11,[0]!Data,18,FALSE)</f>
        <v>0</v>
      </c>
      <c r="J11" s="322">
        <f>VLOOKUP($A11,[0]!Data,20,FALSE)</f>
        <v>0</v>
      </c>
      <c r="K11" s="322">
        <f>VLOOKUP($A11,[0]!Data,21,FALSE)</f>
        <v>3173</v>
      </c>
      <c r="L11" s="322">
        <f>VLOOKUP($A11,[0]!Data,22,FALSE)</f>
        <v>0</v>
      </c>
      <c r="M11" s="322">
        <f>VLOOKUP($A11,[0]!Data,24,FALSE)</f>
        <v>0</v>
      </c>
      <c r="N11" s="322">
        <f t="shared" si="0"/>
        <v>675</v>
      </c>
      <c r="O11" s="322">
        <f t="shared" si="1"/>
        <v>65</v>
      </c>
      <c r="P11" s="322">
        <f t="shared" si="2"/>
        <v>6346</v>
      </c>
      <c r="Q11" s="324">
        <f t="shared" si="3"/>
        <v>27071</v>
      </c>
    </row>
    <row r="12" spans="1:17" x14ac:dyDescent="0.2">
      <c r="A12" s="36" t="str">
        <f>'[2]Table 13'!A13</f>
        <v>NC0019</v>
      </c>
      <c r="B12" s="37" t="str">
        <f>'[2]Table 13'!B13</f>
        <v>Buncombe</v>
      </c>
      <c r="C12" s="390" t="str">
        <f>VLOOKUP($A12,[0]!Data,16,FALSE)</f>
        <v>Yes</v>
      </c>
      <c r="D12" s="322">
        <f>VLOOKUP($A12,[0]!Data,17,FALSE)</f>
        <v>6721</v>
      </c>
      <c r="E12" s="322">
        <f>VLOOKUP($A12,[0]!Data,19,FALSE)</f>
        <v>540</v>
      </c>
      <c r="F12" s="322">
        <f>VLOOKUP($A12,[0]!Data,21,FALSE)</f>
        <v>18671</v>
      </c>
      <c r="G12" s="322">
        <f>VLOOKUP($A12,[0]!Data,24,FALSE)</f>
        <v>13159</v>
      </c>
      <c r="H12" s="322">
        <f>VLOOKUP($A12,[0]!Data,23,FALSE)</f>
        <v>146946</v>
      </c>
      <c r="I12" s="322">
        <f>VLOOKUP($A12,[0]!Data,18,FALSE)</f>
        <v>329</v>
      </c>
      <c r="J12" s="322">
        <f>VLOOKUP($A12,[0]!Data,20,FALSE)</f>
        <v>25</v>
      </c>
      <c r="K12" s="322">
        <f>VLOOKUP($A12,[0]!Data,21,FALSE)</f>
        <v>18671</v>
      </c>
      <c r="L12" s="322">
        <f>VLOOKUP($A12,[0]!Data,22,FALSE)</f>
        <v>215</v>
      </c>
      <c r="M12" s="322">
        <f>VLOOKUP($A12,[0]!Data,24,FALSE)</f>
        <v>13159</v>
      </c>
      <c r="N12" s="322">
        <f t="shared" si="0"/>
        <v>7050</v>
      </c>
      <c r="O12" s="322">
        <f t="shared" si="1"/>
        <v>565</v>
      </c>
      <c r="P12" s="322">
        <f t="shared" si="2"/>
        <v>37342</v>
      </c>
      <c r="Q12" s="324">
        <f t="shared" si="3"/>
        <v>160105</v>
      </c>
    </row>
    <row r="13" spans="1:17" x14ac:dyDescent="0.2">
      <c r="A13" s="36" t="str">
        <f>'[2]Table 13'!A14</f>
        <v>NC0020</v>
      </c>
      <c r="B13" s="37" t="str">
        <f>'[2]Table 13'!B14</f>
        <v>Burke</v>
      </c>
      <c r="C13" s="390" t="str">
        <f>VLOOKUP($A13,[0]!Data,16,FALSE)</f>
        <v>Yes</v>
      </c>
      <c r="D13" s="322">
        <f>VLOOKUP($A13,[0]!Data,17,FALSE)</f>
        <v>606</v>
      </c>
      <c r="E13" s="322">
        <f>VLOOKUP($A13,[0]!Data,19,FALSE)</f>
        <v>193</v>
      </c>
      <c r="F13" s="322">
        <f>VLOOKUP($A13,[0]!Data,21,FALSE)</f>
        <v>4338</v>
      </c>
      <c r="G13" s="322">
        <f>VLOOKUP($A13,[0]!Data,24,FALSE)</f>
        <v>2942</v>
      </c>
      <c r="H13" s="322">
        <f>VLOOKUP($A13,[0]!Data,23,FALSE)</f>
        <v>14129</v>
      </c>
      <c r="I13" s="322">
        <f>VLOOKUP($A13,[0]!Data,18,FALSE)</f>
        <v>194</v>
      </c>
      <c r="J13" s="322">
        <f>VLOOKUP($A13,[0]!Data,20,FALSE)</f>
        <v>29</v>
      </c>
      <c r="K13" s="322">
        <f>VLOOKUP($A13,[0]!Data,21,FALSE)</f>
        <v>4338</v>
      </c>
      <c r="L13" s="322">
        <f>VLOOKUP($A13,[0]!Data,22,FALSE)</f>
        <v>2108</v>
      </c>
      <c r="M13" s="322">
        <f>VLOOKUP($A13,[0]!Data,24,FALSE)</f>
        <v>2942</v>
      </c>
      <c r="N13" s="322">
        <f t="shared" si="0"/>
        <v>800</v>
      </c>
      <c r="O13" s="322">
        <f t="shared" si="1"/>
        <v>222</v>
      </c>
      <c r="P13" s="322">
        <f t="shared" si="2"/>
        <v>8676</v>
      </c>
      <c r="Q13" s="324">
        <f t="shared" si="3"/>
        <v>17071</v>
      </c>
    </row>
    <row r="14" spans="1:17" x14ac:dyDescent="0.2">
      <c r="A14" s="36" t="str">
        <f>'[2]Table 13'!A15</f>
        <v>NC0021</v>
      </c>
      <c r="B14" s="37" t="str">
        <f>'[2]Table 13'!B15</f>
        <v>Cabarrus</v>
      </c>
      <c r="C14" s="390" t="str">
        <f>VLOOKUP($A14,[0]!Data,16,FALSE)</f>
        <v>Yes</v>
      </c>
      <c r="D14" s="322">
        <f>VLOOKUP($A14,[0]!Data,17,FALSE)</f>
        <v>3774</v>
      </c>
      <c r="E14" s="322">
        <f>VLOOKUP($A14,[0]!Data,19,FALSE)</f>
        <v>381</v>
      </c>
      <c r="F14" s="322">
        <f>VLOOKUP($A14,[0]!Data,21,FALSE)</f>
        <v>10223</v>
      </c>
      <c r="G14" s="322">
        <f>VLOOKUP($A14,[0]!Data,24,FALSE)</f>
        <v>10458</v>
      </c>
      <c r="H14" s="322">
        <f>VLOOKUP($A14,[0]!Data,23,FALSE)</f>
        <v>106272</v>
      </c>
      <c r="I14" s="322">
        <f>VLOOKUP($A14,[0]!Data,18,FALSE)</f>
        <v>704</v>
      </c>
      <c r="J14" s="322">
        <f>VLOOKUP($A14,[0]!Data,20,FALSE)</f>
        <v>135</v>
      </c>
      <c r="K14" s="322">
        <f>VLOOKUP($A14,[0]!Data,21,FALSE)</f>
        <v>10223</v>
      </c>
      <c r="L14" s="322">
        <f>VLOOKUP($A14,[0]!Data,22,FALSE)</f>
        <v>2993</v>
      </c>
      <c r="M14" s="322">
        <f>VLOOKUP($A14,[0]!Data,24,FALSE)</f>
        <v>10458</v>
      </c>
      <c r="N14" s="322">
        <f t="shared" si="0"/>
        <v>4478</v>
      </c>
      <c r="O14" s="322">
        <f t="shared" si="1"/>
        <v>516</v>
      </c>
      <c r="P14" s="322">
        <f t="shared" si="2"/>
        <v>20446</v>
      </c>
      <c r="Q14" s="324">
        <f t="shared" si="3"/>
        <v>116730</v>
      </c>
    </row>
    <row r="15" spans="1:17" x14ac:dyDescent="0.2">
      <c r="A15" s="36" t="str">
        <f>'[2]Table 13'!A16</f>
        <v>NC0022</v>
      </c>
      <c r="B15" s="37" t="str">
        <f>'[2]Table 13'!B16</f>
        <v>Caldwell</v>
      </c>
      <c r="C15" s="390" t="str">
        <f>VLOOKUP($A15,[0]!Data,16,FALSE)</f>
        <v>No</v>
      </c>
      <c r="D15" s="322">
        <f>VLOOKUP($A15,[0]!Data,17,FALSE)</f>
        <v>658</v>
      </c>
      <c r="E15" s="322">
        <f>VLOOKUP($A15,[0]!Data,19,FALSE)</f>
        <v>65</v>
      </c>
      <c r="F15" s="322">
        <f>VLOOKUP($A15,[0]!Data,21,FALSE)</f>
        <v>2658</v>
      </c>
      <c r="G15" s="322">
        <f>VLOOKUP($A15,[0]!Data,24,FALSE)</f>
        <v>4251</v>
      </c>
      <c r="H15" s="322">
        <f>VLOOKUP($A15,[0]!Data,23,FALSE)</f>
        <v>27628</v>
      </c>
      <c r="I15" s="322">
        <f>VLOOKUP($A15,[0]!Data,18,FALSE)</f>
        <v>226</v>
      </c>
      <c r="J15" s="322">
        <f>VLOOKUP($A15,[0]!Data,20,FALSE)</f>
        <v>8</v>
      </c>
      <c r="K15" s="322">
        <f>VLOOKUP($A15,[0]!Data,21,FALSE)</f>
        <v>2658</v>
      </c>
      <c r="L15" s="322">
        <f>VLOOKUP($A15,[0]!Data,22,FALSE)</f>
        <v>82</v>
      </c>
      <c r="M15" s="322">
        <f>VLOOKUP($A15,[0]!Data,24,FALSE)</f>
        <v>4251</v>
      </c>
      <c r="N15" s="322">
        <f t="shared" si="0"/>
        <v>884</v>
      </c>
      <c r="O15" s="322">
        <f t="shared" si="1"/>
        <v>73</v>
      </c>
      <c r="P15" s="322">
        <f t="shared" si="2"/>
        <v>5316</v>
      </c>
      <c r="Q15" s="324">
        <f t="shared" si="3"/>
        <v>31879</v>
      </c>
    </row>
    <row r="16" spans="1:17" x14ac:dyDescent="0.2">
      <c r="A16" s="36" t="str">
        <f>'[2]Table 13'!A17</f>
        <v>NC0107</v>
      </c>
      <c r="B16" s="37" t="str">
        <f>'[2]Table 13'!B17</f>
        <v>Caswell</v>
      </c>
      <c r="C16" s="390" t="str">
        <f>VLOOKUP($A16,[0]!Data,16,FALSE)</f>
        <v>Yes</v>
      </c>
      <c r="D16" s="322">
        <f>VLOOKUP($A16,[0]!Data,17,FALSE)</f>
        <v>368</v>
      </c>
      <c r="E16" s="322">
        <f>VLOOKUP($A16,[0]!Data,19,FALSE)</f>
        <v>16</v>
      </c>
      <c r="F16" s="322">
        <f>VLOOKUP($A16,[0]!Data,21,FALSE)</f>
        <v>836</v>
      </c>
      <c r="G16" s="322">
        <f>VLOOKUP($A16,[0]!Data,24,FALSE)</f>
        <v>983</v>
      </c>
      <c r="H16" s="322">
        <f>VLOOKUP($A16,[0]!Data,23,FALSE)</f>
        <v>5052</v>
      </c>
      <c r="I16" s="322">
        <f>VLOOKUP($A16,[0]!Data,18,FALSE)</f>
        <v>31</v>
      </c>
      <c r="J16" s="322">
        <f>VLOOKUP($A16,[0]!Data,20,FALSE)</f>
        <v>2</v>
      </c>
      <c r="K16" s="322">
        <f>VLOOKUP($A16,[0]!Data,21,FALSE)</f>
        <v>836</v>
      </c>
      <c r="L16" s="322">
        <f>VLOOKUP($A16,[0]!Data,22,FALSE)</f>
        <v>11</v>
      </c>
      <c r="M16" s="322">
        <f>VLOOKUP($A16,[0]!Data,24,FALSE)</f>
        <v>983</v>
      </c>
      <c r="N16" s="322">
        <f t="shared" si="0"/>
        <v>399</v>
      </c>
      <c r="O16" s="322">
        <f t="shared" si="1"/>
        <v>18</v>
      </c>
      <c r="P16" s="322">
        <f t="shared" si="2"/>
        <v>1672</v>
      </c>
      <c r="Q16" s="324">
        <f t="shared" si="3"/>
        <v>6035</v>
      </c>
    </row>
    <row r="17" spans="1:17" x14ac:dyDescent="0.2">
      <c r="A17" s="36" t="str">
        <f>'[2]Table 13'!A18</f>
        <v>NC0023</v>
      </c>
      <c r="B17" s="37" t="str">
        <f>'[2]Table 13'!B18</f>
        <v>Catawba</v>
      </c>
      <c r="C17" s="390" t="str">
        <f>VLOOKUP($A17,[0]!Data,16,FALSE)</f>
        <v>Yes</v>
      </c>
      <c r="D17" s="322">
        <f>VLOOKUP($A17,[0]!Data,17,FALSE)</f>
        <v>1334</v>
      </c>
      <c r="E17" s="322">
        <f>VLOOKUP($A17,[0]!Data,19,FALSE)</f>
        <v>167</v>
      </c>
      <c r="F17" s="322">
        <f>VLOOKUP($A17,[0]!Data,21,FALSE)</f>
        <v>3525</v>
      </c>
      <c r="G17" s="322">
        <f>VLOOKUP($A17,[0]!Data,24,FALSE)</f>
        <v>5565</v>
      </c>
      <c r="H17" s="322">
        <f>VLOOKUP($A17,[0]!Data,23,FALSE)</f>
        <v>32875</v>
      </c>
      <c r="I17" s="322">
        <f>VLOOKUP($A17,[0]!Data,18,FALSE)</f>
        <v>372</v>
      </c>
      <c r="J17" s="322">
        <f>VLOOKUP($A17,[0]!Data,20,FALSE)</f>
        <v>12</v>
      </c>
      <c r="K17" s="322">
        <f>VLOOKUP($A17,[0]!Data,21,FALSE)</f>
        <v>3525</v>
      </c>
      <c r="L17" s="322">
        <f>VLOOKUP($A17,[0]!Data,22,FALSE)</f>
        <v>150</v>
      </c>
      <c r="M17" s="322">
        <f>VLOOKUP($A17,[0]!Data,24,FALSE)</f>
        <v>5565</v>
      </c>
      <c r="N17" s="322">
        <f t="shared" si="0"/>
        <v>1706</v>
      </c>
      <c r="O17" s="322">
        <f t="shared" si="1"/>
        <v>179</v>
      </c>
      <c r="P17" s="322">
        <f t="shared" si="2"/>
        <v>7050</v>
      </c>
      <c r="Q17" s="324">
        <f t="shared" si="3"/>
        <v>38440</v>
      </c>
    </row>
    <row r="18" spans="1:17" x14ac:dyDescent="0.2">
      <c r="A18" s="36" t="str">
        <f>'[2]Table 13'!A19</f>
        <v>NC0104</v>
      </c>
      <c r="B18" s="37" t="str">
        <f>'[2]Table 13'!B19</f>
        <v>Chatham</v>
      </c>
      <c r="C18" s="390" t="str">
        <f>VLOOKUP($A18,[0]!Data,16,FALSE)</f>
        <v>Yes</v>
      </c>
      <c r="D18" s="322">
        <f>VLOOKUP($A18,[0]!Data,17,FALSE)</f>
        <v>604</v>
      </c>
      <c r="E18" s="322">
        <f>VLOOKUP($A18,[0]!Data,19,FALSE)</f>
        <v>147</v>
      </c>
      <c r="F18" s="322">
        <f>VLOOKUP($A18,[0]!Data,21,FALSE)</f>
        <v>5686</v>
      </c>
      <c r="G18" s="322">
        <f>VLOOKUP($A18,[0]!Data,24,FALSE)</f>
        <v>2716</v>
      </c>
      <c r="H18" s="322">
        <f>VLOOKUP($A18,[0]!Data,23,FALSE)</f>
        <v>27091</v>
      </c>
      <c r="I18" s="322">
        <f>VLOOKUP($A18,[0]!Data,18,FALSE)</f>
        <v>135</v>
      </c>
      <c r="J18" s="322">
        <f>VLOOKUP($A18,[0]!Data,20,FALSE)</f>
        <v>6</v>
      </c>
      <c r="K18" s="322">
        <f>VLOOKUP($A18,[0]!Data,21,FALSE)</f>
        <v>5686</v>
      </c>
      <c r="L18" s="322">
        <f>VLOOKUP($A18,[0]!Data,22,FALSE)</f>
        <v>126</v>
      </c>
      <c r="M18" s="322">
        <f>VLOOKUP($A18,[0]!Data,24,FALSE)</f>
        <v>2716</v>
      </c>
      <c r="N18" s="322">
        <f t="shared" si="0"/>
        <v>739</v>
      </c>
      <c r="O18" s="322">
        <f t="shared" si="1"/>
        <v>153</v>
      </c>
      <c r="P18" s="322">
        <f t="shared" si="2"/>
        <v>11372</v>
      </c>
      <c r="Q18" s="324">
        <f t="shared" si="3"/>
        <v>29807</v>
      </c>
    </row>
    <row r="19" spans="1:17" x14ac:dyDescent="0.2">
      <c r="A19" s="36" t="str">
        <f>'[2]Table 13'!A20</f>
        <v>NC0024</v>
      </c>
      <c r="B19" s="37" t="str">
        <f>'[2]Table 13'!B20</f>
        <v>Cleveland</v>
      </c>
      <c r="C19" s="390" t="str">
        <f>VLOOKUP($A19,[0]!Data,16,FALSE)</f>
        <v>Yes</v>
      </c>
      <c r="D19" s="322">
        <f>VLOOKUP($A19,[0]!Data,17,FALSE)</f>
        <v>545</v>
      </c>
      <c r="E19" s="322">
        <f>VLOOKUP($A19,[0]!Data,19,FALSE)</f>
        <v>97</v>
      </c>
      <c r="F19" s="322">
        <f>VLOOKUP($A19,[0]!Data,21,FALSE)</f>
        <v>3858</v>
      </c>
      <c r="G19" s="322">
        <f>VLOOKUP($A19,[0]!Data,24,FALSE)</f>
        <v>1942</v>
      </c>
      <c r="H19" s="322">
        <f>VLOOKUP($A19,[0]!Data,23,FALSE)</f>
        <v>18243</v>
      </c>
      <c r="I19" s="322">
        <f>VLOOKUP($A19,[0]!Data,18,FALSE)</f>
        <v>145</v>
      </c>
      <c r="J19" s="322">
        <f>VLOOKUP($A19,[0]!Data,20,FALSE)</f>
        <v>18</v>
      </c>
      <c r="K19" s="322">
        <f>VLOOKUP($A19,[0]!Data,21,FALSE)</f>
        <v>3858</v>
      </c>
      <c r="L19" s="322">
        <f>VLOOKUP($A19,[0]!Data,22,FALSE)</f>
        <v>271</v>
      </c>
      <c r="M19" s="322">
        <f>VLOOKUP($A19,[0]!Data,24,FALSE)</f>
        <v>1942</v>
      </c>
      <c r="N19" s="322">
        <f t="shared" si="0"/>
        <v>690</v>
      </c>
      <c r="O19" s="322">
        <f t="shared" si="1"/>
        <v>115</v>
      </c>
      <c r="P19" s="322">
        <f t="shared" si="2"/>
        <v>7716</v>
      </c>
      <c r="Q19" s="324">
        <f t="shared" si="3"/>
        <v>20185</v>
      </c>
    </row>
    <row r="20" spans="1:17" x14ac:dyDescent="0.2">
      <c r="A20" s="36" t="str">
        <f>'[2]Table 13'!A21</f>
        <v>NC0025</v>
      </c>
      <c r="B20" s="37" t="str">
        <f>'[2]Table 13'!B21</f>
        <v>Columbus</v>
      </c>
      <c r="C20" s="390" t="str">
        <f>VLOOKUP($A20,[0]!Data,16,FALSE)</f>
        <v>Yes</v>
      </c>
      <c r="D20" s="322">
        <f>VLOOKUP($A20,[0]!Data,17,FALSE)</f>
        <v>0</v>
      </c>
      <c r="E20" s="322">
        <f>VLOOKUP($A20,[0]!Data,19,FALSE)</f>
        <v>34</v>
      </c>
      <c r="F20" s="322">
        <f>VLOOKUP($A20,[0]!Data,21,FALSE)</f>
        <v>397</v>
      </c>
      <c r="G20" s="322">
        <f>VLOOKUP($A20,[0]!Data,24,FALSE)</f>
        <v>0</v>
      </c>
      <c r="H20" s="322">
        <f>VLOOKUP($A20,[0]!Data,23,FALSE)</f>
        <v>-1</v>
      </c>
      <c r="I20" s="322">
        <f>VLOOKUP($A20,[0]!Data,18,FALSE)</f>
        <v>0</v>
      </c>
      <c r="J20" s="322">
        <f>VLOOKUP($A20,[0]!Data,20,FALSE)</f>
        <v>0</v>
      </c>
      <c r="K20" s="322">
        <f>VLOOKUP($A20,[0]!Data,21,FALSE)</f>
        <v>397</v>
      </c>
      <c r="L20" s="322">
        <f>VLOOKUP($A20,[0]!Data,22,FALSE)</f>
        <v>0</v>
      </c>
      <c r="M20" s="322">
        <f>VLOOKUP($A20,[0]!Data,24,FALSE)</f>
        <v>0</v>
      </c>
      <c r="N20" s="322">
        <f t="shared" si="0"/>
        <v>0</v>
      </c>
      <c r="O20" s="322">
        <f t="shared" si="1"/>
        <v>34</v>
      </c>
      <c r="P20" s="322">
        <f t="shared" si="2"/>
        <v>794</v>
      </c>
      <c r="Q20" s="324">
        <f t="shared" si="3"/>
        <v>-1</v>
      </c>
    </row>
    <row r="21" spans="1:17" x14ac:dyDescent="0.2">
      <c r="A21" s="36" t="str">
        <f>'[2]Table 13'!A22</f>
        <v>NC0026</v>
      </c>
      <c r="B21" s="37" t="str">
        <f>'[2]Table 13'!B22</f>
        <v>Cumberland</v>
      </c>
      <c r="C21" s="390" t="str">
        <f>VLOOKUP($A21,[0]!Data,16,FALSE)</f>
        <v>Yes</v>
      </c>
      <c r="D21" s="322">
        <f>VLOOKUP($A21,[0]!Data,17,FALSE)</f>
        <v>2519</v>
      </c>
      <c r="E21" s="322">
        <f>VLOOKUP($A21,[0]!Data,19,FALSE)</f>
        <v>693</v>
      </c>
      <c r="F21" s="322">
        <f>VLOOKUP($A21,[0]!Data,21,FALSE)</f>
        <v>21756</v>
      </c>
      <c r="G21" s="322">
        <f>VLOOKUP($A21,[0]!Data,24,FALSE)</f>
        <v>27692</v>
      </c>
      <c r="H21" s="322">
        <f>VLOOKUP($A21,[0]!Data,23,FALSE)</f>
        <v>151615</v>
      </c>
      <c r="I21" s="322">
        <f>VLOOKUP($A21,[0]!Data,18,FALSE)</f>
        <v>498</v>
      </c>
      <c r="J21" s="322">
        <f>VLOOKUP($A21,[0]!Data,20,FALSE)</f>
        <v>111</v>
      </c>
      <c r="K21" s="322">
        <f>VLOOKUP($A21,[0]!Data,21,FALSE)</f>
        <v>21756</v>
      </c>
      <c r="L21" s="322">
        <f>VLOOKUP($A21,[0]!Data,22,FALSE)</f>
        <v>1450</v>
      </c>
      <c r="M21" s="322">
        <f>VLOOKUP($A21,[0]!Data,24,FALSE)</f>
        <v>27692</v>
      </c>
      <c r="N21" s="322">
        <f t="shared" si="0"/>
        <v>3017</v>
      </c>
      <c r="O21" s="322">
        <f t="shared" si="1"/>
        <v>804</v>
      </c>
      <c r="P21" s="322">
        <f t="shared" si="2"/>
        <v>43512</v>
      </c>
      <c r="Q21" s="324">
        <f t="shared" si="3"/>
        <v>179307</v>
      </c>
    </row>
    <row r="22" spans="1:17" x14ac:dyDescent="0.2">
      <c r="A22" s="36" t="str">
        <f>'[2]Table 13'!A23</f>
        <v>NC0027</v>
      </c>
      <c r="B22" s="37" t="str">
        <f>'[2]Table 13'!B23</f>
        <v>Davidson</v>
      </c>
      <c r="C22" s="390" t="str">
        <f>VLOOKUP($A22,[0]!Data,16,FALSE)</f>
        <v>Yes</v>
      </c>
      <c r="D22" s="322">
        <f>VLOOKUP($A22,[0]!Data,17,FALSE)</f>
        <v>985</v>
      </c>
      <c r="E22" s="322">
        <f>VLOOKUP($A22,[0]!Data,19,FALSE)</f>
        <v>211</v>
      </c>
      <c r="F22" s="322">
        <f>VLOOKUP($A22,[0]!Data,21,FALSE)</f>
        <v>6097</v>
      </c>
      <c r="G22" s="322">
        <f>VLOOKUP($A22,[0]!Data,24,FALSE)</f>
        <v>6673</v>
      </c>
      <c r="H22" s="322">
        <f>VLOOKUP($A22,[0]!Data,23,FALSE)</f>
        <v>43223</v>
      </c>
      <c r="I22" s="322">
        <f>VLOOKUP($A22,[0]!Data,18,FALSE)</f>
        <v>166</v>
      </c>
      <c r="J22" s="322">
        <f>VLOOKUP($A22,[0]!Data,20,FALSE)</f>
        <v>64</v>
      </c>
      <c r="K22" s="322">
        <f>VLOOKUP($A22,[0]!Data,21,FALSE)</f>
        <v>6097</v>
      </c>
      <c r="L22" s="322">
        <f>VLOOKUP($A22,[0]!Data,22,FALSE)</f>
        <v>483</v>
      </c>
      <c r="M22" s="322">
        <f>VLOOKUP($A22,[0]!Data,24,FALSE)</f>
        <v>6673</v>
      </c>
      <c r="N22" s="322">
        <f t="shared" si="0"/>
        <v>1151</v>
      </c>
      <c r="O22" s="322">
        <f t="shared" si="1"/>
        <v>275</v>
      </c>
      <c r="P22" s="322">
        <f t="shared" si="2"/>
        <v>12194</v>
      </c>
      <c r="Q22" s="324">
        <f t="shared" si="3"/>
        <v>49896</v>
      </c>
    </row>
    <row r="23" spans="1:17" x14ac:dyDescent="0.2">
      <c r="A23" s="36" t="str">
        <f>'[2]Table 13'!A24</f>
        <v>NC0028</v>
      </c>
      <c r="B23" s="37" t="str">
        <f>'[2]Table 13'!B24</f>
        <v>Davie</v>
      </c>
      <c r="C23" s="390" t="str">
        <f>VLOOKUP($A23,[0]!Data,16,FALSE)</f>
        <v>Yes</v>
      </c>
      <c r="D23" s="322">
        <f>VLOOKUP($A23,[0]!Data,17,FALSE)</f>
        <v>240</v>
      </c>
      <c r="E23" s="322">
        <f>VLOOKUP($A23,[0]!Data,19,FALSE)</f>
        <v>63</v>
      </c>
      <c r="F23" s="322">
        <f>VLOOKUP($A23,[0]!Data,21,FALSE)</f>
        <v>1652</v>
      </c>
      <c r="G23" s="322">
        <f>VLOOKUP($A23,[0]!Data,24,FALSE)</f>
        <v>1182</v>
      </c>
      <c r="H23" s="322">
        <f>VLOOKUP($A23,[0]!Data,23,FALSE)</f>
        <v>11291</v>
      </c>
      <c r="I23" s="322">
        <f>VLOOKUP($A23,[0]!Data,18,FALSE)</f>
        <v>35</v>
      </c>
      <c r="J23" s="322">
        <f>VLOOKUP($A23,[0]!Data,20,FALSE)</f>
        <v>88</v>
      </c>
      <c r="K23" s="322">
        <f>VLOOKUP($A23,[0]!Data,21,FALSE)</f>
        <v>1652</v>
      </c>
      <c r="L23" s="322">
        <f>VLOOKUP($A23,[0]!Data,22,FALSE)</f>
        <v>349</v>
      </c>
      <c r="M23" s="322">
        <f>VLOOKUP($A23,[0]!Data,24,FALSE)</f>
        <v>1182</v>
      </c>
      <c r="N23" s="322">
        <f t="shared" si="0"/>
        <v>275</v>
      </c>
      <c r="O23" s="322">
        <f t="shared" si="1"/>
        <v>151</v>
      </c>
      <c r="P23" s="322">
        <f t="shared" si="2"/>
        <v>3304</v>
      </c>
      <c r="Q23" s="324">
        <f t="shared" si="3"/>
        <v>12473</v>
      </c>
    </row>
    <row r="24" spans="1:17" x14ac:dyDescent="0.2">
      <c r="A24" s="36" t="str">
        <f>'[2]Table 13'!A25</f>
        <v>NC0029</v>
      </c>
      <c r="B24" s="37" t="str">
        <f>'[2]Table 13'!B25</f>
        <v>Duplin</v>
      </c>
      <c r="C24" s="390" t="str">
        <f>VLOOKUP($A24,[0]!Data,16,FALSE)</f>
        <v>Yes</v>
      </c>
      <c r="D24" s="322">
        <f>VLOOKUP($A24,[0]!Data,17,FALSE)</f>
        <v>173</v>
      </c>
      <c r="E24" s="322">
        <f>VLOOKUP($A24,[0]!Data,19,FALSE)</f>
        <v>21</v>
      </c>
      <c r="F24" s="322">
        <f>VLOOKUP($A24,[0]!Data,21,FALSE)</f>
        <v>561</v>
      </c>
      <c r="G24" s="322">
        <f>VLOOKUP($A24,[0]!Data,24,FALSE)</f>
        <v>0</v>
      </c>
      <c r="H24" s="322">
        <f>VLOOKUP($A24,[0]!Data,23,FALSE)</f>
        <v>7583</v>
      </c>
      <c r="I24" s="322">
        <f>VLOOKUP($A24,[0]!Data,18,FALSE)</f>
        <v>0</v>
      </c>
      <c r="J24" s="322">
        <f>VLOOKUP($A24,[0]!Data,20,FALSE)</f>
        <v>0</v>
      </c>
      <c r="K24" s="322">
        <f>VLOOKUP($A24,[0]!Data,21,FALSE)</f>
        <v>561</v>
      </c>
      <c r="L24" s="322">
        <f>VLOOKUP($A24,[0]!Data,22,FALSE)</f>
        <v>0</v>
      </c>
      <c r="M24" s="322">
        <f>VLOOKUP($A24,[0]!Data,24,FALSE)</f>
        <v>0</v>
      </c>
      <c r="N24" s="322">
        <f t="shared" si="0"/>
        <v>173</v>
      </c>
      <c r="O24" s="322">
        <f t="shared" si="1"/>
        <v>21</v>
      </c>
      <c r="P24" s="322">
        <f t="shared" si="2"/>
        <v>1122</v>
      </c>
      <c r="Q24" s="324">
        <f t="shared" si="3"/>
        <v>7583</v>
      </c>
    </row>
    <row r="25" spans="1:17" x14ac:dyDescent="0.2">
      <c r="A25" s="36" t="str">
        <f>'[2]Table 13'!A26</f>
        <v>NC0030</v>
      </c>
      <c r="B25" s="37" t="str">
        <f>'[2]Table 13'!B26</f>
        <v>Durham</v>
      </c>
      <c r="C25" s="390" t="str">
        <f>VLOOKUP($A25,[0]!Data,16,FALSE)</f>
        <v>Yes</v>
      </c>
      <c r="D25" s="322">
        <f>VLOOKUP($A25,[0]!Data,17,FALSE)</f>
        <v>3839</v>
      </c>
      <c r="E25" s="322">
        <f>VLOOKUP($A25,[0]!Data,19,FALSE)</f>
        <v>576</v>
      </c>
      <c r="F25" s="322">
        <f>VLOOKUP($A25,[0]!Data,21,FALSE)</f>
        <v>24340</v>
      </c>
      <c r="G25" s="322">
        <f>VLOOKUP($A25,[0]!Data,24,FALSE)</f>
        <v>24922</v>
      </c>
      <c r="H25" s="322">
        <f>VLOOKUP($A25,[0]!Data,23,FALSE)</f>
        <v>287035</v>
      </c>
      <c r="I25" s="322">
        <f>VLOOKUP($A25,[0]!Data,18,FALSE)</f>
        <v>806</v>
      </c>
      <c r="J25" s="322">
        <f>VLOOKUP($A25,[0]!Data,20,FALSE)</f>
        <v>37</v>
      </c>
      <c r="K25" s="322">
        <f>VLOOKUP($A25,[0]!Data,21,FALSE)</f>
        <v>24340</v>
      </c>
      <c r="L25" s="322">
        <f>VLOOKUP($A25,[0]!Data,22,FALSE)</f>
        <v>361</v>
      </c>
      <c r="M25" s="322">
        <f>VLOOKUP($A25,[0]!Data,24,FALSE)</f>
        <v>24922</v>
      </c>
      <c r="N25" s="322">
        <f t="shared" si="0"/>
        <v>4645</v>
      </c>
      <c r="O25" s="322">
        <f t="shared" si="1"/>
        <v>613</v>
      </c>
      <c r="P25" s="322">
        <f t="shared" si="2"/>
        <v>48680</v>
      </c>
      <c r="Q25" s="324">
        <f t="shared" si="3"/>
        <v>311957</v>
      </c>
    </row>
    <row r="26" spans="1:17" x14ac:dyDescent="0.2">
      <c r="A26" s="36" t="str">
        <f>'[2]Table 13'!A27</f>
        <v>NC0031</v>
      </c>
      <c r="B26" s="37" t="str">
        <f>'[2]Table 13'!B27</f>
        <v>Edgecombe</v>
      </c>
      <c r="C26" s="390" t="str">
        <f>VLOOKUP($A26,[0]!Data,16,FALSE)</f>
        <v>Yes</v>
      </c>
      <c r="D26" s="322">
        <f>VLOOKUP($A26,[0]!Data,17,FALSE)</f>
        <v>527</v>
      </c>
      <c r="E26" s="322">
        <f>VLOOKUP($A26,[0]!Data,19,FALSE)</f>
        <v>159</v>
      </c>
      <c r="F26" s="322">
        <f>VLOOKUP($A26,[0]!Data,21,FALSE)</f>
        <v>3402</v>
      </c>
      <c r="G26" s="322">
        <f>VLOOKUP($A26,[0]!Data,24,FALSE)</f>
        <v>968</v>
      </c>
      <c r="H26" s="322">
        <f>VLOOKUP($A26,[0]!Data,23,FALSE)</f>
        <v>4575</v>
      </c>
      <c r="I26" s="322">
        <f>VLOOKUP($A26,[0]!Data,18,FALSE)</f>
        <v>174</v>
      </c>
      <c r="J26" s="322">
        <f>VLOOKUP($A26,[0]!Data,20,FALSE)</f>
        <v>159</v>
      </c>
      <c r="K26" s="322">
        <f>VLOOKUP($A26,[0]!Data,21,FALSE)</f>
        <v>3402</v>
      </c>
      <c r="L26" s="322">
        <f>VLOOKUP($A26,[0]!Data,22,FALSE)</f>
        <v>3402</v>
      </c>
      <c r="M26" s="322">
        <f>VLOOKUP($A26,[0]!Data,24,FALSE)</f>
        <v>968</v>
      </c>
      <c r="N26" s="322">
        <f t="shared" si="0"/>
        <v>701</v>
      </c>
      <c r="O26" s="322">
        <f t="shared" si="1"/>
        <v>318</v>
      </c>
      <c r="P26" s="322">
        <f t="shared" si="2"/>
        <v>6804</v>
      </c>
      <c r="Q26" s="324">
        <f t="shared" si="3"/>
        <v>5543</v>
      </c>
    </row>
    <row r="27" spans="1:17" x14ac:dyDescent="0.2">
      <c r="A27" s="36" t="str">
        <f>'[2]Table 13'!A28</f>
        <v>NC0032</v>
      </c>
      <c r="B27" s="37" t="str">
        <f>'[2]Table 13'!B28</f>
        <v>Forsyth</v>
      </c>
      <c r="C27" s="390" t="str">
        <f>VLOOKUP($A27,[0]!Data,16,FALSE)</f>
        <v>Yes</v>
      </c>
      <c r="D27" s="322">
        <f>VLOOKUP($A27,[0]!Data,17,FALSE)</f>
        <v>974</v>
      </c>
      <c r="E27" s="322">
        <f>VLOOKUP($A27,[0]!Data,19,FALSE)</f>
        <v>350</v>
      </c>
      <c r="F27" s="322">
        <f>VLOOKUP($A27,[0]!Data,21,FALSE)</f>
        <v>14954</v>
      </c>
      <c r="G27" s="322">
        <f>VLOOKUP($A27,[0]!Data,24,FALSE)</f>
        <v>11327</v>
      </c>
      <c r="H27" s="322">
        <f>VLOOKUP($A27,[0]!Data,23,FALSE)</f>
        <v>115003</v>
      </c>
      <c r="I27" s="322">
        <f>VLOOKUP($A27,[0]!Data,18,FALSE)</f>
        <v>1693</v>
      </c>
      <c r="J27" s="322">
        <f>VLOOKUP($A27,[0]!Data,20,FALSE)</f>
        <v>36</v>
      </c>
      <c r="K27" s="322">
        <f>VLOOKUP($A27,[0]!Data,21,FALSE)</f>
        <v>14954</v>
      </c>
      <c r="L27" s="322">
        <f>VLOOKUP($A27,[0]!Data,22,FALSE)</f>
        <v>436</v>
      </c>
      <c r="M27" s="322">
        <f>VLOOKUP($A27,[0]!Data,24,FALSE)</f>
        <v>11327</v>
      </c>
      <c r="N27" s="322">
        <f t="shared" si="0"/>
        <v>2667</v>
      </c>
      <c r="O27" s="322">
        <f t="shared" si="1"/>
        <v>386</v>
      </c>
      <c r="P27" s="322">
        <f t="shared" si="2"/>
        <v>29908</v>
      </c>
      <c r="Q27" s="324">
        <f t="shared" si="3"/>
        <v>126330</v>
      </c>
    </row>
    <row r="28" spans="1:17" x14ac:dyDescent="0.2">
      <c r="A28" s="36" t="str">
        <f>'[2]Table 13'!A29</f>
        <v>NC0033</v>
      </c>
      <c r="B28" s="37" t="str">
        <f>'[2]Table 13'!B29</f>
        <v>Franklin</v>
      </c>
      <c r="C28" s="390" t="str">
        <f>VLOOKUP($A28,[0]!Data,16,FALSE)</f>
        <v>No</v>
      </c>
      <c r="D28" s="322">
        <f>VLOOKUP($A28,[0]!Data,17,FALSE)</f>
        <v>0</v>
      </c>
      <c r="E28" s="322">
        <f>VLOOKUP($A28,[0]!Data,19,FALSE)</f>
        <v>76</v>
      </c>
      <c r="F28" s="322">
        <f>VLOOKUP($A28,[0]!Data,21,FALSE)</f>
        <v>1058</v>
      </c>
      <c r="G28" s="322">
        <f>VLOOKUP($A28,[0]!Data,24,FALSE)</f>
        <v>2317</v>
      </c>
      <c r="H28" s="322">
        <f>VLOOKUP($A28,[0]!Data,23,FALSE)</f>
        <v>16777</v>
      </c>
      <c r="I28" s="322">
        <f>VLOOKUP($A28,[0]!Data,18,FALSE)</f>
        <v>0</v>
      </c>
      <c r="J28" s="322">
        <f>VLOOKUP($A28,[0]!Data,20,FALSE)</f>
        <v>0</v>
      </c>
      <c r="K28" s="322">
        <f>VLOOKUP($A28,[0]!Data,21,FALSE)</f>
        <v>1058</v>
      </c>
      <c r="L28" s="322">
        <f>VLOOKUP($A28,[0]!Data,22,FALSE)</f>
        <v>0</v>
      </c>
      <c r="M28" s="322">
        <f>VLOOKUP($A28,[0]!Data,24,FALSE)</f>
        <v>2317</v>
      </c>
      <c r="N28" s="322">
        <f t="shared" si="0"/>
        <v>0</v>
      </c>
      <c r="O28" s="322">
        <f t="shared" si="1"/>
        <v>76</v>
      </c>
      <c r="P28" s="322">
        <f t="shared" si="2"/>
        <v>2116</v>
      </c>
      <c r="Q28" s="324">
        <f t="shared" si="3"/>
        <v>19094</v>
      </c>
    </row>
    <row r="29" spans="1:17" x14ac:dyDescent="0.2">
      <c r="A29" s="36" t="str">
        <f>'[2]Table 13'!A30</f>
        <v>NC0105</v>
      </c>
      <c r="B29" s="37" t="str">
        <f>'[2]Table 13'!B30</f>
        <v>Gaston</v>
      </c>
      <c r="C29" s="390">
        <f>VLOOKUP($A29,[0]!Data,16,FALSE)</f>
        <v>0</v>
      </c>
      <c r="D29" s="322">
        <f>VLOOKUP($A29,[0]!Data,17,FALSE)</f>
        <v>3841</v>
      </c>
      <c r="E29" s="322">
        <f>VLOOKUP($A29,[0]!Data,19,FALSE)</f>
        <v>999</v>
      </c>
      <c r="F29" s="322">
        <f>VLOOKUP($A29,[0]!Data,21,FALSE)</f>
        <v>32400</v>
      </c>
      <c r="G29" s="322">
        <f>VLOOKUP($A29,[0]!Data,24,FALSE)</f>
        <v>13652</v>
      </c>
      <c r="H29" s="322">
        <f>VLOOKUP($A29,[0]!Data,23,FALSE)</f>
        <v>104469</v>
      </c>
      <c r="I29" s="322">
        <f>VLOOKUP($A29,[0]!Data,18,FALSE)</f>
        <v>957</v>
      </c>
      <c r="J29" s="322">
        <f>VLOOKUP($A29,[0]!Data,20,FALSE)</f>
        <v>325</v>
      </c>
      <c r="K29" s="322">
        <f>VLOOKUP($A29,[0]!Data,21,FALSE)</f>
        <v>32400</v>
      </c>
      <c r="L29" s="322">
        <f>VLOOKUP($A29,[0]!Data,22,FALSE)</f>
        <v>2423</v>
      </c>
      <c r="M29" s="322">
        <f>VLOOKUP($A29,[0]!Data,24,FALSE)</f>
        <v>13652</v>
      </c>
      <c r="N29" s="322">
        <f t="shared" si="0"/>
        <v>4798</v>
      </c>
      <c r="O29" s="322">
        <f t="shared" si="1"/>
        <v>1324</v>
      </c>
      <c r="P29" s="322">
        <f t="shared" si="2"/>
        <v>64800</v>
      </c>
      <c r="Q29" s="324">
        <f t="shared" si="3"/>
        <v>118121</v>
      </c>
    </row>
    <row r="30" spans="1:17" x14ac:dyDescent="0.2">
      <c r="A30" s="36" t="str">
        <f>'[2]Table 13'!A31</f>
        <v>NC0034</v>
      </c>
      <c r="B30" s="37" t="str">
        <f>'[2]Table 13'!B31</f>
        <v>Granville</v>
      </c>
      <c r="C30" s="390" t="str">
        <f>VLOOKUP($A30,[0]!Data,16,FALSE)</f>
        <v>Yes</v>
      </c>
      <c r="D30" s="322">
        <f>VLOOKUP($A30,[0]!Data,17,FALSE)</f>
        <v>334</v>
      </c>
      <c r="E30" s="322">
        <f>VLOOKUP($A30,[0]!Data,19,FALSE)</f>
        <v>32</v>
      </c>
      <c r="F30" s="322">
        <f>VLOOKUP($A30,[0]!Data,21,FALSE)</f>
        <v>1676</v>
      </c>
      <c r="G30" s="322">
        <f>VLOOKUP($A30,[0]!Data,24,FALSE)</f>
        <v>2152</v>
      </c>
      <c r="H30" s="322">
        <f>VLOOKUP($A30,[0]!Data,23,FALSE)</f>
        <v>13972</v>
      </c>
      <c r="I30" s="322">
        <f>VLOOKUP($A30,[0]!Data,18,FALSE)</f>
        <v>91</v>
      </c>
      <c r="J30" s="322">
        <f>VLOOKUP($A30,[0]!Data,20,FALSE)</f>
        <v>17</v>
      </c>
      <c r="K30" s="322">
        <f>VLOOKUP($A30,[0]!Data,21,FALSE)</f>
        <v>1676</v>
      </c>
      <c r="L30" s="322">
        <f>VLOOKUP($A30,[0]!Data,22,FALSE)</f>
        <v>123</v>
      </c>
      <c r="M30" s="322">
        <f>VLOOKUP($A30,[0]!Data,24,FALSE)</f>
        <v>2152</v>
      </c>
      <c r="N30" s="322">
        <f t="shared" si="0"/>
        <v>425</v>
      </c>
      <c r="O30" s="322">
        <f t="shared" si="1"/>
        <v>49</v>
      </c>
      <c r="P30" s="322">
        <f t="shared" si="2"/>
        <v>3352</v>
      </c>
      <c r="Q30" s="324">
        <f t="shared" si="3"/>
        <v>16124</v>
      </c>
    </row>
    <row r="31" spans="1:17" x14ac:dyDescent="0.2">
      <c r="A31" s="36" t="str">
        <f>'[2]Table 13'!A32</f>
        <v>NC0035</v>
      </c>
      <c r="B31" s="37" t="str">
        <f>'[2]Table 13'!B32</f>
        <v>Guilford (Greensboro)</v>
      </c>
      <c r="C31" s="390" t="str">
        <f>VLOOKUP($A31,[0]!Data,16,FALSE)</f>
        <v>Yes</v>
      </c>
      <c r="D31" s="322">
        <f>VLOOKUP($A31,[0]!Data,17,FALSE)</f>
        <v>5107</v>
      </c>
      <c r="E31" s="322">
        <f>VLOOKUP($A31,[0]!Data,19,FALSE)</f>
        <v>556</v>
      </c>
      <c r="F31" s="322">
        <f>VLOOKUP($A31,[0]!Data,21,FALSE)</f>
        <v>23227</v>
      </c>
      <c r="G31" s="322">
        <f>VLOOKUP($A31,[0]!Data,24,FALSE)</f>
        <v>21539</v>
      </c>
      <c r="H31" s="322">
        <f>VLOOKUP($A31,[0]!Data,23,FALSE)</f>
        <v>182355</v>
      </c>
      <c r="I31" s="322">
        <f>VLOOKUP($A31,[0]!Data,18,FALSE)</f>
        <v>1089</v>
      </c>
      <c r="J31" s="322">
        <f>VLOOKUP($A31,[0]!Data,20,FALSE)</f>
        <v>120</v>
      </c>
      <c r="K31" s="322">
        <f>VLOOKUP($A31,[0]!Data,21,FALSE)</f>
        <v>23227</v>
      </c>
      <c r="L31" s="322">
        <f>VLOOKUP($A31,[0]!Data,22,FALSE)</f>
        <v>1448</v>
      </c>
      <c r="M31" s="322">
        <f>VLOOKUP($A31,[0]!Data,24,FALSE)</f>
        <v>21539</v>
      </c>
      <c r="N31" s="322">
        <f t="shared" si="0"/>
        <v>6196</v>
      </c>
      <c r="O31" s="322">
        <f t="shared" si="1"/>
        <v>676</v>
      </c>
      <c r="P31" s="322">
        <f t="shared" si="2"/>
        <v>46454</v>
      </c>
      <c r="Q31" s="324">
        <f t="shared" si="3"/>
        <v>203894</v>
      </c>
    </row>
    <row r="32" spans="1:17" x14ac:dyDescent="0.2">
      <c r="A32" s="36" t="str">
        <f>'[2]Table 13'!A33</f>
        <v>NC0036</v>
      </c>
      <c r="B32" s="37" t="str">
        <f>'[2]Table 13'!B33</f>
        <v>Halifax</v>
      </c>
      <c r="C32" s="390" t="str">
        <f>VLOOKUP($A32,[0]!Data,16,FALSE)</f>
        <v>Yes</v>
      </c>
      <c r="D32" s="322">
        <f>VLOOKUP($A32,[0]!Data,17,FALSE)</f>
        <v>267</v>
      </c>
      <c r="E32" s="322">
        <f>VLOOKUP($A32,[0]!Data,19,FALSE)</f>
        <v>35</v>
      </c>
      <c r="F32" s="322">
        <f>VLOOKUP($A32,[0]!Data,21,FALSE)</f>
        <v>521</v>
      </c>
      <c r="G32" s="322">
        <f>VLOOKUP($A32,[0]!Data,24,FALSE)</f>
        <v>1267</v>
      </c>
      <c r="H32" s="322">
        <f>VLOOKUP($A32,[0]!Data,23,FALSE)</f>
        <v>3380</v>
      </c>
      <c r="I32" s="322">
        <f>VLOOKUP($A32,[0]!Data,18,FALSE)</f>
        <v>60</v>
      </c>
      <c r="J32" s="322">
        <f>VLOOKUP($A32,[0]!Data,20,FALSE)</f>
        <v>19</v>
      </c>
      <c r="K32" s="322">
        <f>VLOOKUP($A32,[0]!Data,21,FALSE)</f>
        <v>521</v>
      </c>
      <c r="L32" s="322">
        <f>VLOOKUP($A32,[0]!Data,22,FALSE)</f>
        <v>200</v>
      </c>
      <c r="M32" s="322">
        <f>VLOOKUP($A32,[0]!Data,24,FALSE)</f>
        <v>1267</v>
      </c>
      <c r="N32" s="322">
        <f t="shared" si="0"/>
        <v>327</v>
      </c>
      <c r="O32" s="322">
        <f t="shared" si="1"/>
        <v>54</v>
      </c>
      <c r="P32" s="322">
        <f t="shared" si="2"/>
        <v>1042</v>
      </c>
      <c r="Q32" s="324">
        <f t="shared" si="3"/>
        <v>4647</v>
      </c>
    </row>
    <row r="33" spans="1:17" x14ac:dyDescent="0.2">
      <c r="A33" s="36" t="str">
        <f>'[2]Table 13'!A34</f>
        <v>NC0037</v>
      </c>
      <c r="B33" s="37" t="str">
        <f>'[2]Table 13'!B34</f>
        <v>Harnett</v>
      </c>
      <c r="C33" s="390" t="str">
        <f>VLOOKUP($A33,[0]!Data,16,FALSE)</f>
        <v>No</v>
      </c>
      <c r="D33" s="322">
        <f>VLOOKUP($A33,[0]!Data,17,FALSE)</f>
        <v>0</v>
      </c>
      <c r="E33" s="322">
        <f>VLOOKUP($A33,[0]!Data,19,FALSE)</f>
        <v>121</v>
      </c>
      <c r="F33" s="322">
        <f>VLOOKUP($A33,[0]!Data,21,FALSE)</f>
        <v>5260</v>
      </c>
      <c r="G33" s="322">
        <f>VLOOKUP($A33,[0]!Data,24,FALSE)</f>
        <v>2109</v>
      </c>
      <c r="H33" s="322">
        <f>VLOOKUP($A33,[0]!Data,23,FALSE)</f>
        <v>34795</v>
      </c>
      <c r="I33" s="322">
        <f>VLOOKUP($A33,[0]!Data,18,FALSE)</f>
        <v>0</v>
      </c>
      <c r="J33" s="322">
        <f>VLOOKUP($A33,[0]!Data,20,FALSE)</f>
        <v>4</v>
      </c>
      <c r="K33" s="322">
        <f>VLOOKUP($A33,[0]!Data,21,FALSE)</f>
        <v>5260</v>
      </c>
      <c r="L33" s="322">
        <f>VLOOKUP($A33,[0]!Data,22,FALSE)</f>
        <v>-1</v>
      </c>
      <c r="M33" s="322">
        <f>VLOOKUP($A33,[0]!Data,24,FALSE)</f>
        <v>2109</v>
      </c>
      <c r="N33" s="322">
        <f t="shared" si="0"/>
        <v>0</v>
      </c>
      <c r="O33" s="322">
        <f t="shared" si="1"/>
        <v>125</v>
      </c>
      <c r="P33" s="322">
        <f t="shared" si="2"/>
        <v>10520</v>
      </c>
      <c r="Q33" s="324">
        <f t="shared" si="3"/>
        <v>36904</v>
      </c>
    </row>
    <row r="34" spans="1:17" x14ac:dyDescent="0.2">
      <c r="A34" s="36" t="str">
        <f>'[2]Table 13'!A35</f>
        <v>NC0038</v>
      </c>
      <c r="B34" s="37" t="str">
        <f>'[2]Table 13'!B35</f>
        <v>Haywood</v>
      </c>
      <c r="C34" s="390" t="str">
        <f>VLOOKUP($A34,[0]!Data,16,FALSE)</f>
        <v>Yes</v>
      </c>
      <c r="D34" s="322">
        <f>VLOOKUP($A34,[0]!Data,17,FALSE)</f>
        <v>387</v>
      </c>
      <c r="E34" s="322">
        <f>VLOOKUP($A34,[0]!Data,19,FALSE)</f>
        <v>85</v>
      </c>
      <c r="F34" s="322">
        <f>VLOOKUP($A34,[0]!Data,21,FALSE)</f>
        <v>2686</v>
      </c>
      <c r="G34" s="322">
        <f>VLOOKUP($A34,[0]!Data,24,FALSE)</f>
        <v>2708</v>
      </c>
      <c r="H34" s="322">
        <f>VLOOKUP($A34,[0]!Data,23,FALSE)</f>
        <v>22880</v>
      </c>
      <c r="I34" s="322">
        <f>VLOOKUP($A34,[0]!Data,18,FALSE)</f>
        <v>88</v>
      </c>
      <c r="J34" s="322">
        <f>VLOOKUP($A34,[0]!Data,20,FALSE)</f>
        <v>41</v>
      </c>
      <c r="K34" s="322">
        <f>VLOOKUP($A34,[0]!Data,21,FALSE)</f>
        <v>2686</v>
      </c>
      <c r="L34" s="322">
        <f>VLOOKUP($A34,[0]!Data,22,FALSE)</f>
        <v>297</v>
      </c>
      <c r="M34" s="322">
        <f>VLOOKUP($A34,[0]!Data,24,FALSE)</f>
        <v>2708</v>
      </c>
      <c r="N34" s="322">
        <f t="shared" si="0"/>
        <v>475</v>
      </c>
      <c r="O34" s="322">
        <f t="shared" si="1"/>
        <v>126</v>
      </c>
      <c r="P34" s="322">
        <f t="shared" si="2"/>
        <v>5372</v>
      </c>
      <c r="Q34" s="324">
        <f t="shared" si="3"/>
        <v>25588</v>
      </c>
    </row>
    <row r="35" spans="1:17" x14ac:dyDescent="0.2">
      <c r="A35" s="36" t="str">
        <f>'[2]Table 13'!A36</f>
        <v>NC0039</v>
      </c>
      <c r="B35" s="37" t="str">
        <f>'[2]Table 13'!B36</f>
        <v>Henderson</v>
      </c>
      <c r="C35" s="390" t="str">
        <f>VLOOKUP($A35,[0]!Data,16,FALSE)</f>
        <v>Yes</v>
      </c>
      <c r="D35" s="322">
        <f>VLOOKUP($A35,[0]!Data,17,FALSE)</f>
        <v>1855</v>
      </c>
      <c r="E35" s="322">
        <f>VLOOKUP($A35,[0]!Data,19,FALSE)</f>
        <v>178</v>
      </c>
      <c r="F35" s="322">
        <f>VLOOKUP($A35,[0]!Data,21,FALSE)</f>
        <v>6046</v>
      </c>
      <c r="G35" s="322">
        <f>VLOOKUP($A35,[0]!Data,24,FALSE)</f>
        <v>12602</v>
      </c>
      <c r="H35" s="322">
        <f>VLOOKUP($A35,[0]!Data,23,FALSE)</f>
        <v>63534</v>
      </c>
      <c r="I35" s="322">
        <f>VLOOKUP($A35,[0]!Data,18,FALSE)</f>
        <v>458</v>
      </c>
      <c r="J35" s="322">
        <f>VLOOKUP($A35,[0]!Data,20,FALSE)</f>
        <v>20</v>
      </c>
      <c r="K35" s="322">
        <f>VLOOKUP($A35,[0]!Data,21,FALSE)</f>
        <v>6046</v>
      </c>
      <c r="L35" s="322">
        <f>VLOOKUP($A35,[0]!Data,22,FALSE)</f>
        <v>196</v>
      </c>
      <c r="M35" s="322">
        <f>VLOOKUP($A35,[0]!Data,24,FALSE)</f>
        <v>12602</v>
      </c>
      <c r="N35" s="322">
        <f t="shared" si="0"/>
        <v>2313</v>
      </c>
      <c r="O35" s="322">
        <f t="shared" si="1"/>
        <v>198</v>
      </c>
      <c r="P35" s="322">
        <f t="shared" si="2"/>
        <v>12092</v>
      </c>
      <c r="Q35" s="324">
        <f t="shared" si="3"/>
        <v>76136</v>
      </c>
    </row>
    <row r="36" spans="1:17" x14ac:dyDescent="0.2">
      <c r="A36" s="36" t="str">
        <f>'[2]Table 13'!A37</f>
        <v>NC0040</v>
      </c>
      <c r="B36" s="37" t="str">
        <f>'[2]Table 13'!B37</f>
        <v>Iredell</v>
      </c>
      <c r="C36" s="390" t="str">
        <f>VLOOKUP($A36,[0]!Data,16,FALSE)</f>
        <v>No</v>
      </c>
      <c r="D36" s="322">
        <f>VLOOKUP($A36,[0]!Data,17,FALSE)</f>
        <v>987</v>
      </c>
      <c r="E36" s="322">
        <f>VLOOKUP($A36,[0]!Data,19,FALSE)</f>
        <v>141</v>
      </c>
      <c r="F36" s="322">
        <f>VLOOKUP($A36,[0]!Data,21,FALSE)</f>
        <v>5151</v>
      </c>
      <c r="G36" s="322">
        <f>VLOOKUP($A36,[0]!Data,24,FALSE)</f>
        <v>5367</v>
      </c>
      <c r="H36" s="322">
        <f>VLOOKUP($A36,[0]!Data,23,FALSE)</f>
        <v>41266</v>
      </c>
      <c r="I36" s="322">
        <f>VLOOKUP($A36,[0]!Data,18,FALSE)</f>
        <v>218</v>
      </c>
      <c r="J36" s="322">
        <f>VLOOKUP($A36,[0]!Data,20,FALSE)</f>
        <v>41</v>
      </c>
      <c r="K36" s="322">
        <f>VLOOKUP($A36,[0]!Data,21,FALSE)</f>
        <v>5151</v>
      </c>
      <c r="L36" s="322">
        <f>VLOOKUP($A36,[0]!Data,22,FALSE)</f>
        <v>643</v>
      </c>
      <c r="M36" s="322">
        <f>VLOOKUP($A36,[0]!Data,24,FALSE)</f>
        <v>5367</v>
      </c>
      <c r="N36" s="322">
        <f t="shared" si="0"/>
        <v>1205</v>
      </c>
      <c r="O36" s="322">
        <f t="shared" si="1"/>
        <v>182</v>
      </c>
      <c r="P36" s="322">
        <f t="shared" si="2"/>
        <v>10302</v>
      </c>
      <c r="Q36" s="324">
        <f t="shared" si="3"/>
        <v>46633</v>
      </c>
    </row>
    <row r="37" spans="1:17" x14ac:dyDescent="0.2">
      <c r="A37" s="36" t="str">
        <f>'[2]Table 13'!A38</f>
        <v>NC0041</v>
      </c>
      <c r="B37" s="37" t="str">
        <f>'[2]Table 13'!B38</f>
        <v>Johnston</v>
      </c>
      <c r="C37" s="390" t="str">
        <f>VLOOKUP($A37,[0]!Data,16,FALSE)</f>
        <v>Yes</v>
      </c>
      <c r="D37" s="322">
        <f>VLOOKUP($A37,[0]!Data,17,FALSE)</f>
        <v>415</v>
      </c>
      <c r="E37" s="322">
        <f>VLOOKUP($A37,[0]!Data,19,FALSE)</f>
        <v>85</v>
      </c>
      <c r="F37" s="322">
        <f>VLOOKUP($A37,[0]!Data,21,FALSE)</f>
        <v>3915</v>
      </c>
      <c r="G37" s="322">
        <f>VLOOKUP($A37,[0]!Data,24,FALSE)</f>
        <v>6110</v>
      </c>
      <c r="H37" s="322">
        <f>VLOOKUP($A37,[0]!Data,23,FALSE)</f>
        <v>33159</v>
      </c>
      <c r="I37" s="322">
        <f>VLOOKUP($A37,[0]!Data,18,FALSE)</f>
        <v>83</v>
      </c>
      <c r="J37" s="322">
        <f>VLOOKUP($A37,[0]!Data,20,FALSE)</f>
        <v>52</v>
      </c>
      <c r="K37" s="322">
        <f>VLOOKUP($A37,[0]!Data,21,FALSE)</f>
        <v>3915</v>
      </c>
      <c r="L37" s="322">
        <f>VLOOKUP($A37,[0]!Data,22,FALSE)</f>
        <v>1199</v>
      </c>
      <c r="M37" s="322">
        <f>VLOOKUP($A37,[0]!Data,24,FALSE)</f>
        <v>6110</v>
      </c>
      <c r="N37" s="322">
        <f t="shared" si="0"/>
        <v>498</v>
      </c>
      <c r="O37" s="322">
        <f t="shared" si="1"/>
        <v>137</v>
      </c>
      <c r="P37" s="322">
        <f t="shared" si="2"/>
        <v>7830</v>
      </c>
      <c r="Q37" s="324">
        <f t="shared" si="3"/>
        <v>39269</v>
      </c>
    </row>
    <row r="38" spans="1:17" x14ac:dyDescent="0.2">
      <c r="A38" s="36" t="str">
        <f>'[2]Table 13'!A39</f>
        <v>NC0042</v>
      </c>
      <c r="B38" s="37" t="str">
        <f>'[2]Table 13'!B39</f>
        <v>Lee</v>
      </c>
      <c r="C38" s="390" t="str">
        <f>VLOOKUP($A38,[0]!Data,16,FALSE)</f>
        <v>Yes</v>
      </c>
      <c r="D38" s="322">
        <f>VLOOKUP($A38,[0]!Data,17,FALSE)</f>
        <v>133</v>
      </c>
      <c r="E38" s="322">
        <f>VLOOKUP($A38,[0]!Data,19,FALSE)</f>
        <v>19</v>
      </c>
      <c r="F38" s="322">
        <f>VLOOKUP($A38,[0]!Data,21,FALSE)</f>
        <v>1177</v>
      </c>
      <c r="G38" s="322">
        <f>VLOOKUP($A38,[0]!Data,24,FALSE)</f>
        <v>816</v>
      </c>
      <c r="H38" s="322">
        <f>VLOOKUP($A38,[0]!Data,23,FALSE)</f>
        <v>7989</v>
      </c>
      <c r="I38" s="322">
        <f>VLOOKUP($A38,[0]!Data,18,FALSE)</f>
        <v>0</v>
      </c>
      <c r="J38" s="322">
        <f>VLOOKUP($A38,[0]!Data,20,FALSE)</f>
        <v>0</v>
      </c>
      <c r="K38" s="322">
        <f>VLOOKUP($A38,[0]!Data,21,FALSE)</f>
        <v>1177</v>
      </c>
      <c r="L38" s="322">
        <f>VLOOKUP($A38,[0]!Data,22,FALSE)</f>
        <v>0</v>
      </c>
      <c r="M38" s="322">
        <f>VLOOKUP($A38,[0]!Data,24,FALSE)</f>
        <v>816</v>
      </c>
      <c r="N38" s="322">
        <f t="shared" si="0"/>
        <v>133</v>
      </c>
      <c r="O38" s="322">
        <f t="shared" si="1"/>
        <v>19</v>
      </c>
      <c r="P38" s="322">
        <f t="shared" si="2"/>
        <v>2354</v>
      </c>
      <c r="Q38" s="324">
        <f t="shared" si="3"/>
        <v>8805</v>
      </c>
    </row>
    <row r="39" spans="1:17" x14ac:dyDescent="0.2">
      <c r="A39" s="36" t="str">
        <f>'[2]Table 13'!A40</f>
        <v>NC0106</v>
      </c>
      <c r="B39" s="37" t="str">
        <f>'[2]Table 13'!B40</f>
        <v>Lincoln</v>
      </c>
      <c r="C39" s="390" t="str">
        <f>VLOOKUP($A39,[0]!Data,16,FALSE)</f>
        <v>Yes</v>
      </c>
      <c r="D39" s="322">
        <f>VLOOKUP($A39,[0]!Data,17,FALSE)</f>
        <v>299</v>
      </c>
      <c r="E39" s="322">
        <f>VLOOKUP($A39,[0]!Data,19,FALSE)</f>
        <v>14</v>
      </c>
      <c r="F39" s="322">
        <f>VLOOKUP($A39,[0]!Data,21,FALSE)</f>
        <v>1180</v>
      </c>
      <c r="G39" s="322">
        <f>VLOOKUP($A39,[0]!Data,24,FALSE)</f>
        <v>3552</v>
      </c>
      <c r="H39" s="322">
        <f>VLOOKUP($A39,[0]!Data,23,FALSE)</f>
        <v>26771</v>
      </c>
      <c r="I39" s="322">
        <f>VLOOKUP($A39,[0]!Data,18,FALSE)</f>
        <v>45</v>
      </c>
      <c r="J39" s="322">
        <f>VLOOKUP($A39,[0]!Data,20,FALSE)</f>
        <v>11</v>
      </c>
      <c r="K39" s="322">
        <f>VLOOKUP($A39,[0]!Data,21,FALSE)</f>
        <v>1180</v>
      </c>
      <c r="L39" s="322">
        <f>VLOOKUP($A39,[0]!Data,22,FALSE)</f>
        <v>942</v>
      </c>
      <c r="M39" s="322">
        <f>VLOOKUP($A39,[0]!Data,24,FALSE)</f>
        <v>3552</v>
      </c>
      <c r="N39" s="322">
        <f t="shared" si="0"/>
        <v>344</v>
      </c>
      <c r="O39" s="322">
        <f t="shared" si="1"/>
        <v>25</v>
      </c>
      <c r="P39" s="322">
        <f t="shared" si="2"/>
        <v>2360</v>
      </c>
      <c r="Q39" s="324">
        <f t="shared" si="3"/>
        <v>30323</v>
      </c>
    </row>
    <row r="40" spans="1:17" x14ac:dyDescent="0.2">
      <c r="A40" s="36" t="str">
        <f>'[2]Table 13'!A41</f>
        <v>NC0043</v>
      </c>
      <c r="B40" s="37" t="str">
        <f>'[2]Table 13'!B41</f>
        <v>Madison</v>
      </c>
      <c r="C40" s="390" t="str">
        <f>VLOOKUP($A40,[0]!Data,16,FALSE)</f>
        <v>Yes</v>
      </c>
      <c r="D40" s="322">
        <f>VLOOKUP($A40,[0]!Data,17,FALSE)</f>
        <v>403</v>
      </c>
      <c r="E40" s="322">
        <f>VLOOKUP($A40,[0]!Data,19,FALSE)</f>
        <v>20</v>
      </c>
      <c r="F40" s="322">
        <f>VLOOKUP($A40,[0]!Data,21,FALSE)</f>
        <v>1603</v>
      </c>
      <c r="G40" s="322">
        <f>VLOOKUP($A40,[0]!Data,24,FALSE)</f>
        <v>1302</v>
      </c>
      <c r="H40" s="322">
        <f>VLOOKUP($A40,[0]!Data,23,FALSE)</f>
        <v>4115</v>
      </c>
      <c r="I40" s="322">
        <f>VLOOKUP($A40,[0]!Data,18,FALSE)</f>
        <v>202</v>
      </c>
      <c r="J40" s="322">
        <f>VLOOKUP($A40,[0]!Data,20,FALSE)</f>
        <v>9</v>
      </c>
      <c r="K40" s="322">
        <f>VLOOKUP($A40,[0]!Data,21,FALSE)</f>
        <v>1603</v>
      </c>
      <c r="L40" s="322">
        <f>VLOOKUP($A40,[0]!Data,22,FALSE)</f>
        <v>106</v>
      </c>
      <c r="M40" s="322">
        <f>VLOOKUP($A40,[0]!Data,24,FALSE)</f>
        <v>1302</v>
      </c>
      <c r="N40" s="322">
        <f t="shared" si="0"/>
        <v>605</v>
      </c>
      <c r="O40" s="322">
        <f t="shared" si="1"/>
        <v>29</v>
      </c>
      <c r="P40" s="322">
        <f t="shared" si="2"/>
        <v>3206</v>
      </c>
      <c r="Q40" s="324">
        <f t="shared" si="3"/>
        <v>5417</v>
      </c>
    </row>
    <row r="41" spans="1:17" x14ac:dyDescent="0.2">
      <c r="A41" s="36" t="str">
        <f>'[2]Table 13'!A42</f>
        <v>NC0044</v>
      </c>
      <c r="B41" s="37" t="str">
        <f>'[2]Table 13'!B42</f>
        <v>McDowell</v>
      </c>
      <c r="C41" s="390" t="str">
        <f>VLOOKUP($A41,[0]!Data,16,FALSE)</f>
        <v>Yes</v>
      </c>
      <c r="D41" s="322">
        <f>VLOOKUP($A41,[0]!Data,17,FALSE)</f>
        <v>625</v>
      </c>
      <c r="E41" s="322">
        <f>VLOOKUP($A41,[0]!Data,19,FALSE)</f>
        <v>62</v>
      </c>
      <c r="F41" s="322">
        <f>VLOOKUP($A41,[0]!Data,21,FALSE)</f>
        <v>2305</v>
      </c>
      <c r="G41" s="322">
        <f>VLOOKUP($A41,[0]!Data,24,FALSE)</f>
        <v>1990</v>
      </c>
      <c r="H41" s="322">
        <f>VLOOKUP($A41,[0]!Data,23,FALSE)</f>
        <v>15023</v>
      </c>
      <c r="I41" s="322">
        <f>VLOOKUP($A41,[0]!Data,18,FALSE)</f>
        <v>75</v>
      </c>
      <c r="J41" s="322">
        <f>VLOOKUP($A41,[0]!Data,20,FALSE)</f>
        <v>16</v>
      </c>
      <c r="K41" s="322">
        <f>VLOOKUP($A41,[0]!Data,21,FALSE)</f>
        <v>2305</v>
      </c>
      <c r="L41" s="322">
        <f>VLOOKUP($A41,[0]!Data,22,FALSE)</f>
        <v>148</v>
      </c>
      <c r="M41" s="322">
        <f>VLOOKUP($A41,[0]!Data,24,FALSE)</f>
        <v>1990</v>
      </c>
      <c r="N41" s="322">
        <f t="shared" si="0"/>
        <v>700</v>
      </c>
      <c r="O41" s="322">
        <f t="shared" si="1"/>
        <v>78</v>
      </c>
      <c r="P41" s="322">
        <f t="shared" si="2"/>
        <v>4610</v>
      </c>
      <c r="Q41" s="324">
        <f t="shared" si="3"/>
        <v>17013</v>
      </c>
    </row>
    <row r="42" spans="1:17" x14ac:dyDescent="0.2">
      <c r="A42" s="36" t="str">
        <f>'[2]Table 13'!A43</f>
        <v>NC0045</v>
      </c>
      <c r="B42" s="37" t="str">
        <f>'[2]Table 13'!B43</f>
        <v>Mecklenburg</v>
      </c>
      <c r="C42" s="390" t="str">
        <f>VLOOKUP($A42,[0]!Data,16,FALSE)</f>
        <v>Yes</v>
      </c>
      <c r="D42" s="322">
        <f>VLOOKUP($A42,[0]!Data,17,FALSE)</f>
        <v>15615</v>
      </c>
      <c r="E42" s="322">
        <f>VLOOKUP($A42,[0]!Data,19,FALSE)</f>
        <v>3759</v>
      </c>
      <c r="F42" s="322">
        <f>VLOOKUP($A42,[0]!Data,21,FALSE)</f>
        <v>79614</v>
      </c>
      <c r="G42" s="322">
        <f>VLOOKUP($A42,[0]!Data,24,FALSE)</f>
        <v>73448</v>
      </c>
      <c r="H42" s="322">
        <f>VLOOKUP($A42,[0]!Data,23,FALSE)</f>
        <v>690221</v>
      </c>
      <c r="I42" s="322">
        <f>VLOOKUP($A42,[0]!Data,18,FALSE)</f>
        <v>5768</v>
      </c>
      <c r="J42" s="322">
        <f>VLOOKUP($A42,[0]!Data,20,FALSE)</f>
        <v>823</v>
      </c>
      <c r="K42" s="322">
        <f>VLOOKUP($A42,[0]!Data,21,FALSE)</f>
        <v>79614</v>
      </c>
      <c r="L42" s="322">
        <f>VLOOKUP($A42,[0]!Data,22,FALSE)</f>
        <v>7956</v>
      </c>
      <c r="M42" s="322">
        <f>VLOOKUP($A42,[0]!Data,24,FALSE)</f>
        <v>73448</v>
      </c>
      <c r="N42" s="322">
        <f t="shared" si="0"/>
        <v>21383</v>
      </c>
      <c r="O42" s="322">
        <f t="shared" si="1"/>
        <v>4582</v>
      </c>
      <c r="P42" s="322">
        <f t="shared" si="2"/>
        <v>159228</v>
      </c>
      <c r="Q42" s="324">
        <f t="shared" si="3"/>
        <v>763669</v>
      </c>
    </row>
    <row r="43" spans="1:17" x14ac:dyDescent="0.2">
      <c r="A43" s="36" t="str">
        <f>'[2]Table 13'!A44</f>
        <v>NC0046</v>
      </c>
      <c r="B43" s="37" t="str">
        <f>'[2]Table 13'!B44</f>
        <v>Nash (Braswell)</v>
      </c>
      <c r="C43" s="390" t="str">
        <f>VLOOKUP($A43,[0]!Data,16,FALSE)</f>
        <v>Yes</v>
      </c>
      <c r="D43" s="322">
        <f>VLOOKUP($A43,[0]!Data,17,FALSE)</f>
        <v>1448</v>
      </c>
      <c r="E43" s="322">
        <f>VLOOKUP($A43,[0]!Data,19,FALSE)</f>
        <v>9</v>
      </c>
      <c r="F43" s="322">
        <f>VLOOKUP($A43,[0]!Data,21,FALSE)</f>
        <v>4719</v>
      </c>
      <c r="G43" s="322">
        <f>VLOOKUP($A43,[0]!Data,24,FALSE)</f>
        <v>2536</v>
      </c>
      <c r="H43" s="322">
        <f>VLOOKUP($A43,[0]!Data,23,FALSE)</f>
        <v>22937</v>
      </c>
      <c r="I43" s="322">
        <f>VLOOKUP($A43,[0]!Data,18,FALSE)</f>
        <v>75</v>
      </c>
      <c r="J43" s="322">
        <f>VLOOKUP($A43,[0]!Data,20,FALSE)</f>
        <v>11</v>
      </c>
      <c r="K43" s="322">
        <f>VLOOKUP($A43,[0]!Data,21,FALSE)</f>
        <v>4719</v>
      </c>
      <c r="L43" s="322">
        <f>VLOOKUP($A43,[0]!Data,22,FALSE)</f>
        <v>161</v>
      </c>
      <c r="M43" s="322">
        <f>VLOOKUP($A43,[0]!Data,24,FALSE)</f>
        <v>2536</v>
      </c>
      <c r="N43" s="322">
        <f t="shared" si="0"/>
        <v>1523</v>
      </c>
      <c r="O43" s="322">
        <f t="shared" si="1"/>
        <v>20</v>
      </c>
      <c r="P43" s="322">
        <f t="shared" si="2"/>
        <v>9438</v>
      </c>
      <c r="Q43" s="324">
        <f t="shared" si="3"/>
        <v>25473</v>
      </c>
    </row>
    <row r="44" spans="1:17" x14ac:dyDescent="0.2">
      <c r="A44" s="36" t="str">
        <f>'[2]Table 13'!A45</f>
        <v>NC0047</v>
      </c>
      <c r="B44" s="37" t="str">
        <f>'[2]Table 13'!B45</f>
        <v>New Hanover</v>
      </c>
      <c r="C44" s="390">
        <f>VLOOKUP($A44,[0]!Data,16,FALSE)</f>
        <v>0</v>
      </c>
      <c r="D44" s="322">
        <f>VLOOKUP($A44,[0]!Data,17,FALSE)</f>
        <v>2262</v>
      </c>
      <c r="E44" s="322">
        <f>VLOOKUP($A44,[0]!Data,19,FALSE)</f>
        <v>410</v>
      </c>
      <c r="F44" s="322">
        <f>VLOOKUP($A44,[0]!Data,21,FALSE)</f>
        <v>11372</v>
      </c>
      <c r="G44" s="322">
        <f>VLOOKUP($A44,[0]!Data,24,FALSE)</f>
        <v>10085</v>
      </c>
      <c r="H44" s="322">
        <f>VLOOKUP($A44,[0]!Data,23,FALSE)</f>
        <v>110566</v>
      </c>
      <c r="I44" s="322">
        <f>VLOOKUP($A44,[0]!Data,18,FALSE)</f>
        <v>256</v>
      </c>
      <c r="J44" s="322">
        <f>VLOOKUP($A44,[0]!Data,20,FALSE)</f>
        <v>29</v>
      </c>
      <c r="K44" s="322">
        <f>VLOOKUP($A44,[0]!Data,21,FALSE)</f>
        <v>11372</v>
      </c>
      <c r="L44" s="322">
        <f>VLOOKUP($A44,[0]!Data,22,FALSE)</f>
        <v>95</v>
      </c>
      <c r="M44" s="322">
        <f>VLOOKUP($A44,[0]!Data,24,FALSE)</f>
        <v>10085</v>
      </c>
      <c r="N44" s="322">
        <f t="shared" si="0"/>
        <v>2518</v>
      </c>
      <c r="O44" s="322">
        <f t="shared" si="1"/>
        <v>439</v>
      </c>
      <c r="P44" s="322">
        <f t="shared" si="2"/>
        <v>22744</v>
      </c>
      <c r="Q44" s="324">
        <f t="shared" si="3"/>
        <v>120651</v>
      </c>
    </row>
    <row r="45" spans="1:17" x14ac:dyDescent="0.2">
      <c r="A45" s="36" t="str">
        <f>'[2]Table 13'!A46</f>
        <v>NC0048</v>
      </c>
      <c r="B45" s="37" t="str">
        <f>'[2]Table 13'!B46</f>
        <v>Onslow</v>
      </c>
      <c r="C45" s="390" t="str">
        <f>VLOOKUP($A45,[0]!Data,16,FALSE)</f>
        <v>No</v>
      </c>
      <c r="D45" s="322">
        <f>VLOOKUP($A45,[0]!Data,17,FALSE)</f>
        <v>1793</v>
      </c>
      <c r="E45" s="322">
        <f>VLOOKUP($A45,[0]!Data,19,FALSE)</f>
        <v>231</v>
      </c>
      <c r="F45" s="322">
        <f>VLOOKUP($A45,[0]!Data,21,FALSE)</f>
        <v>8881</v>
      </c>
      <c r="G45" s="322">
        <f>VLOOKUP($A45,[0]!Data,24,FALSE)</f>
        <v>1750</v>
      </c>
      <c r="H45" s="322">
        <f>VLOOKUP($A45,[0]!Data,23,FALSE)</f>
        <v>62335</v>
      </c>
      <c r="I45" s="322">
        <f>VLOOKUP($A45,[0]!Data,18,FALSE)</f>
        <v>284</v>
      </c>
      <c r="J45" s="322">
        <f>VLOOKUP($A45,[0]!Data,20,FALSE)</f>
        <v>32</v>
      </c>
      <c r="K45" s="322">
        <f>VLOOKUP($A45,[0]!Data,21,FALSE)</f>
        <v>8881</v>
      </c>
      <c r="L45" s="322">
        <f>VLOOKUP($A45,[0]!Data,22,FALSE)</f>
        <v>376</v>
      </c>
      <c r="M45" s="322">
        <f>VLOOKUP($A45,[0]!Data,24,FALSE)</f>
        <v>1750</v>
      </c>
      <c r="N45" s="322">
        <f t="shared" si="0"/>
        <v>2077</v>
      </c>
      <c r="O45" s="322">
        <f t="shared" si="1"/>
        <v>263</v>
      </c>
      <c r="P45" s="322">
        <f t="shared" si="2"/>
        <v>17762</v>
      </c>
      <c r="Q45" s="324">
        <f t="shared" si="3"/>
        <v>64085</v>
      </c>
    </row>
    <row r="46" spans="1:17" x14ac:dyDescent="0.2">
      <c r="A46" s="36" t="str">
        <f>'[2]Table 13'!A47</f>
        <v>NC0108</v>
      </c>
      <c r="B46" s="37" t="str">
        <f>'[2]Table 13'!B47</f>
        <v>Orange</v>
      </c>
      <c r="C46" s="390" t="str">
        <f>VLOOKUP($A46,[0]!Data,16,FALSE)</f>
        <v>No</v>
      </c>
      <c r="D46" s="322">
        <f>VLOOKUP($A46,[0]!Data,17,FALSE)</f>
        <v>675</v>
      </c>
      <c r="E46" s="322">
        <f>VLOOKUP($A46,[0]!Data,19,FALSE)</f>
        <v>91</v>
      </c>
      <c r="F46" s="322">
        <f>VLOOKUP($A46,[0]!Data,21,FALSE)</f>
        <v>2489</v>
      </c>
      <c r="G46" s="322">
        <f>VLOOKUP($A46,[0]!Data,24,FALSE)</f>
        <v>5127</v>
      </c>
      <c r="H46" s="322">
        <f>VLOOKUP($A46,[0]!Data,23,FALSE)</f>
        <v>65131</v>
      </c>
      <c r="I46" s="322">
        <f>VLOOKUP($A46,[0]!Data,18,FALSE)</f>
        <v>122</v>
      </c>
      <c r="J46" s="322">
        <f>VLOOKUP($A46,[0]!Data,20,FALSE)</f>
        <v>0</v>
      </c>
      <c r="K46" s="322">
        <f>VLOOKUP($A46,[0]!Data,21,FALSE)</f>
        <v>2489</v>
      </c>
      <c r="L46" s="322">
        <f>VLOOKUP($A46,[0]!Data,22,FALSE)</f>
        <v>0</v>
      </c>
      <c r="M46" s="322">
        <f>VLOOKUP($A46,[0]!Data,24,FALSE)</f>
        <v>5127</v>
      </c>
      <c r="N46" s="322">
        <f t="shared" si="0"/>
        <v>797</v>
      </c>
      <c r="O46" s="322">
        <f t="shared" si="1"/>
        <v>91</v>
      </c>
      <c r="P46" s="322">
        <f t="shared" si="2"/>
        <v>4978</v>
      </c>
      <c r="Q46" s="324">
        <f t="shared" si="3"/>
        <v>70258</v>
      </c>
    </row>
    <row r="47" spans="1:17" x14ac:dyDescent="0.2">
      <c r="A47" s="36" t="str">
        <f>'[2]Table 13'!A48</f>
        <v>NC0049</v>
      </c>
      <c r="B47" s="37" t="str">
        <f>'[2]Table 13'!B48</f>
        <v>Pender</v>
      </c>
      <c r="C47" s="390" t="str">
        <f>VLOOKUP($A47,[0]!Data,16,FALSE)</f>
        <v>Yes</v>
      </c>
      <c r="D47" s="322">
        <f>VLOOKUP($A47,[0]!Data,17,FALSE)</f>
        <v>327</v>
      </c>
      <c r="E47" s="322">
        <f>VLOOKUP($A47,[0]!Data,19,FALSE)</f>
        <v>125</v>
      </c>
      <c r="F47" s="322">
        <f>VLOOKUP($A47,[0]!Data,21,FALSE)</f>
        <v>3169</v>
      </c>
      <c r="G47" s="322">
        <f>VLOOKUP($A47,[0]!Data,24,FALSE)</f>
        <v>2522</v>
      </c>
      <c r="H47" s="322">
        <f>VLOOKUP($A47,[0]!Data,23,FALSE)</f>
        <v>23644</v>
      </c>
      <c r="I47" s="322">
        <f>VLOOKUP($A47,[0]!Data,18,FALSE)</f>
        <v>34</v>
      </c>
      <c r="J47" s="322">
        <f>VLOOKUP($A47,[0]!Data,20,FALSE)</f>
        <v>0</v>
      </c>
      <c r="K47" s="322">
        <f>VLOOKUP($A47,[0]!Data,21,FALSE)</f>
        <v>3169</v>
      </c>
      <c r="L47" s="322">
        <f>VLOOKUP($A47,[0]!Data,22,FALSE)</f>
        <v>0</v>
      </c>
      <c r="M47" s="322">
        <f>VLOOKUP($A47,[0]!Data,24,FALSE)</f>
        <v>2522</v>
      </c>
      <c r="N47" s="322">
        <f t="shared" si="0"/>
        <v>361</v>
      </c>
      <c r="O47" s="322">
        <f t="shared" si="1"/>
        <v>125</v>
      </c>
      <c r="P47" s="322">
        <f t="shared" si="2"/>
        <v>6338</v>
      </c>
      <c r="Q47" s="324">
        <f t="shared" si="3"/>
        <v>26166</v>
      </c>
    </row>
    <row r="48" spans="1:17" x14ac:dyDescent="0.2">
      <c r="A48" s="36" t="str">
        <f>'[2]Table 13'!A49</f>
        <v>NC0109</v>
      </c>
      <c r="B48" s="37" t="str">
        <f>'[2]Table 13'!B49</f>
        <v>Person</v>
      </c>
      <c r="C48" s="390" t="str">
        <f>VLOOKUP($A48,[0]!Data,16,FALSE)</f>
        <v>Yes</v>
      </c>
      <c r="D48" s="322">
        <f>VLOOKUP($A48,[0]!Data,17,FALSE)</f>
        <v>246</v>
      </c>
      <c r="E48" s="322">
        <f>VLOOKUP($A48,[0]!Data,19,FALSE)</f>
        <v>39</v>
      </c>
      <c r="F48" s="322">
        <f>VLOOKUP($A48,[0]!Data,21,FALSE)</f>
        <v>1229</v>
      </c>
      <c r="G48" s="322">
        <f>VLOOKUP($A48,[0]!Data,24,FALSE)</f>
        <v>977</v>
      </c>
      <c r="H48" s="322">
        <f>VLOOKUP($A48,[0]!Data,23,FALSE)</f>
        <v>19693</v>
      </c>
      <c r="I48" s="322">
        <f>VLOOKUP($A48,[0]!Data,18,FALSE)</f>
        <v>18</v>
      </c>
      <c r="J48" s="322">
        <f>VLOOKUP($A48,[0]!Data,20,FALSE)</f>
        <v>10</v>
      </c>
      <c r="K48" s="322">
        <f>VLOOKUP($A48,[0]!Data,21,FALSE)</f>
        <v>1229</v>
      </c>
      <c r="L48" s="322">
        <f>VLOOKUP($A48,[0]!Data,22,FALSE)</f>
        <v>137</v>
      </c>
      <c r="M48" s="322">
        <f>VLOOKUP($A48,[0]!Data,24,FALSE)</f>
        <v>977</v>
      </c>
      <c r="N48" s="322">
        <f t="shared" si="0"/>
        <v>264</v>
      </c>
      <c r="O48" s="322">
        <f t="shared" si="1"/>
        <v>49</v>
      </c>
      <c r="P48" s="322">
        <f t="shared" si="2"/>
        <v>2458</v>
      </c>
      <c r="Q48" s="324">
        <f t="shared" si="3"/>
        <v>20670</v>
      </c>
    </row>
    <row r="49" spans="1:17" x14ac:dyDescent="0.2">
      <c r="A49" s="36" t="str">
        <f>'[2]Table 13'!A50</f>
        <v>NC0050</v>
      </c>
      <c r="B49" s="37" t="str">
        <f>'[2]Table 13'!B50</f>
        <v>Pitt (Sheppard)</v>
      </c>
      <c r="C49" s="390" t="str">
        <f>VLOOKUP($A49,[0]!Data,16,FALSE)</f>
        <v>Yes</v>
      </c>
      <c r="D49" s="322">
        <f>VLOOKUP($A49,[0]!Data,17,FALSE)</f>
        <v>958</v>
      </c>
      <c r="E49" s="322">
        <f>VLOOKUP($A49,[0]!Data,19,FALSE)</f>
        <v>52</v>
      </c>
      <c r="F49" s="322">
        <f>VLOOKUP($A49,[0]!Data,21,FALSE)</f>
        <v>4043</v>
      </c>
      <c r="G49" s="322">
        <f>VLOOKUP($A49,[0]!Data,24,FALSE)</f>
        <v>6785</v>
      </c>
      <c r="H49" s="322">
        <f>VLOOKUP($A49,[0]!Data,23,FALSE)</f>
        <v>76027</v>
      </c>
      <c r="I49" s="322">
        <f>VLOOKUP($A49,[0]!Data,18,FALSE)</f>
        <v>39</v>
      </c>
      <c r="J49" s="322">
        <f>VLOOKUP($A49,[0]!Data,20,FALSE)</f>
        <v>17</v>
      </c>
      <c r="K49" s="322">
        <f>VLOOKUP($A49,[0]!Data,21,FALSE)</f>
        <v>4043</v>
      </c>
      <c r="L49" s="322">
        <f>VLOOKUP($A49,[0]!Data,22,FALSE)</f>
        <v>162</v>
      </c>
      <c r="M49" s="322">
        <f>VLOOKUP($A49,[0]!Data,24,FALSE)</f>
        <v>6785</v>
      </c>
      <c r="N49" s="322">
        <f t="shared" si="0"/>
        <v>997</v>
      </c>
      <c r="O49" s="322">
        <f t="shared" si="1"/>
        <v>69</v>
      </c>
      <c r="P49" s="322">
        <f t="shared" si="2"/>
        <v>8086</v>
      </c>
      <c r="Q49" s="324">
        <f t="shared" si="3"/>
        <v>82812</v>
      </c>
    </row>
    <row r="50" spans="1:17" x14ac:dyDescent="0.2">
      <c r="A50" s="36" t="str">
        <f>'[2]Table 13'!A51</f>
        <v>NC0051</v>
      </c>
      <c r="B50" s="37" t="str">
        <f>'[2]Table 13'!B51</f>
        <v>Polk</v>
      </c>
      <c r="C50" s="390" t="str">
        <f>VLOOKUP($A50,[0]!Data,16,FALSE)</f>
        <v>Yes</v>
      </c>
      <c r="D50" s="322">
        <f>VLOOKUP($A50,[0]!Data,17,FALSE)</f>
        <v>183</v>
      </c>
      <c r="E50" s="322">
        <f>VLOOKUP($A50,[0]!Data,19,FALSE)</f>
        <v>31</v>
      </c>
      <c r="F50" s="322">
        <f>VLOOKUP($A50,[0]!Data,21,FALSE)</f>
        <v>726</v>
      </c>
      <c r="G50" s="322">
        <f>VLOOKUP($A50,[0]!Data,24,FALSE)</f>
        <v>1301</v>
      </c>
      <c r="H50" s="322">
        <f>VLOOKUP($A50,[0]!Data,23,FALSE)</f>
        <v>8051</v>
      </c>
      <c r="I50" s="322">
        <f>VLOOKUP($A50,[0]!Data,18,FALSE)</f>
        <v>42</v>
      </c>
      <c r="J50" s="322">
        <f>VLOOKUP($A50,[0]!Data,20,FALSE)</f>
        <v>16</v>
      </c>
      <c r="K50" s="322">
        <f>VLOOKUP($A50,[0]!Data,21,FALSE)</f>
        <v>726</v>
      </c>
      <c r="L50" s="322">
        <f>VLOOKUP($A50,[0]!Data,22,FALSE)</f>
        <v>101</v>
      </c>
      <c r="M50" s="322">
        <f>VLOOKUP($A50,[0]!Data,24,FALSE)</f>
        <v>1301</v>
      </c>
      <c r="N50" s="322">
        <f t="shared" si="0"/>
        <v>225</v>
      </c>
      <c r="O50" s="322">
        <f t="shared" si="1"/>
        <v>47</v>
      </c>
      <c r="P50" s="322">
        <f t="shared" si="2"/>
        <v>1452</v>
      </c>
      <c r="Q50" s="324">
        <f t="shared" si="3"/>
        <v>9352</v>
      </c>
    </row>
    <row r="51" spans="1:17" x14ac:dyDescent="0.2">
      <c r="A51" s="36" t="str">
        <f>'[2]Table 13'!A52</f>
        <v>NC0052</v>
      </c>
      <c r="B51" s="37" t="str">
        <f>'[2]Table 13'!B52</f>
        <v>Randolph</v>
      </c>
      <c r="C51" s="390" t="str">
        <f>VLOOKUP($A51,[0]!Data,16,FALSE)</f>
        <v>Yes</v>
      </c>
      <c r="D51" s="322">
        <f>VLOOKUP($A51,[0]!Data,17,FALSE)</f>
        <v>1958</v>
      </c>
      <c r="E51" s="322">
        <f>VLOOKUP($A51,[0]!Data,19,FALSE)</f>
        <v>187</v>
      </c>
      <c r="F51" s="322">
        <f>VLOOKUP($A51,[0]!Data,21,FALSE)</f>
        <v>8599</v>
      </c>
      <c r="G51" s="322">
        <f>VLOOKUP($A51,[0]!Data,24,FALSE)</f>
        <v>7265</v>
      </c>
      <c r="H51" s="322">
        <f>VLOOKUP($A51,[0]!Data,23,FALSE)</f>
        <v>50172</v>
      </c>
      <c r="I51" s="322">
        <f>VLOOKUP($A51,[0]!Data,18,FALSE)</f>
        <v>177</v>
      </c>
      <c r="J51" s="322">
        <f>VLOOKUP($A51,[0]!Data,20,FALSE)</f>
        <v>25</v>
      </c>
      <c r="K51" s="322">
        <f>VLOOKUP($A51,[0]!Data,21,FALSE)</f>
        <v>8599</v>
      </c>
      <c r="L51" s="322">
        <f>VLOOKUP($A51,[0]!Data,22,FALSE)</f>
        <v>179</v>
      </c>
      <c r="M51" s="322">
        <f>VLOOKUP($A51,[0]!Data,24,FALSE)</f>
        <v>7265</v>
      </c>
      <c r="N51" s="322">
        <f t="shared" si="0"/>
        <v>2135</v>
      </c>
      <c r="O51" s="322">
        <f t="shared" si="1"/>
        <v>212</v>
      </c>
      <c r="P51" s="322">
        <f t="shared" si="2"/>
        <v>17198</v>
      </c>
      <c r="Q51" s="324">
        <f t="shared" si="3"/>
        <v>57437</v>
      </c>
    </row>
    <row r="52" spans="1:17" x14ac:dyDescent="0.2">
      <c r="A52" s="36" t="str">
        <f>'[2]Table 13'!A53</f>
        <v>NC0053</v>
      </c>
      <c r="B52" s="37" t="str">
        <f>'[2]Table 13'!B53</f>
        <v>Robeson</v>
      </c>
      <c r="C52" s="390" t="str">
        <f>VLOOKUP($A52,[0]!Data,16,FALSE)</f>
        <v>Yes</v>
      </c>
      <c r="D52" s="322">
        <f>VLOOKUP($A52,[0]!Data,17,FALSE)</f>
        <v>226</v>
      </c>
      <c r="E52" s="322">
        <f>VLOOKUP($A52,[0]!Data,19,FALSE)</f>
        <v>38</v>
      </c>
      <c r="F52" s="322">
        <f>VLOOKUP($A52,[0]!Data,21,FALSE)</f>
        <v>541</v>
      </c>
      <c r="G52" s="322">
        <f>VLOOKUP($A52,[0]!Data,24,FALSE)</f>
        <v>2140</v>
      </c>
      <c r="H52" s="322">
        <f>VLOOKUP($A52,[0]!Data,23,FALSE)</f>
        <v>11253</v>
      </c>
      <c r="I52" s="322">
        <f>VLOOKUP($A52,[0]!Data,18,FALSE)</f>
        <v>46</v>
      </c>
      <c r="J52" s="322">
        <f>VLOOKUP($A52,[0]!Data,20,FALSE)</f>
        <v>0</v>
      </c>
      <c r="K52" s="322">
        <f>VLOOKUP($A52,[0]!Data,21,FALSE)</f>
        <v>541</v>
      </c>
      <c r="L52" s="322">
        <f>VLOOKUP($A52,[0]!Data,22,FALSE)</f>
        <v>-1</v>
      </c>
      <c r="M52" s="322">
        <f>VLOOKUP($A52,[0]!Data,24,FALSE)</f>
        <v>2140</v>
      </c>
      <c r="N52" s="322">
        <f t="shared" si="0"/>
        <v>272</v>
      </c>
      <c r="O52" s="322">
        <f t="shared" si="1"/>
        <v>38</v>
      </c>
      <c r="P52" s="322">
        <f t="shared" si="2"/>
        <v>1082</v>
      </c>
      <c r="Q52" s="324">
        <f t="shared" si="3"/>
        <v>13393</v>
      </c>
    </row>
    <row r="53" spans="1:17" x14ac:dyDescent="0.2">
      <c r="A53" s="36" t="str">
        <f>'[2]Table 13'!A54</f>
        <v>NC0054</v>
      </c>
      <c r="B53" s="37" t="str">
        <f>'[2]Table 13'!B54</f>
        <v>Rockingham</v>
      </c>
      <c r="C53" s="390" t="str">
        <f>VLOOKUP($A53,[0]!Data,16,FALSE)</f>
        <v>No</v>
      </c>
      <c r="D53" s="322">
        <f>VLOOKUP($A53,[0]!Data,17,FALSE)</f>
        <v>792</v>
      </c>
      <c r="E53" s="322">
        <f>VLOOKUP($A53,[0]!Data,19,FALSE)</f>
        <v>121</v>
      </c>
      <c r="F53" s="322">
        <f>VLOOKUP($A53,[0]!Data,21,FALSE)</f>
        <v>3318</v>
      </c>
      <c r="G53" s="322">
        <f>VLOOKUP($A53,[0]!Data,24,FALSE)</f>
        <v>4648</v>
      </c>
      <c r="H53" s="322">
        <f>VLOOKUP($A53,[0]!Data,23,FALSE)</f>
        <v>23064</v>
      </c>
      <c r="I53" s="322">
        <f>VLOOKUP($A53,[0]!Data,18,FALSE)</f>
        <v>26</v>
      </c>
      <c r="J53" s="322">
        <f>VLOOKUP($A53,[0]!Data,20,FALSE)</f>
        <v>11</v>
      </c>
      <c r="K53" s="322">
        <f>VLOOKUP($A53,[0]!Data,21,FALSE)</f>
        <v>3318</v>
      </c>
      <c r="L53" s="322">
        <f>VLOOKUP($A53,[0]!Data,22,FALSE)</f>
        <v>74</v>
      </c>
      <c r="M53" s="322">
        <f>VLOOKUP($A53,[0]!Data,24,FALSE)</f>
        <v>4648</v>
      </c>
      <c r="N53" s="322">
        <f t="shared" si="0"/>
        <v>818</v>
      </c>
      <c r="O53" s="322">
        <f t="shared" si="1"/>
        <v>132</v>
      </c>
      <c r="P53" s="322">
        <f t="shared" si="2"/>
        <v>6636</v>
      </c>
      <c r="Q53" s="324">
        <f t="shared" si="3"/>
        <v>27712</v>
      </c>
    </row>
    <row r="54" spans="1:17" x14ac:dyDescent="0.2">
      <c r="A54" s="36" t="str">
        <f>'[2]Table 13'!A55</f>
        <v>NC0055</v>
      </c>
      <c r="B54" s="37" t="str">
        <f>'[2]Table 13'!B55</f>
        <v>Rowan</v>
      </c>
      <c r="C54" s="390" t="str">
        <f>VLOOKUP($A54,[0]!Data,16,FALSE)</f>
        <v>Yes</v>
      </c>
      <c r="D54" s="322">
        <f>VLOOKUP($A54,[0]!Data,17,FALSE)</f>
        <v>2160</v>
      </c>
      <c r="E54" s="322">
        <f>VLOOKUP($A54,[0]!Data,19,FALSE)</f>
        <v>107</v>
      </c>
      <c r="F54" s="322">
        <f>VLOOKUP($A54,[0]!Data,21,FALSE)</f>
        <v>8296</v>
      </c>
      <c r="G54" s="322">
        <f>VLOOKUP($A54,[0]!Data,24,FALSE)</f>
        <v>7173</v>
      </c>
      <c r="H54" s="322">
        <f>VLOOKUP($A54,[0]!Data,23,FALSE)</f>
        <v>50304</v>
      </c>
      <c r="I54" s="322">
        <f>VLOOKUP($A54,[0]!Data,18,FALSE)</f>
        <v>302</v>
      </c>
      <c r="J54" s="322">
        <f>VLOOKUP($A54,[0]!Data,20,FALSE)</f>
        <v>19</v>
      </c>
      <c r="K54" s="322">
        <f>VLOOKUP($A54,[0]!Data,21,FALSE)</f>
        <v>8296</v>
      </c>
      <c r="L54" s="322">
        <f>VLOOKUP($A54,[0]!Data,22,FALSE)</f>
        <v>459</v>
      </c>
      <c r="M54" s="322">
        <f>VLOOKUP($A54,[0]!Data,24,FALSE)</f>
        <v>7173</v>
      </c>
      <c r="N54" s="322">
        <f t="shared" si="0"/>
        <v>2462</v>
      </c>
      <c r="O54" s="322">
        <f t="shared" si="1"/>
        <v>126</v>
      </c>
      <c r="P54" s="322">
        <f t="shared" si="2"/>
        <v>16592</v>
      </c>
      <c r="Q54" s="324">
        <f t="shared" si="3"/>
        <v>57477</v>
      </c>
    </row>
    <row r="55" spans="1:17" x14ac:dyDescent="0.2">
      <c r="A55" s="36" t="str">
        <f>'[2]Table 13'!A56</f>
        <v>NC0056</v>
      </c>
      <c r="B55" s="37" t="str">
        <f>'[2]Table 13'!B56</f>
        <v>Rutherford</v>
      </c>
      <c r="C55" s="390" t="str">
        <f>VLOOKUP($A55,[0]!Data,16,FALSE)</f>
        <v>Yes</v>
      </c>
      <c r="D55" s="322">
        <f>VLOOKUP($A55,[0]!Data,17,FALSE)</f>
        <v>333</v>
      </c>
      <c r="E55" s="322">
        <f>VLOOKUP($A55,[0]!Data,19,FALSE)</f>
        <v>19</v>
      </c>
      <c r="F55" s="322">
        <f>VLOOKUP($A55,[0]!Data,21,FALSE)</f>
        <v>1276</v>
      </c>
      <c r="G55" s="322">
        <f>VLOOKUP($A55,[0]!Data,24,FALSE)</f>
        <v>0</v>
      </c>
      <c r="H55" s="322">
        <f>VLOOKUP($A55,[0]!Data,23,FALSE)</f>
        <v>14309</v>
      </c>
      <c r="I55" s="322">
        <f>VLOOKUP($A55,[0]!Data,18,FALSE)</f>
        <v>0</v>
      </c>
      <c r="J55" s="322">
        <f>VLOOKUP($A55,[0]!Data,20,FALSE)</f>
        <v>0</v>
      </c>
      <c r="K55" s="322">
        <f>VLOOKUP($A55,[0]!Data,21,FALSE)</f>
        <v>1276</v>
      </c>
      <c r="L55" s="322">
        <f>VLOOKUP($A55,[0]!Data,22,FALSE)</f>
        <v>0</v>
      </c>
      <c r="M55" s="322">
        <f>VLOOKUP($A55,[0]!Data,24,FALSE)</f>
        <v>0</v>
      </c>
      <c r="N55" s="322">
        <f t="shared" si="0"/>
        <v>333</v>
      </c>
      <c r="O55" s="322">
        <f t="shared" si="1"/>
        <v>19</v>
      </c>
      <c r="P55" s="322">
        <f t="shared" si="2"/>
        <v>2552</v>
      </c>
      <c r="Q55" s="324">
        <f t="shared" si="3"/>
        <v>14309</v>
      </c>
    </row>
    <row r="56" spans="1:17" x14ac:dyDescent="0.2">
      <c r="A56" s="36" t="str">
        <f>'[2]Table 13'!A57</f>
        <v>NC0057</v>
      </c>
      <c r="B56" s="37" t="str">
        <f>'[2]Table 13'!B57</f>
        <v>Sampson</v>
      </c>
      <c r="C56" s="390" t="str">
        <f>VLOOKUP($A56,[0]!Data,16,FALSE)</f>
        <v>No</v>
      </c>
      <c r="D56" s="322">
        <f>VLOOKUP($A56,[0]!Data,17,FALSE)</f>
        <v>321</v>
      </c>
      <c r="E56" s="322">
        <f>VLOOKUP($A56,[0]!Data,19,FALSE)</f>
        <v>25</v>
      </c>
      <c r="F56" s="322">
        <f>VLOOKUP($A56,[0]!Data,21,FALSE)</f>
        <v>687</v>
      </c>
      <c r="G56" s="322">
        <f>VLOOKUP($A56,[0]!Data,24,FALSE)</f>
        <v>1431</v>
      </c>
      <c r="H56" s="322">
        <f>VLOOKUP($A56,[0]!Data,23,FALSE)</f>
        <v>19232</v>
      </c>
      <c r="I56" s="322">
        <f>VLOOKUP($A56,[0]!Data,18,FALSE)</f>
        <v>0</v>
      </c>
      <c r="J56" s="322">
        <f>VLOOKUP($A56,[0]!Data,20,FALSE)</f>
        <v>0</v>
      </c>
      <c r="K56" s="322">
        <f>VLOOKUP($A56,[0]!Data,21,FALSE)</f>
        <v>687</v>
      </c>
      <c r="L56" s="322">
        <f>VLOOKUP($A56,[0]!Data,22,FALSE)</f>
        <v>0</v>
      </c>
      <c r="M56" s="322">
        <f>VLOOKUP($A56,[0]!Data,24,FALSE)</f>
        <v>1431</v>
      </c>
      <c r="N56" s="322">
        <f t="shared" si="0"/>
        <v>321</v>
      </c>
      <c r="O56" s="322">
        <f t="shared" si="1"/>
        <v>25</v>
      </c>
      <c r="P56" s="322">
        <f t="shared" si="2"/>
        <v>1374</v>
      </c>
      <c r="Q56" s="324">
        <f t="shared" si="3"/>
        <v>20663</v>
      </c>
    </row>
    <row r="57" spans="1:17" x14ac:dyDescent="0.2">
      <c r="A57" s="36" t="str">
        <f>'[2]Table 13'!A58</f>
        <v>NC0058</v>
      </c>
      <c r="B57" s="37" t="str">
        <f>'[2]Table 13'!B58</f>
        <v>Scotland</v>
      </c>
      <c r="C57" s="390" t="str">
        <f>VLOOKUP($A57,[0]!Data,16,FALSE)</f>
        <v>Yes</v>
      </c>
      <c r="D57" s="322">
        <f>VLOOKUP($A57,[0]!Data,17,FALSE)</f>
        <v>129</v>
      </c>
      <c r="E57" s="322">
        <f>VLOOKUP($A57,[0]!Data,19,FALSE)</f>
        <v>13</v>
      </c>
      <c r="F57" s="322">
        <f>VLOOKUP($A57,[0]!Data,21,FALSE)</f>
        <v>2738</v>
      </c>
      <c r="G57" s="322">
        <f>VLOOKUP($A57,[0]!Data,24,FALSE)</f>
        <v>1013</v>
      </c>
      <c r="H57" s="322">
        <f>VLOOKUP($A57,[0]!Data,23,FALSE)</f>
        <v>3756</v>
      </c>
      <c r="I57" s="322">
        <f>VLOOKUP($A57,[0]!Data,18,FALSE)</f>
        <v>27</v>
      </c>
      <c r="J57" s="322">
        <f>VLOOKUP($A57,[0]!Data,20,FALSE)</f>
        <v>9</v>
      </c>
      <c r="K57" s="322">
        <f>VLOOKUP($A57,[0]!Data,21,FALSE)</f>
        <v>2738</v>
      </c>
      <c r="L57" s="322">
        <f>VLOOKUP($A57,[0]!Data,22,FALSE)</f>
        <v>2112</v>
      </c>
      <c r="M57" s="322">
        <f>VLOOKUP($A57,[0]!Data,24,FALSE)</f>
        <v>1013</v>
      </c>
      <c r="N57" s="322">
        <f t="shared" si="0"/>
        <v>156</v>
      </c>
      <c r="O57" s="322">
        <f t="shared" si="1"/>
        <v>22</v>
      </c>
      <c r="P57" s="322">
        <f t="shared" si="2"/>
        <v>5476</v>
      </c>
      <c r="Q57" s="324">
        <f t="shared" si="3"/>
        <v>4769</v>
      </c>
    </row>
    <row r="58" spans="1:17" x14ac:dyDescent="0.2">
      <c r="A58" s="36" t="str">
        <f>'[2]Table 13'!A59</f>
        <v>NC0059</v>
      </c>
      <c r="B58" s="37" t="str">
        <f>'[2]Table 13'!B59</f>
        <v>Stanly</v>
      </c>
      <c r="C58" s="390" t="str">
        <f>VLOOKUP($A58,[0]!Data,16,FALSE)</f>
        <v>Yes</v>
      </c>
      <c r="D58" s="322">
        <f>VLOOKUP($A58,[0]!Data,17,FALSE)</f>
        <v>617</v>
      </c>
      <c r="E58" s="322">
        <f>VLOOKUP($A58,[0]!Data,19,FALSE)</f>
        <v>72</v>
      </c>
      <c r="F58" s="322">
        <f>VLOOKUP($A58,[0]!Data,21,FALSE)</f>
        <v>2113</v>
      </c>
      <c r="G58" s="322">
        <f>VLOOKUP($A58,[0]!Data,24,FALSE)</f>
        <v>1158</v>
      </c>
      <c r="H58" s="322">
        <f>VLOOKUP($A58,[0]!Data,23,FALSE)</f>
        <v>17911</v>
      </c>
      <c r="I58" s="322">
        <f>VLOOKUP($A58,[0]!Data,18,FALSE)</f>
        <v>64</v>
      </c>
      <c r="J58" s="322">
        <f>VLOOKUP($A58,[0]!Data,20,FALSE)</f>
        <v>5</v>
      </c>
      <c r="K58" s="322">
        <f>VLOOKUP($A58,[0]!Data,21,FALSE)</f>
        <v>2113</v>
      </c>
      <c r="L58" s="322">
        <f>VLOOKUP($A58,[0]!Data,22,FALSE)</f>
        <v>83</v>
      </c>
      <c r="M58" s="322">
        <f>VLOOKUP($A58,[0]!Data,24,FALSE)</f>
        <v>1158</v>
      </c>
      <c r="N58" s="322">
        <f t="shared" si="0"/>
        <v>681</v>
      </c>
      <c r="O58" s="322">
        <f t="shared" si="1"/>
        <v>77</v>
      </c>
      <c r="P58" s="322">
        <f t="shared" si="2"/>
        <v>4226</v>
      </c>
      <c r="Q58" s="324">
        <f t="shared" si="3"/>
        <v>19069</v>
      </c>
    </row>
    <row r="59" spans="1:17" x14ac:dyDescent="0.2">
      <c r="A59" s="36" t="str">
        <f>'[2]Table 13'!A60</f>
        <v>NC0060</v>
      </c>
      <c r="B59" s="37" t="str">
        <f>'[2]Table 13'!B60</f>
        <v>Transylvania</v>
      </c>
      <c r="C59" s="390" t="str">
        <f>VLOOKUP($A59,[0]!Data,16,FALSE)</f>
        <v>Yes</v>
      </c>
      <c r="D59" s="322">
        <f>VLOOKUP($A59,[0]!Data,17,FALSE)</f>
        <v>747</v>
      </c>
      <c r="E59" s="322">
        <f>VLOOKUP($A59,[0]!Data,19,FALSE)</f>
        <v>88</v>
      </c>
      <c r="F59" s="322">
        <f>VLOOKUP($A59,[0]!Data,21,FALSE)</f>
        <v>3481</v>
      </c>
      <c r="G59" s="322">
        <f>VLOOKUP($A59,[0]!Data,24,FALSE)</f>
        <v>3305</v>
      </c>
      <c r="H59" s="322">
        <f>VLOOKUP($A59,[0]!Data,23,FALSE)</f>
        <v>22668</v>
      </c>
      <c r="I59" s="322">
        <f>VLOOKUP($A59,[0]!Data,18,FALSE)</f>
        <v>88</v>
      </c>
      <c r="J59" s="322">
        <f>VLOOKUP($A59,[0]!Data,20,FALSE)</f>
        <v>26</v>
      </c>
      <c r="K59" s="322">
        <f>VLOOKUP($A59,[0]!Data,21,FALSE)</f>
        <v>3481</v>
      </c>
      <c r="L59" s="322">
        <f>VLOOKUP($A59,[0]!Data,22,FALSE)</f>
        <v>385</v>
      </c>
      <c r="M59" s="322">
        <f>VLOOKUP($A59,[0]!Data,24,FALSE)</f>
        <v>3305</v>
      </c>
      <c r="N59" s="322">
        <f t="shared" si="0"/>
        <v>835</v>
      </c>
      <c r="O59" s="322">
        <f t="shared" si="1"/>
        <v>114</v>
      </c>
      <c r="P59" s="322">
        <f t="shared" si="2"/>
        <v>6962</v>
      </c>
      <c r="Q59" s="324">
        <f t="shared" si="3"/>
        <v>25973</v>
      </c>
    </row>
    <row r="60" spans="1:17" x14ac:dyDescent="0.2">
      <c r="A60" s="36" t="str">
        <f>'[2]Table 13'!A61</f>
        <v>NC0061</v>
      </c>
      <c r="B60" s="37" t="str">
        <f>'[2]Table 13'!B61</f>
        <v>Union</v>
      </c>
      <c r="C60" s="390" t="str">
        <f>VLOOKUP($A60,[0]!Data,16,FALSE)</f>
        <v>Yes</v>
      </c>
      <c r="D60" s="322">
        <f>VLOOKUP($A60,[0]!Data,17,FALSE)</f>
        <v>2238</v>
      </c>
      <c r="E60" s="322">
        <f>VLOOKUP($A60,[0]!Data,19,FALSE)</f>
        <v>288</v>
      </c>
      <c r="F60" s="322">
        <f>VLOOKUP($A60,[0]!Data,21,FALSE)</f>
        <v>7975</v>
      </c>
      <c r="G60" s="322">
        <f>VLOOKUP($A60,[0]!Data,24,FALSE)</f>
        <v>14236</v>
      </c>
      <c r="H60" s="322">
        <f>VLOOKUP($A60,[0]!Data,23,FALSE)</f>
        <v>115376</v>
      </c>
      <c r="I60" s="322">
        <f>VLOOKUP($A60,[0]!Data,18,FALSE)</f>
        <v>387</v>
      </c>
      <c r="J60" s="322">
        <f>VLOOKUP($A60,[0]!Data,20,FALSE)</f>
        <v>34</v>
      </c>
      <c r="K60" s="322">
        <f>VLOOKUP($A60,[0]!Data,21,FALSE)</f>
        <v>7975</v>
      </c>
      <c r="L60" s="322">
        <f>VLOOKUP($A60,[0]!Data,22,FALSE)</f>
        <v>352</v>
      </c>
      <c r="M60" s="322">
        <f>VLOOKUP($A60,[0]!Data,24,FALSE)</f>
        <v>14236</v>
      </c>
      <c r="N60" s="322">
        <f t="shared" si="0"/>
        <v>2625</v>
      </c>
      <c r="O60" s="322">
        <f t="shared" si="1"/>
        <v>322</v>
      </c>
      <c r="P60" s="322">
        <f t="shared" si="2"/>
        <v>15950</v>
      </c>
      <c r="Q60" s="324">
        <f t="shared" si="3"/>
        <v>129612</v>
      </c>
    </row>
    <row r="61" spans="1:17" x14ac:dyDescent="0.2">
      <c r="A61" s="36" t="str">
        <f>'[2]Table 13'!A62</f>
        <v>NC0062</v>
      </c>
      <c r="B61" s="37" t="str">
        <f>'[2]Table 13'!B62</f>
        <v>Vance (Perry)</v>
      </c>
      <c r="C61" s="390" t="str">
        <f>VLOOKUP($A61,[0]!Data,16,FALSE)</f>
        <v>Yes</v>
      </c>
      <c r="D61" s="322">
        <f>VLOOKUP($A61,[0]!Data,17,FALSE)</f>
        <v>396</v>
      </c>
      <c r="E61" s="322">
        <f>VLOOKUP($A61,[0]!Data,19,FALSE)</f>
        <v>33</v>
      </c>
      <c r="F61" s="322">
        <f>VLOOKUP($A61,[0]!Data,21,FALSE)</f>
        <v>1146</v>
      </c>
      <c r="G61" s="322">
        <f>VLOOKUP($A61,[0]!Data,24,FALSE)</f>
        <v>1498</v>
      </c>
      <c r="H61" s="322">
        <f>VLOOKUP($A61,[0]!Data,23,FALSE)</f>
        <v>9931</v>
      </c>
      <c r="I61" s="322">
        <f>VLOOKUP($A61,[0]!Data,18,FALSE)</f>
        <v>86</v>
      </c>
      <c r="J61" s="322">
        <f>VLOOKUP($A61,[0]!Data,20,FALSE)</f>
        <v>15</v>
      </c>
      <c r="K61" s="322">
        <f>VLOOKUP($A61,[0]!Data,21,FALSE)</f>
        <v>1146</v>
      </c>
      <c r="L61" s="322">
        <f>VLOOKUP($A61,[0]!Data,22,FALSE)</f>
        <v>254</v>
      </c>
      <c r="M61" s="322">
        <f>VLOOKUP($A61,[0]!Data,24,FALSE)</f>
        <v>1498</v>
      </c>
      <c r="N61" s="322">
        <f t="shared" si="0"/>
        <v>482</v>
      </c>
      <c r="O61" s="322">
        <f t="shared" si="1"/>
        <v>48</v>
      </c>
      <c r="P61" s="322">
        <f t="shared" si="2"/>
        <v>2292</v>
      </c>
      <c r="Q61" s="324">
        <f t="shared" si="3"/>
        <v>11429</v>
      </c>
    </row>
    <row r="62" spans="1:17" x14ac:dyDescent="0.2">
      <c r="A62" s="36" t="str">
        <f>'[2]Table 13'!A63</f>
        <v>NC0063</v>
      </c>
      <c r="B62" s="37" t="str">
        <f>'[2]Table 13'!B63</f>
        <v>Wake</v>
      </c>
      <c r="C62" s="390" t="str">
        <f>VLOOKUP($A62,All!A$3:RC$87,16,FALSE)</f>
        <v>No</v>
      </c>
      <c r="D62" s="322">
        <f>VLOOKUP($A62,All!A$3:RC$87,17,FALSE)</f>
        <v>28400</v>
      </c>
      <c r="E62" s="322">
        <f>VLOOKUP($A62,All!A$3:RC$87,19,FALSE)</f>
        <v>1923</v>
      </c>
      <c r="F62" s="322">
        <f>VLOOKUP($A62,All!A$3:RC$87,21,FALSE)</f>
        <v>84352</v>
      </c>
      <c r="G62" s="322">
        <f>VLOOKUP($A62,All!A$3:RC$87,24,FALSE)</f>
        <v>134700</v>
      </c>
      <c r="H62" s="322">
        <f>VLOOKUP($A62,All!A$3:RC$87,23,FALSE)</f>
        <v>1607982</v>
      </c>
      <c r="I62" s="322">
        <f>VLOOKUP($A62,All!A$3:RC$87,18,FALSE)</f>
        <v>5876</v>
      </c>
      <c r="J62" s="322">
        <f>VLOOKUP($A62,All!A$3:RC$87,20,FALSE)</f>
        <v>67</v>
      </c>
      <c r="K62" s="322">
        <f>VLOOKUP($A62,All!A$3:RC$87,21,FALSE)</f>
        <v>84352</v>
      </c>
      <c r="L62" s="322">
        <f>VLOOKUP($A62,All!A$3:RC$87,22,FALSE)</f>
        <v>1315</v>
      </c>
      <c r="M62" s="322">
        <f>VLOOKUP($A62,All!A$3:RC$87,24,FALSE)</f>
        <v>134700</v>
      </c>
      <c r="N62" s="322">
        <f t="shared" si="0"/>
        <v>34276</v>
      </c>
      <c r="O62" s="322">
        <f t="shared" si="1"/>
        <v>1990</v>
      </c>
      <c r="P62" s="322">
        <f t="shared" si="2"/>
        <v>168704</v>
      </c>
      <c r="Q62" s="324">
        <f t="shared" si="3"/>
        <v>1742682</v>
      </c>
    </row>
    <row r="63" spans="1:17" x14ac:dyDescent="0.2">
      <c r="A63" s="36" t="str">
        <f>'[2]Table 13'!A64</f>
        <v>NC0101</v>
      </c>
      <c r="B63" s="37" t="str">
        <f>'[2]Table 13'!B64</f>
        <v>Warren</v>
      </c>
      <c r="C63" s="390" t="str">
        <f>VLOOKUP($A63,All!A$3:RC$87,16,FALSE)</f>
        <v>Yes</v>
      </c>
      <c r="D63" s="322">
        <f>VLOOKUP($A63,All!A$3:RC$87,17,FALSE)</f>
        <v>250</v>
      </c>
      <c r="E63" s="322">
        <f>VLOOKUP($A63,All!A$3:RC$87,19,FALSE)</f>
        <v>35</v>
      </c>
      <c r="F63" s="322">
        <f>VLOOKUP($A63,All!A$3:RC$87,21,FALSE)</f>
        <v>1275</v>
      </c>
      <c r="G63" s="322">
        <f>VLOOKUP($A63,All!A$3:RC$87,24,FALSE)</f>
        <v>628</v>
      </c>
      <c r="H63" s="322">
        <f>VLOOKUP($A63,All!A$3:RC$87,23,FALSE)</f>
        <v>-1</v>
      </c>
      <c r="I63" s="322">
        <f>VLOOKUP($A63,All!A$3:RC$87,18,FALSE)</f>
        <v>70</v>
      </c>
      <c r="J63" s="322">
        <f>VLOOKUP($A63,All!A$3:RC$87,20,FALSE)</f>
        <v>10</v>
      </c>
      <c r="K63" s="322">
        <f>VLOOKUP($A63,All!A$3:RC$87,21,FALSE)</f>
        <v>1275</v>
      </c>
      <c r="L63" s="322">
        <f>VLOOKUP($A63,All!A$3:RC$87,22,FALSE)</f>
        <v>350</v>
      </c>
      <c r="M63" s="322">
        <f>VLOOKUP($A63,All!A$3:RC$87,24,FALSE)</f>
        <v>628</v>
      </c>
      <c r="N63" s="322">
        <f t="shared" si="0"/>
        <v>320</v>
      </c>
      <c r="O63" s="322">
        <f t="shared" si="1"/>
        <v>45</v>
      </c>
      <c r="P63" s="322">
        <f t="shared" si="2"/>
        <v>2550</v>
      </c>
      <c r="Q63" s="324">
        <f t="shared" si="3"/>
        <v>627</v>
      </c>
    </row>
    <row r="64" spans="1:17" x14ac:dyDescent="0.2">
      <c r="A64" s="36" t="str">
        <f>'[2]Table 13'!A65</f>
        <v>NC0065</v>
      </c>
      <c r="B64" s="37" t="str">
        <f>'[2]Table 13'!B65</f>
        <v>Wayne</v>
      </c>
      <c r="C64" s="390" t="str">
        <f>VLOOKUP($A64,All!A$3:RC$87,16,FALSE)</f>
        <v>Yes</v>
      </c>
      <c r="D64" s="322">
        <f>VLOOKUP($A64,All!A$3:RC$87,17,FALSE)</f>
        <v>868</v>
      </c>
      <c r="E64" s="322">
        <f>VLOOKUP($A64,All!A$3:RC$87,19,FALSE)</f>
        <v>72</v>
      </c>
      <c r="F64" s="322">
        <f>VLOOKUP($A64,All!A$3:RC$87,21,FALSE)</f>
        <v>3190</v>
      </c>
      <c r="G64" s="322">
        <f>VLOOKUP($A64,All!A$3:RC$87,24,FALSE)</f>
        <v>3602</v>
      </c>
      <c r="H64" s="322">
        <f>VLOOKUP($A64,All!A$3:RC$87,23,FALSE)</f>
        <v>29725</v>
      </c>
      <c r="I64" s="322">
        <f>VLOOKUP($A64,All!A$3:RC$87,18,FALSE)</f>
        <v>45</v>
      </c>
      <c r="J64" s="322">
        <f>VLOOKUP($A64,All!A$3:RC$87,20,FALSE)</f>
        <v>13</v>
      </c>
      <c r="K64" s="322">
        <f>VLOOKUP($A64,All!A$3:RC$87,21,FALSE)</f>
        <v>3190</v>
      </c>
      <c r="L64" s="322">
        <f>VLOOKUP($A64,All!A$3:RC$87,22,FALSE)</f>
        <v>138</v>
      </c>
      <c r="M64" s="322">
        <f>VLOOKUP($A64,All!A$3:RC$87,24,FALSE)</f>
        <v>3602</v>
      </c>
      <c r="N64" s="322">
        <f t="shared" si="0"/>
        <v>913</v>
      </c>
      <c r="O64" s="322">
        <f t="shared" si="1"/>
        <v>85</v>
      </c>
      <c r="P64" s="322">
        <f t="shared" si="2"/>
        <v>6380</v>
      </c>
      <c r="Q64" s="324">
        <f t="shared" si="3"/>
        <v>33327</v>
      </c>
    </row>
    <row r="65" spans="1:17" x14ac:dyDescent="0.2">
      <c r="A65" s="36" t="str">
        <f>'[2]Table 13'!A66</f>
        <v>NC0066</v>
      </c>
      <c r="B65" s="37" t="str">
        <f>'[2]Table 13'!B66</f>
        <v>Wilson</v>
      </c>
      <c r="C65" s="390" t="str">
        <f>VLOOKUP($A65,All!A$3:RC$87,16,FALSE)</f>
        <v>Yes</v>
      </c>
      <c r="D65" s="322">
        <f>VLOOKUP($A65,All!A$3:RC$87,17,FALSE)</f>
        <v>607</v>
      </c>
      <c r="E65" s="322">
        <f>VLOOKUP($A65,All!A$3:RC$87,19,FALSE)</f>
        <v>99</v>
      </c>
      <c r="F65" s="322">
        <f>VLOOKUP($A65,All!A$3:RC$87,21,FALSE)</f>
        <v>3025</v>
      </c>
      <c r="G65" s="322">
        <f>VLOOKUP($A65,All!A$3:RC$87,24,FALSE)</f>
        <v>2659</v>
      </c>
      <c r="H65" s="322">
        <f>VLOOKUP($A65,All!A$3:RC$87,23,FALSE)</f>
        <v>27678</v>
      </c>
      <c r="I65" s="322">
        <f>VLOOKUP($A65,All!A$3:RC$87,18,FALSE)</f>
        <v>78</v>
      </c>
      <c r="J65" s="322">
        <f>VLOOKUP($A65,All!A$3:RC$87,20,FALSE)</f>
        <v>18</v>
      </c>
      <c r="K65" s="322">
        <f>VLOOKUP($A65,All!A$3:RC$87,21,FALSE)</f>
        <v>3025</v>
      </c>
      <c r="L65" s="322">
        <f>VLOOKUP($A65,All!A$3:RC$87,22,FALSE)</f>
        <v>211</v>
      </c>
      <c r="M65" s="322">
        <f>VLOOKUP($A65,All!A$3:RC$87,24,FALSE)</f>
        <v>2659</v>
      </c>
      <c r="N65" s="516">
        <f t="shared" si="0"/>
        <v>685</v>
      </c>
      <c r="O65" s="516">
        <f t="shared" si="1"/>
        <v>117</v>
      </c>
      <c r="P65" s="516">
        <f t="shared" si="2"/>
        <v>6050</v>
      </c>
      <c r="Q65" s="333">
        <f t="shared" si="3"/>
        <v>30337</v>
      </c>
    </row>
    <row r="66" spans="1:17" ht="13.5" thickBot="1" x14ac:dyDescent="0.25">
      <c r="A66" s="599" t="s">
        <v>1709</v>
      </c>
      <c r="B66" s="600"/>
      <c r="C66" s="514"/>
      <c r="D66" s="515">
        <f>SUM(D8:D65)</f>
        <v>104376</v>
      </c>
      <c r="E66" s="515">
        <f t="shared" ref="E66:Q66" si="4">SUM(E8:E65)</f>
        <v>14410</v>
      </c>
      <c r="F66" s="515">
        <f t="shared" si="4"/>
        <v>475395</v>
      </c>
      <c r="G66" s="515">
        <f>SUM(G8:G65)</f>
        <v>491428</v>
      </c>
      <c r="H66" s="515">
        <f t="shared" si="4"/>
        <v>4765058</v>
      </c>
      <c r="I66" s="515">
        <f t="shared" si="4"/>
        <v>22972</v>
      </c>
      <c r="J66" s="515">
        <f t="shared" si="4"/>
        <v>2628</v>
      </c>
      <c r="K66" s="515">
        <f t="shared" si="4"/>
        <v>475395</v>
      </c>
      <c r="L66" s="515">
        <f>SUM(L8:L65)</f>
        <v>35525</v>
      </c>
      <c r="M66" s="515">
        <f t="shared" si="4"/>
        <v>491428</v>
      </c>
      <c r="N66" s="515">
        <f t="shared" si="4"/>
        <v>127348</v>
      </c>
      <c r="O66" s="515">
        <f t="shared" si="4"/>
        <v>17038</v>
      </c>
      <c r="P66" s="515">
        <f t="shared" si="4"/>
        <v>950790</v>
      </c>
      <c r="Q66" s="77">
        <f t="shared" si="4"/>
        <v>5256486</v>
      </c>
    </row>
    <row r="67" spans="1:17" ht="14.25" thickTop="1" thickBot="1" x14ac:dyDescent="0.25">
      <c r="A67" s="601" t="s">
        <v>1455</v>
      </c>
      <c r="B67" s="602"/>
      <c r="C67" s="45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50"/>
    </row>
    <row r="68" spans="1:17" ht="13.5" thickTop="1" x14ac:dyDescent="0.2">
      <c r="A68" s="444" t="str">
        <f>'[2]Table 13'!A69</f>
        <v>NC0001</v>
      </c>
      <c r="B68" s="444" t="str">
        <f>'[2]Table 13'!B69</f>
        <v>Albemarle</v>
      </c>
      <c r="C68" s="390" t="str">
        <f>VLOOKUP($A68,[0]!Data,16,FALSE)</f>
        <v>Yes</v>
      </c>
      <c r="D68" s="322">
        <f>VLOOKUP($A68,[0]!Data,17,FALSE)</f>
        <v>340</v>
      </c>
      <c r="E68" s="322">
        <f>VLOOKUP($A68,[0]!Data,19,FALSE)</f>
        <v>94</v>
      </c>
      <c r="F68" s="322">
        <f>VLOOKUP($A68,[0]!Data,21,FALSE)</f>
        <v>3653</v>
      </c>
      <c r="G68" s="322">
        <f>VLOOKUP($A68,[0]!Data,24,FALSE)</f>
        <v>1079</v>
      </c>
      <c r="H68" s="322">
        <f>VLOOKUP($A68,[0]!Data,23,FALSE)</f>
        <v>8927</v>
      </c>
      <c r="I68" s="322">
        <f>VLOOKUP($A68,[0]!Data,18,FALSE)</f>
        <v>40</v>
      </c>
      <c r="J68" s="322">
        <f>VLOOKUP($A68,[0]!Data,20,FALSE)</f>
        <v>8</v>
      </c>
      <c r="K68" s="322">
        <f>VLOOKUP($A68,[0]!Data,21,FALSE)</f>
        <v>3653</v>
      </c>
      <c r="L68" s="322">
        <f>VLOOKUP($A68,[0]!Data,22,FALSE)</f>
        <v>71</v>
      </c>
      <c r="M68" s="322">
        <f>VLOOKUP($A68,[0]!Data,24,FALSE)</f>
        <v>1079</v>
      </c>
      <c r="N68" s="322">
        <f t="shared" ref="N68" si="5">SUM(D68,I68)</f>
        <v>380</v>
      </c>
      <c r="O68" s="322">
        <f>SUM(E68,J68)</f>
        <v>102</v>
      </c>
      <c r="P68" s="322">
        <f>SUM(F68,K68)</f>
        <v>7306</v>
      </c>
      <c r="Q68" s="324">
        <f>SUM(H68,M68)</f>
        <v>10006</v>
      </c>
    </row>
    <row r="69" spans="1:17" x14ac:dyDescent="0.2">
      <c r="A69" s="444" t="str">
        <f>'[2]Table 13'!A70</f>
        <v>NC0003</v>
      </c>
      <c r="B69" s="444" t="str">
        <f>'[2]Table 13'!B70</f>
        <v>AMY</v>
      </c>
      <c r="C69" s="390" t="str">
        <f>VLOOKUP($A69,[0]!Data,16,FALSE)</f>
        <v>No</v>
      </c>
      <c r="D69" s="322">
        <f>VLOOKUP($A69,[0]!Data,17,FALSE)</f>
        <v>80</v>
      </c>
      <c r="E69" s="322">
        <f>VLOOKUP($A69,[0]!Data,19,FALSE)</f>
        <v>23</v>
      </c>
      <c r="F69" s="322">
        <f>VLOOKUP($A69,[0]!Data,21,FALSE)</f>
        <v>428</v>
      </c>
      <c r="G69" s="322">
        <f>VLOOKUP($A69,[0]!Data,24,FALSE)</f>
        <v>0</v>
      </c>
      <c r="H69" s="322">
        <f>VLOOKUP($A69,[0]!Data,23,FALSE)</f>
        <v>8738</v>
      </c>
      <c r="I69" s="322">
        <f>VLOOKUP($A69,[0]!Data,18,FALSE)</f>
        <v>0</v>
      </c>
      <c r="J69" s="322">
        <f>VLOOKUP($A69,[0]!Data,20,FALSE)</f>
        <v>0</v>
      </c>
      <c r="K69" s="322">
        <f>VLOOKUP($A69,[0]!Data,21,FALSE)</f>
        <v>428</v>
      </c>
      <c r="L69" s="322">
        <f>VLOOKUP($A69,[0]!Data,22,FALSE)</f>
        <v>0</v>
      </c>
      <c r="M69" s="322">
        <f>VLOOKUP($A69,[0]!Data,24,FALSE)</f>
        <v>0</v>
      </c>
      <c r="N69" s="322">
        <f t="shared" ref="N69:N79" si="6">SUM(D69,I69)</f>
        <v>80</v>
      </c>
      <c r="O69" s="322">
        <f t="shared" ref="O69:O79" si="7">SUM(E69,J69)</f>
        <v>23</v>
      </c>
      <c r="P69" s="322">
        <f t="shared" ref="P69:P79" si="8">SUM(F69,K69)</f>
        <v>856</v>
      </c>
      <c r="Q69" s="324">
        <f t="shared" ref="Q69:Q79" si="9">SUM(H69,M69)</f>
        <v>8738</v>
      </c>
    </row>
    <row r="70" spans="1:17" x14ac:dyDescent="0.2">
      <c r="A70" s="444" t="str">
        <f>'[2]Table 13'!A71</f>
        <v>NC0002</v>
      </c>
      <c r="B70" s="444" t="str">
        <f>'[2]Table 13'!B71</f>
        <v>Appalachian</v>
      </c>
      <c r="C70" s="390" t="str">
        <f>VLOOKUP($A70,[0]!Data,16,FALSE)</f>
        <v>Yes</v>
      </c>
      <c r="D70" s="322">
        <f>VLOOKUP($A70,[0]!Data,17,FALSE)</f>
        <v>1805</v>
      </c>
      <c r="E70" s="322">
        <f>VLOOKUP($A70,[0]!Data,19,FALSE)</f>
        <v>265</v>
      </c>
      <c r="F70" s="322">
        <f>VLOOKUP($A70,[0]!Data,21,FALSE)</f>
        <v>11099</v>
      </c>
      <c r="G70" s="322">
        <f>VLOOKUP($A70,[0]!Data,24,FALSE)</f>
        <v>9228</v>
      </c>
      <c r="H70" s="322">
        <f>VLOOKUP($A70,[0]!Data,23,FALSE)</f>
        <v>76016</v>
      </c>
      <c r="I70" s="322">
        <f>VLOOKUP($A70,[0]!Data,18,FALSE)</f>
        <v>280</v>
      </c>
      <c r="J70" s="322">
        <f>VLOOKUP($A70,[0]!Data,20,FALSE)</f>
        <v>48</v>
      </c>
      <c r="K70" s="322">
        <f>VLOOKUP($A70,[0]!Data,21,FALSE)</f>
        <v>11099</v>
      </c>
      <c r="L70" s="322">
        <f>VLOOKUP($A70,[0]!Data,22,FALSE)</f>
        <v>342</v>
      </c>
      <c r="M70" s="322">
        <f>VLOOKUP($A70,[0]!Data,24,FALSE)</f>
        <v>9228</v>
      </c>
      <c r="N70" s="322">
        <f t="shared" si="6"/>
        <v>2085</v>
      </c>
      <c r="O70" s="322">
        <f t="shared" si="7"/>
        <v>313</v>
      </c>
      <c r="P70" s="322">
        <f t="shared" si="8"/>
        <v>22198</v>
      </c>
      <c r="Q70" s="324">
        <f t="shared" si="9"/>
        <v>85244</v>
      </c>
    </row>
    <row r="71" spans="1:17" x14ac:dyDescent="0.2">
      <c r="A71" s="444" t="str">
        <f>'[2]Table 13'!A72</f>
        <v>NC0004</v>
      </c>
      <c r="B71" s="444" t="str">
        <f>'[2]Table 13'!B72</f>
        <v>BHM</v>
      </c>
      <c r="C71" s="390" t="str">
        <f>VLOOKUP($A71,[0]!Data,16,FALSE)</f>
        <v>Yes</v>
      </c>
      <c r="D71" s="322">
        <f>VLOOKUP($A71,[0]!Data,17,FALSE)</f>
        <v>451</v>
      </c>
      <c r="E71" s="322">
        <f>VLOOKUP($A71,[0]!Data,19,FALSE)</f>
        <v>108</v>
      </c>
      <c r="F71" s="322">
        <f>VLOOKUP($A71,[0]!Data,21,FALSE)</f>
        <v>2449</v>
      </c>
      <c r="G71" s="322">
        <f>VLOOKUP($A71,[0]!Data,24,FALSE)</f>
        <v>572</v>
      </c>
      <c r="H71" s="322">
        <f>VLOOKUP($A71,[0]!Data,23,FALSE)</f>
        <v>9790</v>
      </c>
      <c r="I71" s="322">
        <f>VLOOKUP($A71,[0]!Data,18,FALSE)</f>
        <v>68</v>
      </c>
      <c r="J71" s="322">
        <f>VLOOKUP($A71,[0]!Data,20,FALSE)</f>
        <v>14</v>
      </c>
      <c r="K71" s="322">
        <f>VLOOKUP($A71,[0]!Data,21,FALSE)</f>
        <v>2449</v>
      </c>
      <c r="L71" s="322">
        <f>VLOOKUP($A71,[0]!Data,22,FALSE)</f>
        <v>82</v>
      </c>
      <c r="M71" s="322">
        <f>VLOOKUP($A71,[0]!Data,24,FALSE)</f>
        <v>572</v>
      </c>
      <c r="N71" s="322">
        <f t="shared" si="6"/>
        <v>519</v>
      </c>
      <c r="O71" s="322">
        <f t="shared" si="7"/>
        <v>122</v>
      </c>
      <c r="P71" s="322">
        <f t="shared" si="8"/>
        <v>4898</v>
      </c>
      <c r="Q71" s="324">
        <f t="shared" si="9"/>
        <v>10362</v>
      </c>
    </row>
    <row r="72" spans="1:17" x14ac:dyDescent="0.2">
      <c r="A72" s="444" t="str">
        <f>'[2]Table 13'!A73</f>
        <v>NC0006</v>
      </c>
      <c r="B72" s="444" t="str">
        <f>'[2]Table 13'!B73</f>
        <v>CPC</v>
      </c>
      <c r="C72" s="390" t="str">
        <f>VLOOKUP($A72,[0]!Data,16,FALSE)</f>
        <v>Yes</v>
      </c>
      <c r="D72" s="322">
        <f>VLOOKUP($A72,[0]!Data,17,FALSE)</f>
        <v>1667</v>
      </c>
      <c r="E72" s="322">
        <f>VLOOKUP($A72,[0]!Data,19,FALSE)</f>
        <v>247</v>
      </c>
      <c r="F72" s="322">
        <f>VLOOKUP($A72,[0]!Data,21,FALSE)</f>
        <v>8358</v>
      </c>
      <c r="G72" s="322">
        <f>VLOOKUP($A72,[0]!Data,24,FALSE)</f>
        <v>6099</v>
      </c>
      <c r="H72" s="322">
        <f>VLOOKUP($A72,[0]!Data,23,FALSE)</f>
        <v>46473</v>
      </c>
      <c r="I72" s="322">
        <f>VLOOKUP($A72,[0]!Data,18,FALSE)</f>
        <v>218</v>
      </c>
      <c r="J72" s="322">
        <f>VLOOKUP($A72,[0]!Data,20,FALSE)</f>
        <v>62</v>
      </c>
      <c r="K72" s="322">
        <f>VLOOKUP($A72,[0]!Data,21,FALSE)</f>
        <v>8358</v>
      </c>
      <c r="L72" s="322">
        <f>VLOOKUP($A72,[0]!Data,22,FALSE)</f>
        <v>427</v>
      </c>
      <c r="M72" s="322">
        <f>VLOOKUP($A72,[0]!Data,24,FALSE)</f>
        <v>6099</v>
      </c>
      <c r="N72" s="322">
        <f t="shared" si="6"/>
        <v>1885</v>
      </c>
      <c r="O72" s="322">
        <f t="shared" si="7"/>
        <v>309</v>
      </c>
      <c r="P72" s="322">
        <f t="shared" si="8"/>
        <v>16716</v>
      </c>
      <c r="Q72" s="324">
        <f t="shared" si="9"/>
        <v>52572</v>
      </c>
    </row>
    <row r="73" spans="1:17" x14ac:dyDescent="0.2">
      <c r="A73" s="444" t="str">
        <f>'[2]Table 13'!A74</f>
        <v>NC0007</v>
      </c>
      <c r="B73" s="444" t="str">
        <f>'[2]Table 13'!B74</f>
        <v>E. Albemarle</v>
      </c>
      <c r="C73" s="390" t="str">
        <f>VLOOKUP($A73,[0]!Data,16,FALSE)</f>
        <v>Yes</v>
      </c>
      <c r="D73" s="322">
        <f>VLOOKUP($A73,[0]!Data,17,FALSE)</f>
        <v>796</v>
      </c>
      <c r="E73" s="322">
        <f>VLOOKUP($A73,[0]!Data,19,FALSE)</f>
        <v>138</v>
      </c>
      <c r="F73" s="322">
        <f>VLOOKUP($A73,[0]!Data,21,FALSE)</f>
        <v>4191</v>
      </c>
      <c r="G73" s="322">
        <f>VLOOKUP($A73,[0]!Data,24,FALSE)</f>
        <v>3759</v>
      </c>
      <c r="H73" s="322">
        <f>VLOOKUP($A73,[0]!Data,23,FALSE)</f>
        <v>40775</v>
      </c>
      <c r="I73" s="322">
        <f>VLOOKUP($A73,[0]!Data,18,FALSE)</f>
        <v>86</v>
      </c>
      <c r="J73" s="322">
        <f>VLOOKUP($A73,[0]!Data,20,FALSE)</f>
        <v>14</v>
      </c>
      <c r="K73" s="322">
        <f>VLOOKUP($A73,[0]!Data,21,FALSE)</f>
        <v>4191</v>
      </c>
      <c r="L73" s="322">
        <f>VLOOKUP($A73,[0]!Data,22,FALSE)</f>
        <v>111</v>
      </c>
      <c r="M73" s="322">
        <f>VLOOKUP($A73,[0]!Data,24,FALSE)</f>
        <v>3759</v>
      </c>
      <c r="N73" s="322">
        <f t="shared" si="6"/>
        <v>882</v>
      </c>
      <c r="O73" s="322">
        <f t="shared" si="7"/>
        <v>152</v>
      </c>
      <c r="P73" s="322">
        <f t="shared" si="8"/>
        <v>8382</v>
      </c>
      <c r="Q73" s="324">
        <f t="shared" si="9"/>
        <v>44534</v>
      </c>
    </row>
    <row r="74" spans="1:17" x14ac:dyDescent="0.2">
      <c r="A74" s="444" t="str">
        <f>'[2]Table 13'!A75</f>
        <v>NC0008</v>
      </c>
      <c r="B74" s="444" t="str">
        <f>'[2]Table 13'!B75</f>
        <v>Fontana</v>
      </c>
      <c r="C74" s="390" t="str">
        <f>VLOOKUP($A74,[0]!Data,16,FALSE)</f>
        <v>Yes</v>
      </c>
      <c r="D74" s="322">
        <f>VLOOKUP($A74,[0]!Data,17,FALSE)</f>
        <v>1315</v>
      </c>
      <c r="E74" s="322">
        <f>VLOOKUP($A74,[0]!Data,19,FALSE)</f>
        <v>312</v>
      </c>
      <c r="F74" s="322">
        <f>VLOOKUP($A74,[0]!Data,21,FALSE)</f>
        <v>8029</v>
      </c>
      <c r="G74" s="322">
        <f>VLOOKUP($A74,[0]!Data,24,FALSE)</f>
        <v>3225</v>
      </c>
      <c r="H74" s="322">
        <f>VLOOKUP($A74,[0]!Data,23,FALSE)</f>
        <v>34793</v>
      </c>
      <c r="I74" s="322">
        <f>VLOOKUP($A74,[0]!Data,18,FALSE)</f>
        <v>155</v>
      </c>
      <c r="J74" s="322">
        <f>VLOOKUP($A74,[0]!Data,20,FALSE)</f>
        <v>98</v>
      </c>
      <c r="K74" s="322">
        <f>VLOOKUP($A74,[0]!Data,21,FALSE)</f>
        <v>8029</v>
      </c>
      <c r="L74" s="322">
        <f>VLOOKUP($A74,[0]!Data,22,FALSE)</f>
        <v>2610</v>
      </c>
      <c r="M74" s="322">
        <f>VLOOKUP($A74,[0]!Data,24,FALSE)</f>
        <v>3225</v>
      </c>
      <c r="N74" s="322">
        <f t="shared" si="6"/>
        <v>1470</v>
      </c>
      <c r="O74" s="322">
        <f t="shared" si="7"/>
        <v>410</v>
      </c>
      <c r="P74" s="322">
        <f t="shared" si="8"/>
        <v>16058</v>
      </c>
      <c r="Q74" s="324">
        <f t="shared" si="9"/>
        <v>38018</v>
      </c>
    </row>
    <row r="75" spans="1:17" x14ac:dyDescent="0.2">
      <c r="A75" s="444" t="str">
        <f>'[2]Table 13'!A76</f>
        <v>NC0011</v>
      </c>
      <c r="B75" s="444" t="str">
        <f>'[2]Table 13'!B76</f>
        <v>Nantahala</v>
      </c>
      <c r="C75" s="390" t="str">
        <f>VLOOKUP($A75,[0]!Data,16,FALSE)</f>
        <v>Yes</v>
      </c>
      <c r="D75" s="322">
        <f>VLOOKUP($A75,[0]!Data,17,FALSE)</f>
        <v>216</v>
      </c>
      <c r="E75" s="322">
        <f>VLOOKUP($A75,[0]!Data,19,FALSE)</f>
        <v>136</v>
      </c>
      <c r="F75" s="322">
        <f>VLOOKUP($A75,[0]!Data,21,FALSE)</f>
        <v>2436</v>
      </c>
      <c r="G75" s="322">
        <f>VLOOKUP($A75,[0]!Data,24,FALSE)</f>
        <v>1334</v>
      </c>
      <c r="H75" s="322">
        <f>VLOOKUP($A75,[0]!Data,23,FALSE)</f>
        <v>9813</v>
      </c>
      <c r="I75" s="322">
        <f>VLOOKUP($A75,[0]!Data,18,FALSE)</f>
        <v>44</v>
      </c>
      <c r="J75" s="322">
        <f>VLOOKUP($A75,[0]!Data,20,FALSE)</f>
        <v>11</v>
      </c>
      <c r="K75" s="322">
        <f>VLOOKUP($A75,[0]!Data,21,FALSE)</f>
        <v>2436</v>
      </c>
      <c r="L75" s="322">
        <f>VLOOKUP($A75,[0]!Data,22,FALSE)</f>
        <v>95</v>
      </c>
      <c r="M75" s="322">
        <f>VLOOKUP($A75,[0]!Data,24,FALSE)</f>
        <v>1334</v>
      </c>
      <c r="N75" s="322">
        <f t="shared" si="6"/>
        <v>260</v>
      </c>
      <c r="O75" s="322">
        <f t="shared" si="7"/>
        <v>147</v>
      </c>
      <c r="P75" s="322">
        <f t="shared" si="8"/>
        <v>4872</v>
      </c>
      <c r="Q75" s="324">
        <f t="shared" si="9"/>
        <v>11147</v>
      </c>
    </row>
    <row r="76" spans="1:17" x14ac:dyDescent="0.2">
      <c r="A76" s="444" t="str">
        <f>'[2]Table 13'!A77</f>
        <v>NC0012</v>
      </c>
      <c r="B76" s="444" t="str">
        <f>'[2]Table 13'!B77</f>
        <v>Neuse</v>
      </c>
      <c r="C76" s="390" t="str">
        <f>VLOOKUP($A76,[0]!Data,16,FALSE)</f>
        <v>No</v>
      </c>
      <c r="D76" s="322">
        <f>VLOOKUP($A76,[0]!Data,17,FALSE)</f>
        <v>817</v>
      </c>
      <c r="E76" s="322">
        <f>VLOOKUP($A76,[0]!Data,19,FALSE)</f>
        <v>119</v>
      </c>
      <c r="F76" s="322">
        <f>VLOOKUP($A76,[0]!Data,21,FALSE)</f>
        <v>2885</v>
      </c>
      <c r="G76" s="322">
        <f>VLOOKUP($A76,[0]!Data,24,FALSE)</f>
        <v>2614</v>
      </c>
      <c r="H76" s="322">
        <f>VLOOKUP($A76,[0]!Data,23,FALSE)</f>
        <v>14338</v>
      </c>
      <c r="I76" s="322">
        <f>VLOOKUP($A76,[0]!Data,18,FALSE)</f>
        <v>12</v>
      </c>
      <c r="J76" s="322">
        <f>VLOOKUP($A76,[0]!Data,20,FALSE)</f>
        <v>6</v>
      </c>
      <c r="K76" s="322">
        <f>VLOOKUP($A76,[0]!Data,21,FALSE)</f>
        <v>2885</v>
      </c>
      <c r="L76" s="322">
        <f>VLOOKUP($A76,[0]!Data,22,FALSE)</f>
        <v>82</v>
      </c>
      <c r="M76" s="322">
        <f>VLOOKUP($A76,[0]!Data,24,FALSE)</f>
        <v>2614</v>
      </c>
      <c r="N76" s="322">
        <f t="shared" si="6"/>
        <v>829</v>
      </c>
      <c r="O76" s="322">
        <f t="shared" si="7"/>
        <v>125</v>
      </c>
      <c r="P76" s="322">
        <f t="shared" si="8"/>
        <v>5770</v>
      </c>
      <c r="Q76" s="324">
        <f t="shared" si="9"/>
        <v>16952</v>
      </c>
    </row>
    <row r="77" spans="1:17" x14ac:dyDescent="0.2">
      <c r="A77" s="444" t="str">
        <f>'[2]Table 13'!A78</f>
        <v>NC0013</v>
      </c>
      <c r="B77" s="444" t="str">
        <f>'[2]Table 13'!B78</f>
        <v>Northwestern</v>
      </c>
      <c r="C77" s="390" t="str">
        <f>VLOOKUP($A77,[0]!Data,16,FALSE)</f>
        <v>Yes</v>
      </c>
      <c r="D77" s="322">
        <f>VLOOKUP($A77,[0]!Data,17,FALSE)</f>
        <v>2608</v>
      </c>
      <c r="E77" s="322">
        <f>VLOOKUP($A77,[0]!Data,19,FALSE)</f>
        <v>457</v>
      </c>
      <c r="F77" s="322">
        <f>VLOOKUP($A77,[0]!Data,21,FALSE)</f>
        <v>12923</v>
      </c>
      <c r="G77" s="322">
        <f>VLOOKUP($A77,[0]!Data,24,FALSE)</f>
        <v>5811</v>
      </c>
      <c r="H77" s="322">
        <f>VLOOKUP($A77,[0]!Data,23,FALSE)</f>
        <v>55004</v>
      </c>
      <c r="I77" s="322">
        <f>VLOOKUP($A77,[0]!Data,18,FALSE)</f>
        <v>271</v>
      </c>
      <c r="J77" s="322">
        <f>VLOOKUP($A77,[0]!Data,20,FALSE)</f>
        <v>125</v>
      </c>
      <c r="K77" s="322">
        <f>VLOOKUP($A77,[0]!Data,21,FALSE)</f>
        <v>12923</v>
      </c>
      <c r="L77" s="322">
        <f>VLOOKUP($A77,[0]!Data,22,FALSE)</f>
        <v>1231</v>
      </c>
      <c r="M77" s="322">
        <f>VLOOKUP($A77,[0]!Data,24,FALSE)</f>
        <v>5811</v>
      </c>
      <c r="N77" s="322">
        <f t="shared" si="6"/>
        <v>2879</v>
      </c>
      <c r="O77" s="322">
        <f t="shared" si="7"/>
        <v>582</v>
      </c>
      <c r="P77" s="322">
        <f t="shared" si="8"/>
        <v>25846</v>
      </c>
      <c r="Q77" s="324">
        <f t="shared" si="9"/>
        <v>60815</v>
      </c>
    </row>
    <row r="78" spans="1:17" x14ac:dyDescent="0.2">
      <c r="A78" s="444" t="str">
        <f>'[2]Table 13'!A79</f>
        <v>NC0014</v>
      </c>
      <c r="B78" s="444" t="str">
        <f>'[2]Table 13'!B79</f>
        <v>Pettigrew</v>
      </c>
      <c r="C78" s="390" t="str">
        <f>VLOOKUP($A78,[0]!Data,16,FALSE)</f>
        <v>Yes</v>
      </c>
      <c r="D78" s="322">
        <f>VLOOKUP($A78,[0]!Data,17,FALSE)</f>
        <v>258</v>
      </c>
      <c r="E78" s="322">
        <f>VLOOKUP($A78,[0]!Data,19,FALSE)</f>
        <v>50</v>
      </c>
      <c r="F78" s="322">
        <f>VLOOKUP($A78,[0]!Data,21,FALSE)</f>
        <v>2250</v>
      </c>
      <c r="G78" s="322">
        <f>VLOOKUP($A78,[0]!Data,24,FALSE)</f>
        <v>833</v>
      </c>
      <c r="H78" s="322">
        <f>VLOOKUP($A78,[0]!Data,23,FALSE)</f>
        <v>9752</v>
      </c>
      <c r="I78" s="322">
        <f>VLOOKUP($A78,[0]!Data,18,FALSE)</f>
        <v>31</v>
      </c>
      <c r="J78" s="322">
        <f>VLOOKUP($A78,[0]!Data,20,FALSE)</f>
        <v>22</v>
      </c>
      <c r="K78" s="322">
        <f>VLOOKUP($A78,[0]!Data,21,FALSE)</f>
        <v>2250</v>
      </c>
      <c r="L78" s="322">
        <f>VLOOKUP($A78,[0]!Data,22,FALSE)</f>
        <v>542</v>
      </c>
      <c r="M78" s="322">
        <f>VLOOKUP($A78,[0]!Data,24,FALSE)</f>
        <v>833</v>
      </c>
      <c r="N78" s="322">
        <f t="shared" si="6"/>
        <v>289</v>
      </c>
      <c r="O78" s="322">
        <f t="shared" si="7"/>
        <v>72</v>
      </c>
      <c r="P78" s="322">
        <f t="shared" si="8"/>
        <v>4500</v>
      </c>
      <c r="Q78" s="324">
        <f t="shared" si="9"/>
        <v>10585</v>
      </c>
    </row>
    <row r="79" spans="1:17" x14ac:dyDescent="0.2">
      <c r="A79" s="444" t="str">
        <f>'[2]Table 13'!A80</f>
        <v>NC0015</v>
      </c>
      <c r="B79" s="444" t="str">
        <f>'[2]Table 13'!B80</f>
        <v>Sandhill</v>
      </c>
      <c r="C79" s="390" t="str">
        <f>VLOOKUP($A79,[0]!Data,16,FALSE)</f>
        <v>Yes</v>
      </c>
      <c r="D79" s="322">
        <f>VLOOKUP($A79,[0]!Data,17,FALSE)</f>
        <v>1437</v>
      </c>
      <c r="E79" s="322">
        <f>VLOOKUP($A79,[0]!Data,19,FALSE)</f>
        <v>187</v>
      </c>
      <c r="F79" s="322">
        <f>VLOOKUP($A79,[0]!Data,21,FALSE)</f>
        <v>16667</v>
      </c>
      <c r="G79" s="322">
        <f>VLOOKUP($A79,[0]!Data,24,FALSE)</f>
        <v>6222</v>
      </c>
      <c r="H79" s="322">
        <f>VLOOKUP($A79,[0]!Data,23,FALSE)</f>
        <v>40921</v>
      </c>
      <c r="I79" s="322">
        <f>VLOOKUP($A79,[0]!Data,18,FALSE)</f>
        <v>348</v>
      </c>
      <c r="J79" s="322">
        <f>VLOOKUP($A79,[0]!Data,20,FALSE)</f>
        <v>56</v>
      </c>
      <c r="K79" s="322">
        <f>VLOOKUP($A79,[0]!Data,21,FALSE)</f>
        <v>16667</v>
      </c>
      <c r="L79" s="322">
        <f>VLOOKUP($A79,[0]!Data,22,FALSE)</f>
        <v>649</v>
      </c>
      <c r="M79" s="322">
        <f>VLOOKUP($A79,[0]!Data,24,FALSE)</f>
        <v>6222</v>
      </c>
      <c r="N79" s="322">
        <f t="shared" si="6"/>
        <v>1785</v>
      </c>
      <c r="O79" s="322">
        <f t="shared" si="7"/>
        <v>243</v>
      </c>
      <c r="P79" s="322">
        <f t="shared" si="8"/>
        <v>33334</v>
      </c>
      <c r="Q79" s="324">
        <f t="shared" si="9"/>
        <v>47143</v>
      </c>
    </row>
    <row r="80" spans="1:17" ht="13.5" thickBot="1" x14ac:dyDescent="0.25">
      <c r="A80" s="599" t="s">
        <v>1709</v>
      </c>
      <c r="B80" s="600"/>
      <c r="C80" s="195"/>
      <c r="D80" s="325">
        <f>SUM(D68:D79)</f>
        <v>11790</v>
      </c>
      <c r="E80" s="325">
        <f t="shared" ref="E80:Q80" si="10">SUM(E68:E79)</f>
        <v>2136</v>
      </c>
      <c r="F80" s="325">
        <f t="shared" si="10"/>
        <v>75368</v>
      </c>
      <c r="G80" s="325">
        <f>SUM(G68:G79)</f>
        <v>40776</v>
      </c>
      <c r="H80" s="325">
        <f t="shared" si="10"/>
        <v>355340</v>
      </c>
      <c r="I80" s="325">
        <f t="shared" si="10"/>
        <v>1553</v>
      </c>
      <c r="J80" s="325">
        <f t="shared" si="10"/>
        <v>464</v>
      </c>
      <c r="K80" s="325">
        <f t="shared" si="10"/>
        <v>75368</v>
      </c>
      <c r="L80" s="325">
        <f>SUM(L68:L79)</f>
        <v>6242</v>
      </c>
      <c r="M80" s="325">
        <f t="shared" si="10"/>
        <v>40776</v>
      </c>
      <c r="N80" s="325">
        <f t="shared" si="10"/>
        <v>13343</v>
      </c>
      <c r="O80" s="325">
        <f t="shared" si="10"/>
        <v>2600</v>
      </c>
      <c r="P80" s="325">
        <f t="shared" si="10"/>
        <v>150736</v>
      </c>
      <c r="Q80" s="44">
        <f t="shared" si="10"/>
        <v>396116</v>
      </c>
    </row>
    <row r="81" spans="1:17" ht="14.25" thickTop="1" thickBot="1" x14ac:dyDescent="0.25">
      <c r="A81" s="54"/>
      <c r="B81" s="45" t="s">
        <v>1456</v>
      </c>
      <c r="C81" s="45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50"/>
    </row>
    <row r="82" spans="1:17" ht="13.5" thickTop="1" x14ac:dyDescent="0.2">
      <c r="A82" s="51" t="s">
        <v>557</v>
      </c>
      <c r="B82" s="36" t="str">
        <f>'[2]Table 13'!B83</f>
        <v>Chapel Hill</v>
      </c>
      <c r="C82" s="390" t="str">
        <f>VLOOKUP($A82,[0]!Data,16,FALSE)</f>
        <v>Yes</v>
      </c>
      <c r="D82" s="322">
        <f>VLOOKUP($A82,[0]!Data,17,FALSE)</f>
        <v>2201</v>
      </c>
      <c r="E82" s="322">
        <f>VLOOKUP($A82,[0]!Data,19,FALSE)</f>
        <v>173</v>
      </c>
      <c r="F82" s="322">
        <f>VLOOKUP($A82,[0]!Data,21,FALSE)</f>
        <v>10358</v>
      </c>
      <c r="G82" s="322">
        <f>VLOOKUP($A82,[0]!Data,24,FALSE)</f>
        <v>17146</v>
      </c>
      <c r="H82" s="322">
        <f>VLOOKUP($A82,[0]!Data,23,FALSE)</f>
        <v>192262</v>
      </c>
      <c r="I82" s="322">
        <f>VLOOKUP($A82,[0]!Data,18,FALSE)</f>
        <v>428</v>
      </c>
      <c r="J82" s="322">
        <f>VLOOKUP($A82,[0]!Data,20,FALSE)</f>
        <v>41</v>
      </c>
      <c r="K82" s="322">
        <f>VLOOKUP($A82,[0]!Data,21,FALSE)</f>
        <v>10358</v>
      </c>
      <c r="L82" s="322">
        <f>VLOOKUP($A82,[0]!Data,22,FALSE)</f>
        <v>313</v>
      </c>
      <c r="M82" s="322">
        <f>VLOOKUP($A82,[0]!Data,24,FALSE)</f>
        <v>17146</v>
      </c>
      <c r="N82" s="322">
        <f t="shared" ref="N82" si="11">SUM(D82,I82)</f>
        <v>2629</v>
      </c>
      <c r="O82" s="322">
        <f>SUM(E82,J82)</f>
        <v>214</v>
      </c>
      <c r="P82" s="322">
        <f>SUM(F82,K82)</f>
        <v>20716</v>
      </c>
      <c r="Q82" s="324">
        <f>SUM(H82,M82)</f>
        <v>209408</v>
      </c>
    </row>
    <row r="83" spans="1:17" x14ac:dyDescent="0.2">
      <c r="A83" s="51" t="s">
        <v>946</v>
      </c>
      <c r="B83" s="36" t="str">
        <f>'[2]Table 13'!B84</f>
        <v>Clayton</v>
      </c>
      <c r="C83" s="390" t="str">
        <f>VLOOKUP($A83,[0]!Data,16,FALSE)</f>
        <v>Yes</v>
      </c>
      <c r="D83" s="322">
        <f>VLOOKUP($A83,[0]!Data,17,FALSE)</f>
        <v>183</v>
      </c>
      <c r="E83" s="322">
        <f>VLOOKUP($A83,[0]!Data,19,FALSE)</f>
        <v>23</v>
      </c>
      <c r="F83" s="322">
        <f>VLOOKUP($A83,[0]!Data,21,FALSE)</f>
        <v>2100</v>
      </c>
      <c r="G83" s="322">
        <f>VLOOKUP($A83,[0]!Data,24,FALSE)</f>
        <v>942</v>
      </c>
      <c r="H83" s="322">
        <f>VLOOKUP($A83,[0]!Data,23,FALSE)</f>
        <v>8506</v>
      </c>
      <c r="I83" s="322">
        <f>VLOOKUP($A83,[0]!Data,18,FALSE)</f>
        <v>53</v>
      </c>
      <c r="J83" s="322">
        <f>VLOOKUP($A83,[0]!Data,20,FALSE)</f>
        <v>8</v>
      </c>
      <c r="K83" s="322">
        <f>VLOOKUP($A83,[0]!Data,21,FALSE)</f>
        <v>2100</v>
      </c>
      <c r="L83" s="322">
        <f>VLOOKUP($A83,[0]!Data,22,FALSE)</f>
        <v>130</v>
      </c>
      <c r="M83" s="322">
        <f>VLOOKUP($A83,[0]!Data,24,FALSE)</f>
        <v>942</v>
      </c>
      <c r="N83" s="322">
        <f t="shared" ref="N83:N92" si="12">SUM(D83,I83)</f>
        <v>236</v>
      </c>
      <c r="O83" s="322">
        <f t="shared" ref="O83:O92" si="13">SUM(E83,J83)</f>
        <v>31</v>
      </c>
      <c r="P83" s="322">
        <f t="shared" ref="P83:P92" si="14">SUM(F83,K83)</f>
        <v>4200</v>
      </c>
      <c r="Q83" s="324">
        <f t="shared" ref="Q83:Q92" si="15">SUM(H83,M83)</f>
        <v>9448</v>
      </c>
    </row>
    <row r="84" spans="1:17" x14ac:dyDescent="0.2">
      <c r="A84" s="51" t="s">
        <v>743</v>
      </c>
      <c r="B84" s="36" t="str">
        <f>'[2]Table 13'!B85</f>
        <v>Farmville</v>
      </c>
      <c r="C84" s="390" t="str">
        <f>VLOOKUP($A84,[0]!Data,16,FALSE)</f>
        <v>Yes</v>
      </c>
      <c r="D84" s="322">
        <f>VLOOKUP($A84,[0]!Data,17,FALSE)</f>
        <v>85</v>
      </c>
      <c r="E84" s="322">
        <f>VLOOKUP($A84,[0]!Data,19,FALSE)</f>
        <v>57</v>
      </c>
      <c r="F84" s="322">
        <f>VLOOKUP($A84,[0]!Data,21,FALSE)</f>
        <v>610</v>
      </c>
      <c r="G84" s="322">
        <f>VLOOKUP($A84,[0]!Data,24,FALSE)</f>
        <v>304</v>
      </c>
      <c r="H84" s="322">
        <f>VLOOKUP($A84,[0]!Data,23,FALSE)</f>
        <v>1750</v>
      </c>
      <c r="I84" s="322">
        <f>VLOOKUP($A84,[0]!Data,18,FALSE)</f>
        <v>3</v>
      </c>
      <c r="J84" s="322">
        <f>VLOOKUP($A84,[0]!Data,20,FALSE)</f>
        <v>2</v>
      </c>
      <c r="K84" s="322">
        <f>VLOOKUP($A84,[0]!Data,21,FALSE)</f>
        <v>610</v>
      </c>
      <c r="L84" s="322">
        <f>VLOOKUP($A84,[0]!Data,22,FALSE)</f>
        <v>-1</v>
      </c>
      <c r="M84" s="322">
        <f>VLOOKUP($A84,[0]!Data,24,FALSE)</f>
        <v>304</v>
      </c>
      <c r="N84" s="322">
        <f t="shared" si="12"/>
        <v>88</v>
      </c>
      <c r="O84" s="322">
        <f t="shared" si="13"/>
        <v>59</v>
      </c>
      <c r="P84" s="322">
        <f t="shared" si="14"/>
        <v>1220</v>
      </c>
      <c r="Q84" s="324">
        <f t="shared" si="15"/>
        <v>2054</v>
      </c>
    </row>
    <row r="85" spans="1:17" x14ac:dyDescent="0.2">
      <c r="A85" s="51" t="s">
        <v>917</v>
      </c>
      <c r="B85" s="36" t="str">
        <f>'[2]Table 13'!B86</f>
        <v>Hickory</v>
      </c>
      <c r="C85" s="390" t="str">
        <f>VLOOKUP($A85,[0]!Data,16,FALSE)</f>
        <v>Yes</v>
      </c>
      <c r="D85" s="322">
        <f>VLOOKUP($A85,[0]!Data,17,FALSE)</f>
        <v>1103</v>
      </c>
      <c r="E85" s="322">
        <f>VLOOKUP($A85,[0]!Data,19,FALSE)</f>
        <v>128</v>
      </c>
      <c r="F85" s="322">
        <f>VLOOKUP($A85,[0]!Data,21,FALSE)</f>
        <v>4818</v>
      </c>
      <c r="G85" s="322">
        <f>VLOOKUP($A85,[0]!Data,24,FALSE)</f>
        <v>3890</v>
      </c>
      <c r="H85" s="322">
        <f>VLOOKUP($A85,[0]!Data,23,FALSE)</f>
        <v>32076</v>
      </c>
      <c r="I85" s="322">
        <f>VLOOKUP($A85,[0]!Data,18,FALSE)</f>
        <v>144</v>
      </c>
      <c r="J85" s="322">
        <f>VLOOKUP($A85,[0]!Data,20,FALSE)</f>
        <v>17</v>
      </c>
      <c r="K85" s="322">
        <f>VLOOKUP($A85,[0]!Data,21,FALSE)</f>
        <v>4818</v>
      </c>
      <c r="L85" s="322">
        <f>VLOOKUP($A85,[0]!Data,22,FALSE)</f>
        <v>159</v>
      </c>
      <c r="M85" s="322">
        <f>VLOOKUP($A85,[0]!Data,24,FALSE)</f>
        <v>3890</v>
      </c>
      <c r="N85" s="322">
        <f t="shared" si="12"/>
        <v>1247</v>
      </c>
      <c r="O85" s="322">
        <f t="shared" si="13"/>
        <v>145</v>
      </c>
      <c r="P85" s="322">
        <f t="shared" si="14"/>
        <v>9636</v>
      </c>
      <c r="Q85" s="324">
        <f t="shared" si="15"/>
        <v>35966</v>
      </c>
    </row>
    <row r="86" spans="1:17" x14ac:dyDescent="0.2">
      <c r="A86" s="51" t="s">
        <v>932</v>
      </c>
      <c r="B86" s="36" t="str">
        <f>'[2]Table 13'!B87</f>
        <v>High Point</v>
      </c>
      <c r="C86" s="390" t="str">
        <f>VLOOKUP($A86,[0]!Data,16,FALSE)</f>
        <v>Yes</v>
      </c>
      <c r="D86" s="322">
        <f>VLOOKUP($A86,[0]!Data,17,FALSE)</f>
        <v>1200</v>
      </c>
      <c r="E86" s="322">
        <f>VLOOKUP($A86,[0]!Data,19,FALSE)</f>
        <v>424</v>
      </c>
      <c r="F86" s="322">
        <f>VLOOKUP($A86,[0]!Data,21,FALSE)</f>
        <v>10675</v>
      </c>
      <c r="G86" s="322">
        <f>VLOOKUP($A86,[0]!Data,24,FALSE)</f>
        <v>6732</v>
      </c>
      <c r="H86" s="322">
        <f>VLOOKUP($A86,[0]!Data,23,FALSE)</f>
        <v>-1</v>
      </c>
      <c r="I86" s="322">
        <f>VLOOKUP($A86,[0]!Data,18,FALSE)</f>
        <v>30</v>
      </c>
      <c r="J86" s="322">
        <f>VLOOKUP($A86,[0]!Data,20,FALSE)</f>
        <v>5</v>
      </c>
      <c r="K86" s="322">
        <f>VLOOKUP($A86,[0]!Data,21,FALSE)</f>
        <v>10675</v>
      </c>
      <c r="L86" s="322">
        <f>VLOOKUP($A86,[0]!Data,22,FALSE)</f>
        <v>44</v>
      </c>
      <c r="M86" s="322">
        <f>VLOOKUP($A86,[0]!Data,24,FALSE)</f>
        <v>6732</v>
      </c>
      <c r="N86" s="322">
        <f t="shared" si="12"/>
        <v>1230</v>
      </c>
      <c r="O86" s="322">
        <f t="shared" si="13"/>
        <v>429</v>
      </c>
      <c r="P86" s="322">
        <f t="shared" si="14"/>
        <v>21350</v>
      </c>
      <c r="Q86" s="324">
        <f t="shared" si="15"/>
        <v>6731</v>
      </c>
    </row>
    <row r="87" spans="1:17" x14ac:dyDescent="0.2">
      <c r="A87" s="51" t="s">
        <v>970</v>
      </c>
      <c r="B87" s="36" t="str">
        <f>'[2]Table 13'!B88</f>
        <v>Kings Mountain</v>
      </c>
      <c r="C87" s="390" t="str">
        <f>VLOOKUP($A87,[0]!Data,16,FALSE)</f>
        <v>Yes</v>
      </c>
      <c r="D87" s="322">
        <f>VLOOKUP($A87,[0]!Data,17,FALSE)</f>
        <v>797</v>
      </c>
      <c r="E87" s="322">
        <f>VLOOKUP($A87,[0]!Data,19,FALSE)</f>
        <v>46</v>
      </c>
      <c r="F87" s="322">
        <f>VLOOKUP($A87,[0]!Data,21,FALSE)</f>
        <v>3495</v>
      </c>
      <c r="G87" s="322">
        <f>VLOOKUP($A87,[0]!Data,24,FALSE)</f>
        <v>1041</v>
      </c>
      <c r="H87" s="322">
        <f>VLOOKUP($A87,[0]!Data,23,FALSE)</f>
        <v>11776</v>
      </c>
      <c r="I87" s="322">
        <f>VLOOKUP($A87,[0]!Data,18,FALSE)</f>
        <v>0</v>
      </c>
      <c r="J87" s="322">
        <f>VLOOKUP($A87,[0]!Data,20,FALSE)</f>
        <v>23</v>
      </c>
      <c r="K87" s="322">
        <f>VLOOKUP($A87,[0]!Data,21,FALSE)</f>
        <v>3495</v>
      </c>
      <c r="L87" s="322">
        <f>VLOOKUP($A87,[0]!Data,22,FALSE)</f>
        <v>476</v>
      </c>
      <c r="M87" s="322">
        <f>VLOOKUP($A87,[0]!Data,24,FALSE)</f>
        <v>1041</v>
      </c>
      <c r="N87" s="322">
        <f t="shared" si="12"/>
        <v>797</v>
      </c>
      <c r="O87" s="322">
        <f t="shared" si="13"/>
        <v>69</v>
      </c>
      <c r="P87" s="322">
        <f t="shared" si="14"/>
        <v>6990</v>
      </c>
      <c r="Q87" s="324">
        <f t="shared" si="15"/>
        <v>12817</v>
      </c>
    </row>
    <row r="88" spans="1:17" x14ac:dyDescent="0.2">
      <c r="A88" s="51" t="s">
        <v>1033</v>
      </c>
      <c r="B88" s="36" t="str">
        <f>'[2]Table 13'!B89</f>
        <v>Mooresville</v>
      </c>
      <c r="C88" s="390" t="str">
        <f>VLOOKUP($A88,[0]!Data,16,FALSE)</f>
        <v>Yes</v>
      </c>
      <c r="D88" s="322">
        <f>VLOOKUP($A88,[0]!Data,17,FALSE)</f>
        <v>696</v>
      </c>
      <c r="E88" s="322">
        <f>VLOOKUP($A88,[0]!Data,19,FALSE)</f>
        <v>110</v>
      </c>
      <c r="F88" s="322">
        <f>VLOOKUP($A88,[0]!Data,21,FALSE)</f>
        <v>4826</v>
      </c>
      <c r="G88" s="322">
        <f>VLOOKUP($A88,[0]!Data,24,FALSE)</f>
        <v>4953</v>
      </c>
      <c r="H88" s="322">
        <f>VLOOKUP($A88,[0]!Data,23,FALSE)</f>
        <v>63069</v>
      </c>
      <c r="I88" s="322">
        <f>VLOOKUP($A88,[0]!Data,18,FALSE)</f>
        <v>151</v>
      </c>
      <c r="J88" s="322">
        <f>VLOOKUP($A88,[0]!Data,20,FALSE)</f>
        <v>21</v>
      </c>
      <c r="K88" s="322">
        <f>VLOOKUP($A88,[0]!Data,21,FALSE)</f>
        <v>4826</v>
      </c>
      <c r="L88" s="322">
        <f>VLOOKUP($A88,[0]!Data,22,FALSE)</f>
        <v>237</v>
      </c>
      <c r="M88" s="322">
        <f>VLOOKUP($A88,[0]!Data,24,FALSE)</f>
        <v>4953</v>
      </c>
      <c r="N88" s="322">
        <f t="shared" si="12"/>
        <v>847</v>
      </c>
      <c r="O88" s="322">
        <f t="shared" si="13"/>
        <v>131</v>
      </c>
      <c r="P88" s="322">
        <f t="shared" si="14"/>
        <v>9652</v>
      </c>
      <c r="Q88" s="324">
        <f t="shared" si="15"/>
        <v>68022</v>
      </c>
    </row>
    <row r="89" spans="1:17" x14ac:dyDescent="0.2">
      <c r="A89" s="51" t="s">
        <v>884</v>
      </c>
      <c r="B89" s="36" t="str">
        <f>'[2]Table 13'!B90</f>
        <v>Nashville</v>
      </c>
      <c r="C89" s="390" t="str">
        <f>VLOOKUP($A89,[0]!Data,16,FALSE)</f>
        <v>No</v>
      </c>
      <c r="D89" s="322">
        <f>VLOOKUP($A89,[0]!Data,17,FALSE)</f>
        <v>73</v>
      </c>
      <c r="E89" s="322">
        <f>VLOOKUP($A89,[0]!Data,19,FALSE)</f>
        <v>3</v>
      </c>
      <c r="F89" s="322">
        <f>VLOOKUP($A89,[0]!Data,21,FALSE)</f>
        <v>40</v>
      </c>
      <c r="G89" s="322">
        <f>VLOOKUP($A89,[0]!Data,24,FALSE)</f>
        <v>314</v>
      </c>
      <c r="H89" s="322">
        <f>VLOOKUP($A89,[0]!Data,23,FALSE)</f>
        <v>544</v>
      </c>
      <c r="I89" s="322">
        <f>VLOOKUP($A89,[0]!Data,18,FALSE)</f>
        <v>6</v>
      </c>
      <c r="J89" s="322">
        <f>VLOOKUP($A89,[0]!Data,20,FALSE)</f>
        <v>1</v>
      </c>
      <c r="K89" s="322">
        <f>VLOOKUP($A89,[0]!Data,21,FALSE)</f>
        <v>40</v>
      </c>
      <c r="L89" s="322">
        <f>VLOOKUP($A89,[0]!Data,22,FALSE)</f>
        <v>-1</v>
      </c>
      <c r="M89" s="322">
        <f>VLOOKUP($A89,[0]!Data,24,FALSE)</f>
        <v>314</v>
      </c>
      <c r="N89" s="322">
        <f t="shared" si="12"/>
        <v>79</v>
      </c>
      <c r="O89" s="322">
        <f t="shared" si="13"/>
        <v>4</v>
      </c>
      <c r="P89" s="322">
        <f t="shared" si="14"/>
        <v>80</v>
      </c>
      <c r="Q89" s="324">
        <f t="shared" si="15"/>
        <v>858</v>
      </c>
    </row>
    <row r="90" spans="1:17" x14ac:dyDescent="0.2">
      <c r="A90" s="51" t="s">
        <v>1224</v>
      </c>
      <c r="B90" s="36" t="str">
        <f>'[2]Table 13'!B91</f>
        <v>Roanoke Rapids</v>
      </c>
      <c r="C90" s="390" t="str">
        <f>VLOOKUP($A90,[0]!Data,16,FALSE)</f>
        <v>No</v>
      </c>
      <c r="D90" s="322">
        <f>VLOOKUP($A90,[0]!Data,17,FALSE)</f>
        <v>44</v>
      </c>
      <c r="E90" s="322">
        <f>VLOOKUP($A90,[0]!Data,19,FALSE)</f>
        <v>26</v>
      </c>
      <c r="F90" s="322">
        <f>VLOOKUP($A90,[0]!Data,21,FALSE)</f>
        <v>1072</v>
      </c>
      <c r="G90" s="322">
        <f>VLOOKUP($A90,[0]!Data,24,FALSE)</f>
        <v>295</v>
      </c>
      <c r="H90" s="322">
        <f>VLOOKUP($A90,[0]!Data,23,FALSE)</f>
        <v>1851</v>
      </c>
      <c r="I90" s="322">
        <f>VLOOKUP($A90,[0]!Data,18,FALSE)</f>
        <v>9</v>
      </c>
      <c r="J90" s="322">
        <f>VLOOKUP($A90,[0]!Data,20,FALSE)</f>
        <v>5</v>
      </c>
      <c r="K90" s="322">
        <f>VLOOKUP($A90,[0]!Data,21,FALSE)</f>
        <v>1072</v>
      </c>
      <c r="L90" s="322">
        <f>VLOOKUP($A90,[0]!Data,22,FALSE)</f>
        <v>30</v>
      </c>
      <c r="M90" s="322">
        <f>VLOOKUP($A90,[0]!Data,24,FALSE)</f>
        <v>295</v>
      </c>
      <c r="N90" s="322">
        <f t="shared" si="12"/>
        <v>53</v>
      </c>
      <c r="O90" s="322">
        <f t="shared" si="13"/>
        <v>31</v>
      </c>
      <c r="P90" s="322">
        <f t="shared" si="14"/>
        <v>2144</v>
      </c>
      <c r="Q90" s="324">
        <f t="shared" si="15"/>
        <v>2146</v>
      </c>
    </row>
    <row r="91" spans="1:17" x14ac:dyDescent="0.2">
      <c r="A91" s="51" t="s">
        <v>1346</v>
      </c>
      <c r="B91" s="36" t="str">
        <f>'[2]Table 13'!B92</f>
        <v>Southern Pines</v>
      </c>
      <c r="C91" s="390" t="str">
        <f>VLOOKUP($A91,[0]!Data,16,FALSE)</f>
        <v>Yes</v>
      </c>
      <c r="D91" s="322">
        <f>VLOOKUP($A91,[0]!Data,17,FALSE)</f>
        <v>286</v>
      </c>
      <c r="E91" s="322">
        <f>VLOOKUP($A91,[0]!Data,19,FALSE)</f>
        <v>104</v>
      </c>
      <c r="F91" s="322">
        <f>VLOOKUP($A91,[0]!Data,21,FALSE)</f>
        <v>3605</v>
      </c>
      <c r="G91" s="322">
        <f>VLOOKUP($A91,[0]!Data,24,FALSE)</f>
        <v>941</v>
      </c>
      <c r="H91" s="322">
        <f>VLOOKUP($A91,[0]!Data,23,FALSE)</f>
        <v>13993</v>
      </c>
      <c r="I91" s="322">
        <f>VLOOKUP($A91,[0]!Data,18,FALSE)</f>
        <v>60</v>
      </c>
      <c r="J91" s="322">
        <f>VLOOKUP($A91,[0]!Data,20,FALSE)</f>
        <v>15</v>
      </c>
      <c r="K91" s="322">
        <f>VLOOKUP($A91,[0]!Data,21,FALSE)</f>
        <v>3605</v>
      </c>
      <c r="L91" s="322">
        <f>VLOOKUP($A91,[0]!Data,22,FALSE)</f>
        <v>90</v>
      </c>
      <c r="M91" s="322">
        <f>VLOOKUP($A91,[0]!Data,24,FALSE)</f>
        <v>941</v>
      </c>
      <c r="N91" s="322">
        <f t="shared" si="12"/>
        <v>346</v>
      </c>
      <c r="O91" s="322">
        <f t="shared" si="13"/>
        <v>119</v>
      </c>
      <c r="P91" s="322">
        <f t="shared" si="14"/>
        <v>7210</v>
      </c>
      <c r="Q91" s="324">
        <f t="shared" si="15"/>
        <v>14934</v>
      </c>
    </row>
    <row r="92" spans="1:17" x14ac:dyDescent="0.2">
      <c r="A92" s="51" t="s">
        <v>819</v>
      </c>
      <c r="B92" s="36" t="str">
        <f>'[2]Table 13'!B93</f>
        <v>Washington</v>
      </c>
      <c r="C92" s="390" t="str">
        <f>VLOOKUP($A92,[0]!Data,16,FALSE)</f>
        <v>Yes</v>
      </c>
      <c r="D92" s="322">
        <f>VLOOKUP($A92,[0]!Data,17,FALSE)</f>
        <v>290</v>
      </c>
      <c r="E92" s="322">
        <f>VLOOKUP($A92,[0]!Data,19,FALSE)</f>
        <v>24</v>
      </c>
      <c r="F92" s="322">
        <f>VLOOKUP($A92,[0]!Data,21,FALSE)</f>
        <v>877</v>
      </c>
      <c r="G92" s="322">
        <f>VLOOKUP($A92,[0]!Data,24,FALSE)</f>
        <v>2103</v>
      </c>
      <c r="H92" s="322">
        <f>VLOOKUP($A92,[0]!Data,23,FALSE)</f>
        <v>10066</v>
      </c>
      <c r="I92" s="322">
        <f>VLOOKUP($A92,[0]!Data,18,FALSE)</f>
        <v>43</v>
      </c>
      <c r="J92" s="322">
        <f>VLOOKUP($A92,[0]!Data,20,FALSE)</f>
        <v>7</v>
      </c>
      <c r="K92" s="322">
        <f>VLOOKUP($A92,[0]!Data,21,FALSE)</f>
        <v>877</v>
      </c>
      <c r="L92" s="322">
        <f>VLOOKUP($A92,[0]!Data,22,FALSE)</f>
        <v>193</v>
      </c>
      <c r="M92" s="322">
        <f>VLOOKUP($A92,[0]!Data,24,FALSE)</f>
        <v>2103</v>
      </c>
      <c r="N92" s="322">
        <f t="shared" si="12"/>
        <v>333</v>
      </c>
      <c r="O92" s="322">
        <f t="shared" si="13"/>
        <v>31</v>
      </c>
      <c r="P92" s="322">
        <f t="shared" si="14"/>
        <v>1754</v>
      </c>
      <c r="Q92" s="324">
        <f t="shared" si="15"/>
        <v>12169</v>
      </c>
    </row>
    <row r="93" spans="1:17" x14ac:dyDescent="0.2">
      <c r="A93" s="603" t="s">
        <v>1709</v>
      </c>
      <c r="B93" s="604"/>
      <c r="C93" s="55"/>
      <c r="D93" s="57">
        <f>SUM(D82:D92)</f>
        <v>6958</v>
      </c>
      <c r="E93" s="57">
        <f t="shared" ref="E93:Q93" si="16">SUM(E82:E92)</f>
        <v>1118</v>
      </c>
      <c r="F93" s="57">
        <f t="shared" si="16"/>
        <v>42476</v>
      </c>
      <c r="G93" s="57">
        <f>SUM(G82:G92)</f>
        <v>38661</v>
      </c>
      <c r="H93" s="57">
        <f t="shared" si="16"/>
        <v>335892</v>
      </c>
      <c r="I93" s="57">
        <f t="shared" si="16"/>
        <v>927</v>
      </c>
      <c r="J93" s="57">
        <f t="shared" si="16"/>
        <v>145</v>
      </c>
      <c r="K93" s="57">
        <f t="shared" si="16"/>
        <v>42476</v>
      </c>
      <c r="L93" s="57">
        <f>SUM(L82:L92)</f>
        <v>1670</v>
      </c>
      <c r="M93" s="57">
        <f t="shared" si="16"/>
        <v>38661</v>
      </c>
      <c r="N93" s="57">
        <f t="shared" si="16"/>
        <v>7885</v>
      </c>
      <c r="O93" s="57">
        <f t="shared" si="16"/>
        <v>1263</v>
      </c>
      <c r="P93" s="57">
        <f t="shared" si="16"/>
        <v>84952</v>
      </c>
      <c r="Q93" s="60">
        <f t="shared" si="16"/>
        <v>374553</v>
      </c>
    </row>
    <row r="94" spans="1:17" ht="15.75" thickBot="1" x14ac:dyDescent="0.3">
      <c r="A94" s="19"/>
      <c r="B94" s="20"/>
      <c r="C94" s="20"/>
      <c r="D94" s="63"/>
      <c r="E94" s="63"/>
      <c r="F94" s="384"/>
      <c r="G94" s="63"/>
      <c r="H94" s="63"/>
      <c r="I94" s="72"/>
      <c r="J94" s="72"/>
      <c r="K94" s="72"/>
      <c r="L94" s="72"/>
      <c r="M94" s="72"/>
      <c r="N94" s="384"/>
      <c r="O94" s="384"/>
      <c r="P94" s="384"/>
      <c r="Q94" s="468"/>
    </row>
    <row r="95" spans="1:17" ht="13.5" thickTop="1" x14ac:dyDescent="0.2">
      <c r="A95" s="605" t="s">
        <v>1710</v>
      </c>
      <c r="B95" s="666"/>
      <c r="C95" s="329"/>
      <c r="D95" s="329">
        <f>SUM(D93,D80,D66)</f>
        <v>123124</v>
      </c>
      <c r="E95" s="329">
        <f t="shared" ref="E95:Q95" si="17">SUM(E93,E80,E66)</f>
        <v>17664</v>
      </c>
      <c r="F95" s="329">
        <f t="shared" si="17"/>
        <v>593239</v>
      </c>
      <c r="G95" s="329">
        <f t="shared" si="17"/>
        <v>570865</v>
      </c>
      <c r="H95" s="329">
        <f t="shared" si="17"/>
        <v>5456290</v>
      </c>
      <c r="I95" s="329">
        <f t="shared" si="17"/>
        <v>25452</v>
      </c>
      <c r="J95" s="329">
        <f t="shared" si="17"/>
        <v>3237</v>
      </c>
      <c r="K95" s="329">
        <f t="shared" si="17"/>
        <v>593239</v>
      </c>
      <c r="L95" s="329">
        <f t="shared" si="17"/>
        <v>43437</v>
      </c>
      <c r="M95" s="329">
        <f t="shared" si="17"/>
        <v>570865</v>
      </c>
      <c r="N95" s="329">
        <f t="shared" si="17"/>
        <v>148576</v>
      </c>
      <c r="O95" s="329">
        <f t="shared" si="17"/>
        <v>20901</v>
      </c>
      <c r="P95" s="329">
        <f t="shared" si="17"/>
        <v>1186478</v>
      </c>
      <c r="Q95" s="329">
        <f t="shared" si="17"/>
        <v>6027155</v>
      </c>
    </row>
    <row r="96" spans="1:17" x14ac:dyDescent="0.2">
      <c r="A96" s="244"/>
      <c r="B96" s="244"/>
      <c r="C96" s="244"/>
    </row>
  </sheetData>
  <mergeCells count="9">
    <mergeCell ref="A95:B95"/>
    <mergeCell ref="B4:B6"/>
    <mergeCell ref="D4:H4"/>
    <mergeCell ref="I4:M4"/>
    <mergeCell ref="N4:Q4"/>
    <mergeCell ref="A66:B66"/>
    <mergeCell ref="A67:B67"/>
    <mergeCell ref="A80:B80"/>
    <mergeCell ref="A93:B9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C87"/>
  <sheetViews>
    <sheetView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O6" sqref="O6"/>
    </sheetView>
  </sheetViews>
  <sheetFormatPr defaultRowHeight="15" x14ac:dyDescent="0.25"/>
  <cols>
    <col min="231" max="231" width="23.28515625" customWidth="1"/>
    <col min="233" max="233" width="12.85546875" customWidth="1"/>
    <col min="234" max="234" width="12.140625" customWidth="1"/>
    <col min="239" max="239" width="12" customWidth="1"/>
  </cols>
  <sheetData>
    <row r="1" spans="1:471" x14ac:dyDescent="0.25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  <c r="U1">
        <v>21</v>
      </c>
      <c r="V1">
        <v>22</v>
      </c>
      <c r="W1">
        <v>23</v>
      </c>
      <c r="X1">
        <v>24</v>
      </c>
      <c r="Y1">
        <v>25</v>
      </c>
      <c r="Z1">
        <v>26</v>
      </c>
      <c r="AA1">
        <v>27</v>
      </c>
      <c r="AB1">
        <v>28</v>
      </c>
      <c r="AC1">
        <v>29</v>
      </c>
      <c r="AD1">
        <v>30</v>
      </c>
      <c r="AE1">
        <v>31</v>
      </c>
      <c r="AF1">
        <v>32</v>
      </c>
      <c r="AG1">
        <v>33</v>
      </c>
      <c r="AH1">
        <v>34</v>
      </c>
      <c r="AI1">
        <v>35</v>
      </c>
      <c r="AJ1">
        <v>36</v>
      </c>
      <c r="AK1">
        <v>37</v>
      </c>
      <c r="AL1">
        <v>38</v>
      </c>
      <c r="AM1">
        <v>39</v>
      </c>
      <c r="AN1">
        <v>40</v>
      </c>
      <c r="AO1">
        <v>41</v>
      </c>
      <c r="AP1">
        <v>42</v>
      </c>
      <c r="AQ1">
        <v>43</v>
      </c>
      <c r="AR1">
        <v>44</v>
      </c>
      <c r="AS1">
        <v>45</v>
      </c>
      <c r="AT1">
        <v>46</v>
      </c>
      <c r="AU1">
        <v>47</v>
      </c>
      <c r="AV1">
        <v>48</v>
      </c>
      <c r="AW1">
        <v>49</v>
      </c>
      <c r="AX1">
        <v>50</v>
      </c>
      <c r="AY1">
        <v>51</v>
      </c>
      <c r="AZ1">
        <v>52</v>
      </c>
      <c r="BA1">
        <v>53</v>
      </c>
      <c r="BB1">
        <v>54</v>
      </c>
      <c r="BC1">
        <v>55</v>
      </c>
      <c r="BD1">
        <v>56</v>
      </c>
      <c r="BE1">
        <v>57</v>
      </c>
      <c r="BF1">
        <v>58</v>
      </c>
      <c r="BG1">
        <v>59</v>
      </c>
      <c r="BH1">
        <v>60</v>
      </c>
      <c r="BI1">
        <v>61</v>
      </c>
      <c r="BJ1">
        <v>62</v>
      </c>
      <c r="BK1">
        <v>63</v>
      </c>
      <c r="BL1">
        <v>64</v>
      </c>
      <c r="BM1">
        <v>65</v>
      </c>
      <c r="BN1">
        <v>66</v>
      </c>
      <c r="BO1">
        <v>67</v>
      </c>
      <c r="BP1">
        <v>68</v>
      </c>
      <c r="BQ1">
        <v>69</v>
      </c>
      <c r="BR1">
        <v>70</v>
      </c>
      <c r="BS1">
        <v>71</v>
      </c>
      <c r="BT1">
        <v>72</v>
      </c>
      <c r="BU1">
        <v>73</v>
      </c>
      <c r="BV1">
        <v>74</v>
      </c>
      <c r="BW1">
        <v>75</v>
      </c>
      <c r="BX1">
        <v>76</v>
      </c>
      <c r="BY1">
        <v>77</v>
      </c>
      <c r="BZ1">
        <v>78</v>
      </c>
      <c r="CA1">
        <v>79</v>
      </c>
      <c r="CB1">
        <v>80</v>
      </c>
      <c r="CC1">
        <v>81</v>
      </c>
      <c r="CD1">
        <v>82</v>
      </c>
      <c r="CE1">
        <v>83</v>
      </c>
      <c r="CF1">
        <v>84</v>
      </c>
      <c r="CG1">
        <v>85</v>
      </c>
      <c r="CH1">
        <v>86</v>
      </c>
      <c r="CI1">
        <v>87</v>
      </c>
      <c r="CJ1">
        <v>88</v>
      </c>
      <c r="CK1">
        <v>89</v>
      </c>
      <c r="CL1">
        <v>90</v>
      </c>
      <c r="CM1">
        <v>91</v>
      </c>
      <c r="CN1">
        <v>92</v>
      </c>
      <c r="CO1">
        <v>93</v>
      </c>
      <c r="CP1">
        <v>94</v>
      </c>
      <c r="CQ1">
        <v>95</v>
      </c>
      <c r="CR1">
        <v>96</v>
      </c>
      <c r="CS1">
        <v>97</v>
      </c>
      <c r="CT1">
        <v>98</v>
      </c>
      <c r="CU1">
        <v>99</v>
      </c>
      <c r="CV1">
        <v>100</v>
      </c>
      <c r="CW1">
        <v>101</v>
      </c>
      <c r="CX1">
        <v>102</v>
      </c>
      <c r="CY1">
        <v>103</v>
      </c>
      <c r="CZ1">
        <v>104</v>
      </c>
      <c r="DA1">
        <v>105</v>
      </c>
      <c r="DB1">
        <v>106</v>
      </c>
      <c r="DC1">
        <v>107</v>
      </c>
      <c r="DD1">
        <v>108</v>
      </c>
      <c r="DE1">
        <v>109</v>
      </c>
      <c r="DF1">
        <v>110</v>
      </c>
      <c r="DG1">
        <v>111</v>
      </c>
      <c r="DH1">
        <v>112</v>
      </c>
      <c r="DI1">
        <v>113</v>
      </c>
      <c r="DJ1">
        <v>114</v>
      </c>
      <c r="DK1">
        <v>115</v>
      </c>
      <c r="DL1">
        <v>116</v>
      </c>
      <c r="DM1">
        <v>117</v>
      </c>
      <c r="DN1">
        <v>118</v>
      </c>
      <c r="DO1">
        <v>119</v>
      </c>
      <c r="DP1">
        <v>120</v>
      </c>
      <c r="DQ1">
        <v>121</v>
      </c>
      <c r="DR1">
        <v>122</v>
      </c>
      <c r="DS1">
        <v>123</v>
      </c>
      <c r="DT1">
        <v>124</v>
      </c>
      <c r="DU1">
        <v>125</v>
      </c>
      <c r="DV1">
        <v>126</v>
      </c>
      <c r="DW1">
        <v>127</v>
      </c>
      <c r="DX1">
        <v>128</v>
      </c>
      <c r="DY1">
        <v>129</v>
      </c>
      <c r="DZ1">
        <v>130</v>
      </c>
      <c r="EA1">
        <v>131</v>
      </c>
      <c r="EB1">
        <v>132</v>
      </c>
      <c r="EC1">
        <v>133</v>
      </c>
      <c r="ED1">
        <v>134</v>
      </c>
      <c r="EE1">
        <v>135</v>
      </c>
      <c r="EF1">
        <v>136</v>
      </c>
      <c r="EG1">
        <v>137</v>
      </c>
      <c r="EH1">
        <v>138</v>
      </c>
      <c r="EI1">
        <v>139</v>
      </c>
      <c r="EJ1">
        <v>140</v>
      </c>
      <c r="EK1">
        <v>141</v>
      </c>
      <c r="EL1">
        <v>142</v>
      </c>
      <c r="EM1">
        <v>143</v>
      </c>
      <c r="EN1">
        <v>144</v>
      </c>
      <c r="EO1">
        <v>145</v>
      </c>
      <c r="EP1">
        <v>146</v>
      </c>
      <c r="EQ1">
        <v>147</v>
      </c>
      <c r="ER1">
        <v>148</v>
      </c>
      <c r="ES1">
        <v>149</v>
      </c>
      <c r="ET1">
        <v>150</v>
      </c>
      <c r="EU1">
        <v>151</v>
      </c>
      <c r="EV1">
        <v>152</v>
      </c>
      <c r="EW1">
        <v>153</v>
      </c>
      <c r="EX1">
        <v>154</v>
      </c>
      <c r="EY1">
        <v>155</v>
      </c>
      <c r="EZ1">
        <v>156</v>
      </c>
      <c r="FA1">
        <v>157</v>
      </c>
      <c r="FB1">
        <v>158</v>
      </c>
      <c r="FC1">
        <v>159</v>
      </c>
      <c r="FD1">
        <v>160</v>
      </c>
      <c r="FE1">
        <v>161</v>
      </c>
      <c r="FF1">
        <v>162</v>
      </c>
      <c r="FG1">
        <v>163</v>
      </c>
      <c r="FH1">
        <v>164</v>
      </c>
      <c r="FI1">
        <v>165</v>
      </c>
      <c r="FJ1">
        <v>166</v>
      </c>
      <c r="FK1">
        <v>167</v>
      </c>
      <c r="FL1">
        <v>168</v>
      </c>
      <c r="FM1">
        <v>169</v>
      </c>
      <c r="FN1">
        <v>170</v>
      </c>
      <c r="FO1">
        <v>171</v>
      </c>
      <c r="FP1">
        <v>172</v>
      </c>
      <c r="FQ1">
        <v>173</v>
      </c>
      <c r="FR1">
        <v>174</v>
      </c>
      <c r="FS1">
        <v>175</v>
      </c>
      <c r="FT1">
        <v>176</v>
      </c>
      <c r="FU1">
        <v>177</v>
      </c>
      <c r="FV1">
        <v>178</v>
      </c>
      <c r="FW1">
        <v>179</v>
      </c>
      <c r="FX1">
        <v>180</v>
      </c>
      <c r="FY1">
        <v>181</v>
      </c>
      <c r="FZ1">
        <v>182</v>
      </c>
      <c r="GA1">
        <v>183</v>
      </c>
      <c r="GB1">
        <v>184</v>
      </c>
      <c r="GC1">
        <v>185</v>
      </c>
      <c r="GD1">
        <v>186</v>
      </c>
      <c r="GE1">
        <v>187</v>
      </c>
      <c r="GF1">
        <v>188</v>
      </c>
      <c r="GG1">
        <v>189</v>
      </c>
      <c r="GH1">
        <v>190</v>
      </c>
      <c r="GI1">
        <v>191</v>
      </c>
      <c r="GJ1">
        <v>192</v>
      </c>
      <c r="GK1">
        <v>193</v>
      </c>
      <c r="GL1">
        <v>194</v>
      </c>
      <c r="GM1">
        <v>195</v>
      </c>
      <c r="GN1">
        <v>196</v>
      </c>
      <c r="GO1">
        <v>197</v>
      </c>
      <c r="GP1">
        <v>198</v>
      </c>
      <c r="GQ1">
        <v>199</v>
      </c>
      <c r="GR1">
        <v>200</v>
      </c>
      <c r="GS1">
        <v>201</v>
      </c>
      <c r="GT1">
        <v>202</v>
      </c>
      <c r="GU1">
        <v>203</v>
      </c>
      <c r="GV1">
        <v>204</v>
      </c>
      <c r="GW1">
        <v>205</v>
      </c>
      <c r="GX1">
        <v>206</v>
      </c>
      <c r="GY1">
        <v>207</v>
      </c>
      <c r="GZ1">
        <v>208</v>
      </c>
      <c r="HA1">
        <v>209</v>
      </c>
      <c r="HB1">
        <v>210</v>
      </c>
      <c r="HC1">
        <v>211</v>
      </c>
      <c r="HD1">
        <v>212</v>
      </c>
      <c r="HE1">
        <v>213</v>
      </c>
      <c r="HF1">
        <v>214</v>
      </c>
      <c r="HG1">
        <v>215</v>
      </c>
      <c r="HH1">
        <v>216</v>
      </c>
      <c r="HI1">
        <v>217</v>
      </c>
      <c r="HJ1">
        <v>218</v>
      </c>
      <c r="HK1">
        <v>219</v>
      </c>
      <c r="HL1">
        <v>220</v>
      </c>
      <c r="HM1">
        <v>221</v>
      </c>
      <c r="HN1">
        <v>222</v>
      </c>
      <c r="HO1">
        <v>223</v>
      </c>
      <c r="HP1">
        <v>224</v>
      </c>
      <c r="HQ1">
        <v>225</v>
      </c>
      <c r="HR1">
        <v>226</v>
      </c>
      <c r="HS1">
        <v>227</v>
      </c>
      <c r="HT1">
        <v>228</v>
      </c>
      <c r="HU1">
        <v>229</v>
      </c>
      <c r="HV1">
        <v>230</v>
      </c>
      <c r="HW1">
        <v>231</v>
      </c>
      <c r="HX1">
        <v>232</v>
      </c>
      <c r="HY1">
        <v>233</v>
      </c>
      <c r="HZ1">
        <v>234</v>
      </c>
      <c r="IA1">
        <v>235</v>
      </c>
      <c r="IB1">
        <v>236</v>
      </c>
      <c r="IC1">
        <v>237</v>
      </c>
      <c r="ID1">
        <v>238</v>
      </c>
      <c r="IE1">
        <v>239</v>
      </c>
      <c r="IF1">
        <v>240</v>
      </c>
      <c r="IG1">
        <v>241</v>
      </c>
      <c r="IH1">
        <v>242</v>
      </c>
      <c r="II1">
        <v>243</v>
      </c>
      <c r="IJ1">
        <v>244</v>
      </c>
      <c r="IK1">
        <v>245</v>
      </c>
      <c r="IL1">
        <v>246</v>
      </c>
      <c r="IM1">
        <v>247</v>
      </c>
      <c r="IN1">
        <v>248</v>
      </c>
      <c r="IO1">
        <v>249</v>
      </c>
      <c r="IP1">
        <v>250</v>
      </c>
      <c r="IQ1">
        <v>251</v>
      </c>
      <c r="IR1">
        <v>252</v>
      </c>
      <c r="IS1">
        <v>253</v>
      </c>
      <c r="IT1">
        <v>254</v>
      </c>
      <c r="IU1">
        <v>255</v>
      </c>
      <c r="IV1">
        <v>256</v>
      </c>
      <c r="IW1">
        <v>257</v>
      </c>
      <c r="IX1">
        <v>258</v>
      </c>
      <c r="IY1">
        <v>259</v>
      </c>
      <c r="IZ1">
        <v>260</v>
      </c>
      <c r="JA1">
        <v>261</v>
      </c>
      <c r="JB1">
        <v>262</v>
      </c>
      <c r="JC1">
        <v>263</v>
      </c>
      <c r="JD1">
        <v>264</v>
      </c>
      <c r="JE1">
        <v>265</v>
      </c>
      <c r="JF1">
        <v>266</v>
      </c>
      <c r="JG1">
        <v>267</v>
      </c>
      <c r="JH1">
        <v>268</v>
      </c>
      <c r="JI1">
        <v>269</v>
      </c>
      <c r="JJ1">
        <v>270</v>
      </c>
      <c r="JK1">
        <v>271</v>
      </c>
      <c r="JL1">
        <v>272</v>
      </c>
      <c r="JM1">
        <v>273</v>
      </c>
      <c r="JN1">
        <v>274</v>
      </c>
      <c r="JO1">
        <v>275</v>
      </c>
      <c r="JP1">
        <v>276</v>
      </c>
      <c r="JQ1">
        <v>277</v>
      </c>
      <c r="JR1">
        <v>278</v>
      </c>
      <c r="JS1">
        <v>279</v>
      </c>
      <c r="JT1">
        <v>280</v>
      </c>
      <c r="JU1">
        <v>281</v>
      </c>
      <c r="JV1">
        <v>282</v>
      </c>
      <c r="JW1">
        <v>283</v>
      </c>
      <c r="JX1">
        <v>284</v>
      </c>
      <c r="JY1">
        <v>285</v>
      </c>
      <c r="JZ1">
        <v>286</v>
      </c>
      <c r="KA1">
        <v>287</v>
      </c>
      <c r="KB1">
        <v>288</v>
      </c>
      <c r="KC1">
        <v>289</v>
      </c>
      <c r="KD1">
        <v>290</v>
      </c>
      <c r="KE1">
        <v>291</v>
      </c>
      <c r="KF1">
        <v>292</v>
      </c>
      <c r="KG1">
        <v>293</v>
      </c>
      <c r="KH1">
        <v>294</v>
      </c>
      <c r="KI1">
        <v>295</v>
      </c>
      <c r="KJ1">
        <v>296</v>
      </c>
      <c r="KK1">
        <v>297</v>
      </c>
      <c r="KL1">
        <v>298</v>
      </c>
      <c r="KM1">
        <v>299</v>
      </c>
      <c r="KN1">
        <v>300</v>
      </c>
      <c r="KO1">
        <v>301</v>
      </c>
      <c r="KP1">
        <v>302</v>
      </c>
      <c r="KQ1">
        <v>303</v>
      </c>
      <c r="KR1">
        <v>304</v>
      </c>
      <c r="KS1">
        <v>305</v>
      </c>
      <c r="KT1">
        <v>306</v>
      </c>
      <c r="KU1">
        <v>307</v>
      </c>
      <c r="KV1">
        <v>308</v>
      </c>
      <c r="KW1">
        <v>309</v>
      </c>
      <c r="KX1">
        <v>310</v>
      </c>
      <c r="KY1">
        <v>311</v>
      </c>
      <c r="KZ1">
        <v>312</v>
      </c>
      <c r="LA1">
        <v>313</v>
      </c>
      <c r="LB1">
        <v>314</v>
      </c>
      <c r="LC1">
        <v>315</v>
      </c>
      <c r="LD1">
        <v>316</v>
      </c>
      <c r="LE1">
        <v>317</v>
      </c>
      <c r="LF1">
        <v>318</v>
      </c>
      <c r="LG1">
        <v>319</v>
      </c>
      <c r="LH1">
        <v>320</v>
      </c>
      <c r="LI1">
        <v>321</v>
      </c>
      <c r="LJ1">
        <v>322</v>
      </c>
      <c r="LK1">
        <v>323</v>
      </c>
      <c r="LL1">
        <v>324</v>
      </c>
      <c r="LM1">
        <v>325</v>
      </c>
      <c r="LN1">
        <v>326</v>
      </c>
      <c r="LO1">
        <v>327</v>
      </c>
      <c r="LP1">
        <v>328</v>
      </c>
      <c r="LQ1">
        <v>329</v>
      </c>
      <c r="LR1">
        <v>330</v>
      </c>
      <c r="LS1">
        <v>331</v>
      </c>
      <c r="LT1">
        <v>332</v>
      </c>
      <c r="LU1">
        <v>333</v>
      </c>
      <c r="LV1">
        <v>334</v>
      </c>
      <c r="LW1">
        <v>335</v>
      </c>
      <c r="LX1">
        <v>336</v>
      </c>
      <c r="LY1">
        <v>337</v>
      </c>
      <c r="LZ1">
        <v>338</v>
      </c>
      <c r="MA1">
        <v>339</v>
      </c>
      <c r="MB1">
        <v>340</v>
      </c>
      <c r="MC1">
        <v>341</v>
      </c>
      <c r="MD1">
        <v>342</v>
      </c>
      <c r="ME1">
        <v>343</v>
      </c>
      <c r="MF1">
        <v>344</v>
      </c>
      <c r="MG1">
        <v>345</v>
      </c>
      <c r="MH1">
        <v>346</v>
      </c>
      <c r="MI1">
        <v>347</v>
      </c>
      <c r="MJ1">
        <v>348</v>
      </c>
      <c r="MK1">
        <v>349</v>
      </c>
      <c r="ML1">
        <v>350</v>
      </c>
      <c r="MM1">
        <v>351</v>
      </c>
      <c r="MN1">
        <v>352</v>
      </c>
      <c r="MO1">
        <v>353</v>
      </c>
      <c r="MP1">
        <v>354</v>
      </c>
      <c r="MQ1">
        <v>355</v>
      </c>
      <c r="MR1">
        <v>356</v>
      </c>
      <c r="MS1">
        <v>357</v>
      </c>
      <c r="MT1">
        <v>358</v>
      </c>
      <c r="MU1">
        <v>359</v>
      </c>
      <c r="MV1">
        <v>360</v>
      </c>
      <c r="MW1">
        <v>361</v>
      </c>
      <c r="MX1">
        <v>362</v>
      </c>
      <c r="MY1">
        <v>363</v>
      </c>
    </row>
    <row r="2" spans="1:471" x14ac:dyDescent="0.25">
      <c r="A2" t="s">
        <v>4</v>
      </c>
      <c r="B2" t="s">
        <v>1753</v>
      </c>
      <c r="C2" t="s">
        <v>46</v>
      </c>
      <c r="D2" t="s">
        <v>47</v>
      </c>
      <c r="E2" t="s">
        <v>48</v>
      </c>
      <c r="F2" t="s">
        <v>52</v>
      </c>
      <c r="G2" t="s">
        <v>51</v>
      </c>
      <c r="H2" t="s">
        <v>5</v>
      </c>
      <c r="I2" t="s">
        <v>6</v>
      </c>
      <c r="J2" t="s">
        <v>7</v>
      </c>
      <c r="K2" t="s">
        <v>8</v>
      </c>
      <c r="L2" t="s">
        <v>9</v>
      </c>
      <c r="M2" t="s">
        <v>10</v>
      </c>
      <c r="N2" t="s">
        <v>11</v>
      </c>
      <c r="O2" t="s">
        <v>12</v>
      </c>
      <c r="P2" t="s">
        <v>13</v>
      </c>
      <c r="Q2" t="s">
        <v>14</v>
      </c>
      <c r="R2" t="s">
        <v>15</v>
      </c>
      <c r="S2" t="s">
        <v>16</v>
      </c>
      <c r="T2" t="s">
        <v>17</v>
      </c>
      <c r="U2" t="s">
        <v>18</v>
      </c>
      <c r="V2" t="s">
        <v>19</v>
      </c>
      <c r="W2" t="s">
        <v>20</v>
      </c>
      <c r="X2" t="s">
        <v>21</v>
      </c>
      <c r="Y2" t="s">
        <v>22</v>
      </c>
      <c r="Z2" t="s">
        <v>23</v>
      </c>
      <c r="AA2" t="s">
        <v>24</v>
      </c>
      <c r="AB2" t="s">
        <v>25</v>
      </c>
      <c r="AC2" t="s">
        <v>26</v>
      </c>
      <c r="AD2" t="s">
        <v>27</v>
      </c>
      <c r="AE2" t="s">
        <v>28</v>
      </c>
      <c r="AF2" t="s">
        <v>29</v>
      </c>
      <c r="AG2" t="s">
        <v>30</v>
      </c>
      <c r="AH2" t="s">
        <v>31</v>
      </c>
      <c r="AI2" t="s">
        <v>32</v>
      </c>
      <c r="AJ2" t="s">
        <v>33</v>
      </c>
      <c r="AK2" t="s">
        <v>34</v>
      </c>
      <c r="AL2" t="s">
        <v>35</v>
      </c>
      <c r="AM2" t="s">
        <v>36</v>
      </c>
      <c r="AN2" t="s">
        <v>37</v>
      </c>
      <c r="AO2" t="s">
        <v>38</v>
      </c>
      <c r="AP2" t="s">
        <v>39</v>
      </c>
      <c r="AQ2" t="s">
        <v>40</v>
      </c>
      <c r="AR2" t="s">
        <v>41</v>
      </c>
      <c r="AS2" t="s">
        <v>42</v>
      </c>
      <c r="AT2" t="s">
        <v>43</v>
      </c>
      <c r="AU2" t="s">
        <v>44</v>
      </c>
      <c r="AV2" t="s">
        <v>45</v>
      </c>
      <c r="AW2" t="s">
        <v>46</v>
      </c>
      <c r="AX2" t="s">
        <v>47</v>
      </c>
      <c r="AY2" t="s">
        <v>48</v>
      </c>
      <c r="AZ2" t="s">
        <v>49</v>
      </c>
      <c r="BA2" t="s">
        <v>50</v>
      </c>
      <c r="BB2" t="s">
        <v>51</v>
      </c>
      <c r="BC2" t="s">
        <v>52</v>
      </c>
      <c r="BD2" t="s">
        <v>53</v>
      </c>
      <c r="BE2" t="s">
        <v>54</v>
      </c>
      <c r="BF2" t="s">
        <v>55</v>
      </c>
      <c r="BG2" t="s">
        <v>56</v>
      </c>
      <c r="BH2" t="s">
        <v>57</v>
      </c>
      <c r="BI2" t="s">
        <v>58</v>
      </c>
      <c r="BJ2" t="s">
        <v>59</v>
      </c>
      <c r="BK2" t="s">
        <v>60</v>
      </c>
      <c r="BL2" t="s">
        <v>61</v>
      </c>
      <c r="BM2" t="s">
        <v>62</v>
      </c>
      <c r="BN2" t="s">
        <v>63</v>
      </c>
      <c r="BO2" t="s">
        <v>64</v>
      </c>
      <c r="BP2" t="s">
        <v>65</v>
      </c>
      <c r="BQ2" t="s">
        <v>66</v>
      </c>
      <c r="BR2" t="s">
        <v>67</v>
      </c>
      <c r="BS2" t="s">
        <v>68</v>
      </c>
      <c r="BT2" t="s">
        <v>69</v>
      </c>
      <c r="BU2" t="s">
        <v>70</v>
      </c>
      <c r="BV2" t="s">
        <v>71</v>
      </c>
      <c r="BW2" t="s">
        <v>72</v>
      </c>
      <c r="BX2" t="s">
        <v>73</v>
      </c>
      <c r="BY2" t="s">
        <v>74</v>
      </c>
      <c r="BZ2" t="s">
        <v>75</v>
      </c>
      <c r="CA2" t="s">
        <v>76</v>
      </c>
      <c r="CB2" t="s">
        <v>77</v>
      </c>
      <c r="CC2" t="s">
        <v>78</v>
      </c>
      <c r="CD2" t="s">
        <v>79</v>
      </c>
      <c r="CE2" t="s">
        <v>80</v>
      </c>
      <c r="CF2" t="s">
        <v>81</v>
      </c>
      <c r="CG2" t="s">
        <v>82</v>
      </c>
      <c r="CH2" t="s">
        <v>83</v>
      </c>
      <c r="CI2" t="s">
        <v>84</v>
      </c>
      <c r="CJ2" t="s">
        <v>85</v>
      </c>
      <c r="CK2" t="s">
        <v>86</v>
      </c>
      <c r="CL2" t="s">
        <v>87</v>
      </c>
      <c r="CM2" t="s">
        <v>88</v>
      </c>
      <c r="CN2" t="s">
        <v>89</v>
      </c>
      <c r="CO2" t="s">
        <v>90</v>
      </c>
      <c r="CP2" t="s">
        <v>91</v>
      </c>
      <c r="CQ2" t="s">
        <v>92</v>
      </c>
      <c r="CR2" t="s">
        <v>93</v>
      </c>
      <c r="CS2" t="s">
        <v>94</v>
      </c>
      <c r="CT2" t="s">
        <v>95</v>
      </c>
      <c r="CU2" t="s">
        <v>96</v>
      </c>
      <c r="CV2" t="s">
        <v>97</v>
      </c>
      <c r="CW2" t="s">
        <v>98</v>
      </c>
      <c r="CX2" t="s">
        <v>99</v>
      </c>
      <c r="CY2" t="s">
        <v>100</v>
      </c>
      <c r="CZ2" t="s">
        <v>101</v>
      </c>
      <c r="DA2" t="s">
        <v>102</v>
      </c>
      <c r="DB2" t="s">
        <v>103</v>
      </c>
      <c r="DC2" t="s">
        <v>104</v>
      </c>
      <c r="DD2" t="s">
        <v>105</v>
      </c>
      <c r="DE2" t="s">
        <v>106</v>
      </c>
      <c r="DF2" t="s">
        <v>107</v>
      </c>
      <c r="DG2" t="s">
        <v>108</v>
      </c>
      <c r="DH2" t="s">
        <v>109</v>
      </c>
      <c r="DI2" t="s">
        <v>110</v>
      </c>
      <c r="DJ2" t="s">
        <v>111</v>
      </c>
      <c r="DK2" t="s">
        <v>112</v>
      </c>
      <c r="DL2" t="s">
        <v>113</v>
      </c>
      <c r="DM2" t="s">
        <v>114</v>
      </c>
      <c r="DN2" t="s">
        <v>115</v>
      </c>
      <c r="DO2" t="s">
        <v>116</v>
      </c>
      <c r="DP2" t="s">
        <v>117</v>
      </c>
      <c r="DQ2" t="s">
        <v>118</v>
      </c>
      <c r="DR2" t="s">
        <v>119</v>
      </c>
      <c r="DS2" t="s">
        <v>120</v>
      </c>
      <c r="DT2" t="s">
        <v>121</v>
      </c>
      <c r="DU2" t="s">
        <v>122</v>
      </c>
      <c r="DV2" t="s">
        <v>123</v>
      </c>
      <c r="DW2" t="s">
        <v>124</v>
      </c>
      <c r="DX2" t="s">
        <v>125</v>
      </c>
      <c r="DY2" t="s">
        <v>126</v>
      </c>
      <c r="DZ2" t="s">
        <v>127</v>
      </c>
      <c r="EA2" t="s">
        <v>128</v>
      </c>
      <c r="EB2" t="s">
        <v>129</v>
      </c>
      <c r="EC2" t="s">
        <v>130</v>
      </c>
      <c r="ED2" t="s">
        <v>131</v>
      </c>
      <c r="EE2" t="s">
        <v>132</v>
      </c>
      <c r="EF2" t="s">
        <v>133</v>
      </c>
      <c r="EG2" t="s">
        <v>134</v>
      </c>
      <c r="EH2" t="s">
        <v>135</v>
      </c>
      <c r="EI2" t="s">
        <v>136</v>
      </c>
      <c r="EJ2" t="s">
        <v>137</v>
      </c>
      <c r="EK2" t="s">
        <v>138</v>
      </c>
      <c r="EL2" t="s">
        <v>139</v>
      </c>
      <c r="EM2" t="s">
        <v>140</v>
      </c>
      <c r="EN2" t="s">
        <v>141</v>
      </c>
      <c r="EO2" t="s">
        <v>142</v>
      </c>
      <c r="EP2" t="s">
        <v>143</v>
      </c>
      <c r="EQ2" t="s">
        <v>144</v>
      </c>
      <c r="ER2" t="s">
        <v>145</v>
      </c>
      <c r="ES2" t="s">
        <v>146</v>
      </c>
      <c r="ET2" t="s">
        <v>147</v>
      </c>
      <c r="EU2" t="s">
        <v>148</v>
      </c>
      <c r="EV2" t="s">
        <v>149</v>
      </c>
      <c r="EW2" t="s">
        <v>150</v>
      </c>
      <c r="EX2" t="s">
        <v>151</v>
      </c>
      <c r="EY2" t="s">
        <v>152</v>
      </c>
      <c r="EZ2" t="s">
        <v>153</v>
      </c>
      <c r="FA2" t="s">
        <v>154</v>
      </c>
      <c r="FB2" t="s">
        <v>155</v>
      </c>
      <c r="FC2" t="s">
        <v>156</v>
      </c>
      <c r="FD2" t="s">
        <v>157</v>
      </c>
      <c r="FE2" t="s">
        <v>158</v>
      </c>
      <c r="FF2" t="s">
        <v>159</v>
      </c>
      <c r="FG2" t="s">
        <v>160</v>
      </c>
      <c r="FH2" t="s">
        <v>161</v>
      </c>
      <c r="FI2" t="s">
        <v>162</v>
      </c>
      <c r="FJ2" t="s">
        <v>163</v>
      </c>
      <c r="FK2" t="s">
        <v>164</v>
      </c>
      <c r="FL2" t="s">
        <v>165</v>
      </c>
      <c r="FM2" t="s">
        <v>166</v>
      </c>
      <c r="FN2" t="s">
        <v>167</v>
      </c>
      <c r="FO2" t="s">
        <v>168</v>
      </c>
      <c r="FP2" t="s">
        <v>169</v>
      </c>
      <c r="FQ2" t="s">
        <v>170</v>
      </c>
      <c r="FR2" t="s">
        <v>171</v>
      </c>
      <c r="FS2" t="s">
        <v>172</v>
      </c>
      <c r="FT2" t="s">
        <v>173</v>
      </c>
      <c r="FU2" t="s">
        <v>174</v>
      </c>
      <c r="FV2" t="s">
        <v>175</v>
      </c>
      <c r="FW2" t="s">
        <v>176</v>
      </c>
      <c r="FX2" t="s">
        <v>177</v>
      </c>
      <c r="FY2" t="s">
        <v>178</v>
      </c>
      <c r="FZ2" t="s">
        <v>179</v>
      </c>
      <c r="GA2" t="s">
        <v>180</v>
      </c>
      <c r="GB2" t="s">
        <v>181</v>
      </c>
      <c r="GC2" t="s">
        <v>182</v>
      </c>
      <c r="GD2" t="s">
        <v>183</v>
      </c>
      <c r="GE2" t="s">
        <v>184</v>
      </c>
      <c r="GF2" t="s">
        <v>185</v>
      </c>
      <c r="GG2" t="s">
        <v>186</v>
      </c>
      <c r="GH2" t="s">
        <v>187</v>
      </c>
      <c r="GI2" t="s">
        <v>188</v>
      </c>
      <c r="GJ2" t="s">
        <v>189</v>
      </c>
      <c r="GK2" t="s">
        <v>190</v>
      </c>
      <c r="GL2" t="s">
        <v>191</v>
      </c>
      <c r="GM2" t="s">
        <v>192</v>
      </c>
      <c r="GN2" t="s">
        <v>193</v>
      </c>
      <c r="GO2" t="s">
        <v>194</v>
      </c>
      <c r="GP2" t="s">
        <v>195</v>
      </c>
      <c r="GQ2" t="s">
        <v>196</v>
      </c>
      <c r="GR2" t="s">
        <v>197</v>
      </c>
      <c r="GS2" t="s">
        <v>198</v>
      </c>
      <c r="GT2" t="s">
        <v>199</v>
      </c>
      <c r="GU2" t="s">
        <v>200</v>
      </c>
      <c r="GV2" t="s">
        <v>201</v>
      </c>
      <c r="GW2" t="s">
        <v>202</v>
      </c>
      <c r="GX2" t="s">
        <v>203</v>
      </c>
      <c r="GY2" t="s">
        <v>204</v>
      </c>
      <c r="GZ2" t="s">
        <v>205</v>
      </c>
      <c r="HA2" t="s">
        <v>206</v>
      </c>
      <c r="HB2" t="s">
        <v>207</v>
      </c>
      <c r="HC2" t="s">
        <v>208</v>
      </c>
      <c r="HD2" t="s">
        <v>209</v>
      </c>
      <c r="HE2" t="s">
        <v>210</v>
      </c>
      <c r="HF2" t="s">
        <v>211</v>
      </c>
      <c r="HG2" t="s">
        <v>212</v>
      </c>
      <c r="HH2" t="s">
        <v>213</v>
      </c>
      <c r="HI2" t="s">
        <v>214</v>
      </c>
      <c r="HJ2" t="s">
        <v>215</v>
      </c>
      <c r="HK2" t="s">
        <v>216</v>
      </c>
      <c r="HL2" t="s">
        <v>217</v>
      </c>
      <c r="HM2" t="s">
        <v>218</v>
      </c>
      <c r="HN2" t="s">
        <v>219</v>
      </c>
      <c r="HO2" t="s">
        <v>220</v>
      </c>
      <c r="HP2" t="s">
        <v>221</v>
      </c>
      <c r="HQ2" t="s">
        <v>222</v>
      </c>
      <c r="HR2" t="s">
        <v>223</v>
      </c>
      <c r="HS2" t="s">
        <v>224</v>
      </c>
      <c r="HT2" t="s">
        <v>225</v>
      </c>
      <c r="HU2" t="s">
        <v>226</v>
      </c>
      <c r="HV2" t="s">
        <v>227</v>
      </c>
      <c r="HW2" t="s">
        <v>228</v>
      </c>
      <c r="HX2" t="s">
        <v>229</v>
      </c>
      <c r="HY2" t="s">
        <v>230</v>
      </c>
      <c r="HZ2" t="s">
        <v>231</v>
      </c>
      <c r="IA2" t="s">
        <v>232</v>
      </c>
      <c r="IB2" t="s">
        <v>233</v>
      </c>
      <c r="IC2" t="s">
        <v>234</v>
      </c>
      <c r="ID2" t="s">
        <v>235</v>
      </c>
      <c r="IE2" t="s">
        <v>236</v>
      </c>
      <c r="IF2" t="s">
        <v>237</v>
      </c>
      <c r="IG2" t="s">
        <v>238</v>
      </c>
      <c r="IH2" t="s">
        <v>239</v>
      </c>
      <c r="II2" t="s">
        <v>240</v>
      </c>
      <c r="IJ2" t="s">
        <v>241</v>
      </c>
      <c r="IK2" t="s">
        <v>242</v>
      </c>
      <c r="IL2" t="s">
        <v>243</v>
      </c>
      <c r="IM2" t="s">
        <v>244</v>
      </c>
      <c r="IN2" t="s">
        <v>245</v>
      </c>
      <c r="IO2" t="s">
        <v>246</v>
      </c>
      <c r="IP2" t="s">
        <v>247</v>
      </c>
      <c r="IQ2" t="s">
        <v>248</v>
      </c>
      <c r="IR2" t="s">
        <v>249</v>
      </c>
      <c r="IS2" t="s">
        <v>250</v>
      </c>
      <c r="IT2" t="s">
        <v>251</v>
      </c>
      <c r="IU2" t="s">
        <v>252</v>
      </c>
      <c r="IV2" t="s">
        <v>253</v>
      </c>
      <c r="IW2" t="s">
        <v>254</v>
      </c>
      <c r="IX2" t="s">
        <v>255</v>
      </c>
      <c r="IY2" t="s">
        <v>256</v>
      </c>
      <c r="IZ2" t="s">
        <v>257</v>
      </c>
      <c r="JA2" t="s">
        <v>258</v>
      </c>
      <c r="JB2" t="s">
        <v>259</v>
      </c>
      <c r="JC2" t="s">
        <v>260</v>
      </c>
      <c r="JD2" t="s">
        <v>261</v>
      </c>
      <c r="JE2" t="s">
        <v>262</v>
      </c>
      <c r="JF2" t="s">
        <v>263</v>
      </c>
      <c r="JG2" t="s">
        <v>264</v>
      </c>
      <c r="JH2" t="s">
        <v>265</v>
      </c>
      <c r="JI2" t="s">
        <v>266</v>
      </c>
      <c r="JJ2" t="s">
        <v>267</v>
      </c>
      <c r="JK2" t="s">
        <v>268</v>
      </c>
      <c r="JL2" t="s">
        <v>269</v>
      </c>
      <c r="JM2" t="s">
        <v>270</v>
      </c>
      <c r="JN2" t="s">
        <v>271</v>
      </c>
      <c r="JO2" t="s">
        <v>272</v>
      </c>
      <c r="JP2" t="s">
        <v>273</v>
      </c>
      <c r="JQ2" t="s">
        <v>274</v>
      </c>
      <c r="JR2" t="s">
        <v>275</v>
      </c>
      <c r="JS2" t="s">
        <v>276</v>
      </c>
      <c r="JT2" t="s">
        <v>277</v>
      </c>
      <c r="JU2" t="s">
        <v>278</v>
      </c>
      <c r="JV2" t="s">
        <v>279</v>
      </c>
      <c r="JW2" t="s">
        <v>280</v>
      </c>
      <c r="JX2" t="s">
        <v>281</v>
      </c>
      <c r="JY2" t="s">
        <v>282</v>
      </c>
      <c r="JZ2" t="s">
        <v>283</v>
      </c>
      <c r="KA2" t="s">
        <v>284</v>
      </c>
      <c r="KB2" t="s">
        <v>285</v>
      </c>
      <c r="KC2" t="s">
        <v>286</v>
      </c>
      <c r="KD2" t="s">
        <v>287</v>
      </c>
      <c r="KE2" t="s">
        <v>288</v>
      </c>
      <c r="KF2" t="s">
        <v>289</v>
      </c>
      <c r="KG2" t="s">
        <v>290</v>
      </c>
      <c r="KH2" t="s">
        <v>291</v>
      </c>
      <c r="KI2" t="s">
        <v>292</v>
      </c>
      <c r="KJ2" t="s">
        <v>293</v>
      </c>
      <c r="KK2" t="s">
        <v>294</v>
      </c>
      <c r="KL2" t="s">
        <v>295</v>
      </c>
      <c r="KM2" t="s">
        <v>296</v>
      </c>
      <c r="KN2" t="s">
        <v>297</v>
      </c>
      <c r="KO2" t="s">
        <v>298</v>
      </c>
      <c r="KP2" t="s">
        <v>299</v>
      </c>
      <c r="KQ2" t="s">
        <v>300</v>
      </c>
      <c r="KR2" t="s">
        <v>301</v>
      </c>
      <c r="KS2" t="s">
        <v>302</v>
      </c>
      <c r="KT2" t="s">
        <v>303</v>
      </c>
      <c r="KU2" t="s">
        <v>304</v>
      </c>
      <c r="KV2" t="s">
        <v>305</v>
      </c>
      <c r="KW2" t="s">
        <v>306</v>
      </c>
      <c r="KX2" t="s">
        <v>307</v>
      </c>
      <c r="KY2" t="s">
        <v>308</v>
      </c>
      <c r="KZ2" t="s">
        <v>309</v>
      </c>
      <c r="LA2" t="s">
        <v>310</v>
      </c>
      <c r="LB2" t="s">
        <v>311</v>
      </c>
      <c r="LC2" t="s">
        <v>312</v>
      </c>
      <c r="LD2" t="s">
        <v>313</v>
      </c>
      <c r="LE2" t="s">
        <v>314</v>
      </c>
      <c r="LF2" t="s">
        <v>315</v>
      </c>
      <c r="LG2" t="s">
        <v>316</v>
      </c>
      <c r="LH2" t="s">
        <v>317</v>
      </c>
      <c r="LI2" t="s">
        <v>318</v>
      </c>
      <c r="LJ2" t="s">
        <v>319</v>
      </c>
      <c r="LK2" t="s">
        <v>320</v>
      </c>
      <c r="LL2" t="s">
        <v>321</v>
      </c>
      <c r="LM2" t="s">
        <v>322</v>
      </c>
      <c r="LN2" t="s">
        <v>323</v>
      </c>
      <c r="LO2" t="s">
        <v>324</v>
      </c>
      <c r="LP2" t="s">
        <v>325</v>
      </c>
      <c r="LQ2" t="s">
        <v>326</v>
      </c>
      <c r="LR2" t="s">
        <v>327</v>
      </c>
      <c r="LS2" t="s">
        <v>328</v>
      </c>
      <c r="LT2" t="s">
        <v>329</v>
      </c>
      <c r="LU2" t="s">
        <v>330</v>
      </c>
      <c r="LV2" t="s">
        <v>331</v>
      </c>
      <c r="LW2" t="s">
        <v>332</v>
      </c>
      <c r="LX2" t="s">
        <v>333</v>
      </c>
      <c r="LY2" t="s">
        <v>334</v>
      </c>
      <c r="LZ2" t="s">
        <v>335</v>
      </c>
      <c r="MA2" t="s">
        <v>336</v>
      </c>
      <c r="MB2" t="s">
        <v>337</v>
      </c>
      <c r="MC2" t="s">
        <v>338</v>
      </c>
      <c r="MD2" t="s">
        <v>339</v>
      </c>
      <c r="ME2" t="s">
        <v>1761</v>
      </c>
      <c r="MF2" t="s">
        <v>1762</v>
      </c>
      <c r="MG2" t="s">
        <v>1763</v>
      </c>
      <c r="MH2" t="s">
        <v>1764</v>
      </c>
      <c r="MI2" t="s">
        <v>1765</v>
      </c>
      <c r="MJ2" t="s">
        <v>1766</v>
      </c>
      <c r="MK2" t="s">
        <v>1767</v>
      </c>
      <c r="ML2" t="s">
        <v>1768</v>
      </c>
      <c r="MM2" t="s">
        <v>1769</v>
      </c>
      <c r="MN2" t="s">
        <v>1770</v>
      </c>
      <c r="MO2" t="s">
        <v>1771</v>
      </c>
      <c r="MP2" t="s">
        <v>1772</v>
      </c>
      <c r="MQ2" t="s">
        <v>1773</v>
      </c>
      <c r="MR2" t="s">
        <v>1774</v>
      </c>
      <c r="MS2" t="s">
        <v>1775</v>
      </c>
      <c r="MT2" t="s">
        <v>1776</v>
      </c>
      <c r="MU2" t="s">
        <v>1777</v>
      </c>
      <c r="MV2" t="s">
        <v>1778</v>
      </c>
      <c r="MW2" t="s">
        <v>1779</v>
      </c>
      <c r="MX2" t="s">
        <v>1780</v>
      </c>
      <c r="MY2" t="s">
        <v>1781</v>
      </c>
      <c r="MZ2" t="s">
        <v>1782</v>
      </c>
      <c r="NA2" t="s">
        <v>1783</v>
      </c>
      <c r="NB2" t="s">
        <v>1784</v>
      </c>
      <c r="NC2" t="s">
        <v>1785</v>
      </c>
      <c r="ND2" t="s">
        <v>1786</v>
      </c>
      <c r="NE2" t="s">
        <v>1787</v>
      </c>
      <c r="NF2" t="s">
        <v>1788</v>
      </c>
      <c r="NG2" t="s">
        <v>1789</v>
      </c>
      <c r="NH2" t="s">
        <v>1790</v>
      </c>
      <c r="NI2" t="s">
        <v>1791</v>
      </c>
      <c r="NJ2" t="s">
        <v>1792</v>
      </c>
      <c r="NK2" t="s">
        <v>1793</v>
      </c>
      <c r="NL2" t="s">
        <v>1794</v>
      </c>
      <c r="NM2" t="s">
        <v>1795</v>
      </c>
      <c r="NN2" t="s">
        <v>1796</v>
      </c>
      <c r="NO2" t="s">
        <v>1797</v>
      </c>
      <c r="NP2" t="s">
        <v>1798</v>
      </c>
      <c r="NQ2" t="s">
        <v>1799</v>
      </c>
      <c r="NR2" t="s">
        <v>1800</v>
      </c>
      <c r="NS2" t="s">
        <v>1801</v>
      </c>
      <c r="NT2" t="s">
        <v>1802</v>
      </c>
      <c r="NU2" t="s">
        <v>1803</v>
      </c>
      <c r="NV2" t="s">
        <v>1804</v>
      </c>
      <c r="NW2" t="s">
        <v>1805</v>
      </c>
      <c r="NX2" t="s">
        <v>1806</v>
      </c>
      <c r="NY2" t="s">
        <v>1807</v>
      </c>
      <c r="NZ2" t="s">
        <v>1808</v>
      </c>
      <c r="OA2" t="s">
        <v>1809</v>
      </c>
      <c r="OB2" t="s">
        <v>1810</v>
      </c>
      <c r="OC2" t="s">
        <v>1811</v>
      </c>
      <c r="OD2" t="s">
        <v>1812</v>
      </c>
      <c r="OE2" t="s">
        <v>1813</v>
      </c>
      <c r="OF2" t="s">
        <v>1814</v>
      </c>
      <c r="OG2" t="s">
        <v>1815</v>
      </c>
      <c r="OH2" t="s">
        <v>1816</v>
      </c>
      <c r="OI2" t="s">
        <v>1817</v>
      </c>
      <c r="OJ2" t="s">
        <v>1818</v>
      </c>
      <c r="OK2" t="s">
        <v>1819</v>
      </c>
      <c r="OL2" t="s">
        <v>1820</v>
      </c>
      <c r="OM2" t="s">
        <v>1821</v>
      </c>
      <c r="ON2" t="s">
        <v>1822</v>
      </c>
      <c r="OO2" t="s">
        <v>1823</v>
      </c>
      <c r="OP2" t="s">
        <v>1824</v>
      </c>
      <c r="OQ2" t="s">
        <v>1825</v>
      </c>
      <c r="OR2" t="s">
        <v>1826</v>
      </c>
      <c r="OS2" t="s">
        <v>1827</v>
      </c>
      <c r="OT2" t="s">
        <v>1828</v>
      </c>
      <c r="OU2" t="s">
        <v>1829</v>
      </c>
      <c r="OV2" t="s">
        <v>1830</v>
      </c>
      <c r="OW2" t="s">
        <v>1831</v>
      </c>
      <c r="OX2" t="s">
        <v>1832</v>
      </c>
      <c r="OY2" t="s">
        <v>1833</v>
      </c>
      <c r="OZ2" t="s">
        <v>1834</v>
      </c>
      <c r="PA2" t="s">
        <v>1835</v>
      </c>
      <c r="PB2" t="s">
        <v>1836</v>
      </c>
      <c r="PC2" t="s">
        <v>1837</v>
      </c>
      <c r="PD2" t="s">
        <v>1838</v>
      </c>
      <c r="PE2" t="s">
        <v>1839</v>
      </c>
      <c r="PF2" t="s">
        <v>1840</v>
      </c>
      <c r="PG2" t="s">
        <v>1841</v>
      </c>
      <c r="PH2" t="s">
        <v>1842</v>
      </c>
      <c r="PI2" t="s">
        <v>1843</v>
      </c>
      <c r="PJ2" t="s">
        <v>1844</v>
      </c>
      <c r="PK2" t="s">
        <v>1845</v>
      </c>
      <c r="PL2" t="s">
        <v>1846</v>
      </c>
      <c r="PM2" t="s">
        <v>1847</v>
      </c>
      <c r="PN2" t="s">
        <v>1848</v>
      </c>
      <c r="PO2" t="s">
        <v>1849</v>
      </c>
      <c r="PP2" t="s">
        <v>1850</v>
      </c>
      <c r="PQ2" t="s">
        <v>1851</v>
      </c>
      <c r="PR2" t="s">
        <v>1852</v>
      </c>
      <c r="PS2" t="s">
        <v>1853</v>
      </c>
      <c r="PT2" t="s">
        <v>1854</v>
      </c>
      <c r="PU2" t="s">
        <v>1855</v>
      </c>
      <c r="PV2" t="s">
        <v>1856</v>
      </c>
      <c r="PW2" t="s">
        <v>1857</v>
      </c>
      <c r="PX2" t="s">
        <v>1858</v>
      </c>
      <c r="PY2" t="s">
        <v>1859</v>
      </c>
      <c r="PZ2" t="s">
        <v>1860</v>
      </c>
      <c r="QA2" t="s">
        <v>1861</v>
      </c>
      <c r="QB2" t="s">
        <v>1862</v>
      </c>
      <c r="QC2" t="s">
        <v>1863</v>
      </c>
      <c r="QD2" t="s">
        <v>1864</v>
      </c>
      <c r="QE2" t="s">
        <v>1865</v>
      </c>
      <c r="QF2" t="s">
        <v>1866</v>
      </c>
      <c r="QG2" t="s">
        <v>1867</v>
      </c>
      <c r="QH2" t="s">
        <v>1868</v>
      </c>
      <c r="QI2" t="s">
        <v>1869</v>
      </c>
      <c r="QJ2" t="s">
        <v>1870</v>
      </c>
      <c r="QK2" t="s">
        <v>1871</v>
      </c>
      <c r="QL2" t="s">
        <v>1872</v>
      </c>
      <c r="QM2" t="s">
        <v>1873</v>
      </c>
      <c r="QN2" t="s">
        <v>1874</v>
      </c>
      <c r="QO2" t="s">
        <v>1875</v>
      </c>
      <c r="QP2" t="s">
        <v>1876</v>
      </c>
      <c r="QQ2" t="s">
        <v>1877</v>
      </c>
      <c r="QR2" t="s">
        <v>1878</v>
      </c>
      <c r="QS2" t="s">
        <v>1879</v>
      </c>
      <c r="QT2" t="s">
        <v>1880</v>
      </c>
      <c r="QU2" t="s">
        <v>1881</v>
      </c>
      <c r="QV2" t="s">
        <v>1882</v>
      </c>
      <c r="QW2" t="s">
        <v>1883</v>
      </c>
      <c r="QX2" t="s">
        <v>1884</v>
      </c>
      <c r="QY2" t="s">
        <v>1885</v>
      </c>
      <c r="QZ2" t="s">
        <v>1886</v>
      </c>
      <c r="RA2" t="s">
        <v>1887</v>
      </c>
      <c r="RB2" t="s">
        <v>1888</v>
      </c>
      <c r="RC2" t="s">
        <v>1889</v>
      </c>
    </row>
    <row r="3" spans="1:471" x14ac:dyDescent="0.25">
      <c r="A3" t="s">
        <v>340</v>
      </c>
      <c r="B3">
        <v>11644</v>
      </c>
      <c r="C3" t="s">
        <v>1754</v>
      </c>
      <c r="D3" t="s">
        <v>1754</v>
      </c>
      <c r="E3" t="s">
        <v>1754</v>
      </c>
      <c r="F3" t="s">
        <v>1755</v>
      </c>
      <c r="G3" t="s">
        <v>1755</v>
      </c>
      <c r="H3" t="s">
        <v>341</v>
      </c>
      <c r="I3" t="s">
        <v>342</v>
      </c>
      <c r="J3" t="s">
        <v>343</v>
      </c>
      <c r="K3" t="s">
        <v>344</v>
      </c>
      <c r="L3" t="s">
        <v>345</v>
      </c>
      <c r="M3" t="s">
        <v>346</v>
      </c>
      <c r="N3" t="s">
        <v>347</v>
      </c>
      <c r="O3" s="1">
        <v>157522</v>
      </c>
      <c r="P3" t="s">
        <v>348</v>
      </c>
      <c r="Q3">
        <v>923</v>
      </c>
      <c r="R3">
        <v>73</v>
      </c>
      <c r="S3">
        <v>274</v>
      </c>
      <c r="T3">
        <v>31</v>
      </c>
      <c r="U3" s="1">
        <v>10828</v>
      </c>
      <c r="V3">
        <v>434</v>
      </c>
      <c r="W3" s="1">
        <v>73064</v>
      </c>
      <c r="X3" s="1">
        <v>7285</v>
      </c>
      <c r="Y3" s="1">
        <v>393604</v>
      </c>
      <c r="Z3" s="1">
        <v>29491</v>
      </c>
      <c r="AC3" t="s">
        <v>349</v>
      </c>
      <c r="AD3" t="s">
        <v>350</v>
      </c>
      <c r="AE3">
        <v>27215</v>
      </c>
      <c r="AF3">
        <v>5863</v>
      </c>
      <c r="AG3" t="s">
        <v>349</v>
      </c>
      <c r="AH3" t="s">
        <v>350</v>
      </c>
      <c r="AI3">
        <v>27215</v>
      </c>
      <c r="AJ3">
        <v>2</v>
      </c>
      <c r="AK3" t="s">
        <v>351</v>
      </c>
      <c r="AM3" t="s">
        <v>0</v>
      </c>
      <c r="AN3" t="s">
        <v>352</v>
      </c>
      <c r="AO3" t="s">
        <v>353</v>
      </c>
      <c r="AP3">
        <v>3365134753</v>
      </c>
      <c r="AQ3" t="s">
        <v>354</v>
      </c>
      <c r="AR3" t="s">
        <v>355</v>
      </c>
      <c r="AS3" t="s">
        <v>1890</v>
      </c>
      <c r="AT3" t="s">
        <v>356</v>
      </c>
      <c r="AU3" t="s">
        <v>357</v>
      </c>
      <c r="AV3" t="s">
        <v>354</v>
      </c>
      <c r="AW3" t="s">
        <v>358</v>
      </c>
      <c r="AX3" t="s">
        <v>359</v>
      </c>
      <c r="AY3">
        <v>0</v>
      </c>
      <c r="AZ3">
        <v>0</v>
      </c>
      <c r="BA3">
        <v>0</v>
      </c>
      <c r="BB3" s="573">
        <v>42186</v>
      </c>
      <c r="BC3" s="573">
        <v>42551</v>
      </c>
      <c r="BD3">
        <v>1</v>
      </c>
      <c r="BE3">
        <v>4</v>
      </c>
      <c r="BF3">
        <v>0</v>
      </c>
      <c r="BG3">
        <v>0</v>
      </c>
      <c r="BH3">
        <v>5</v>
      </c>
      <c r="BJ3" s="1">
        <v>11012</v>
      </c>
      <c r="BK3">
        <v>10</v>
      </c>
      <c r="BL3">
        <v>0</v>
      </c>
      <c r="BM3">
        <v>10</v>
      </c>
      <c r="BN3">
        <v>35.229999999999997</v>
      </c>
      <c r="BO3">
        <v>45.23</v>
      </c>
      <c r="BP3" s="3">
        <v>0.22109999999999999</v>
      </c>
      <c r="BQ3" s="1">
        <v>5527</v>
      </c>
      <c r="BR3" s="4">
        <v>76404</v>
      </c>
      <c r="DW3" s="4">
        <v>232000</v>
      </c>
      <c r="DX3" s="4">
        <v>2397591</v>
      </c>
      <c r="DY3" s="4">
        <v>2629591</v>
      </c>
      <c r="DZ3" s="4">
        <v>180565</v>
      </c>
      <c r="EA3" s="4">
        <v>0</v>
      </c>
      <c r="EB3" s="4">
        <v>180565</v>
      </c>
      <c r="EC3" s="4">
        <v>49980</v>
      </c>
      <c r="ED3" s="4">
        <v>10000</v>
      </c>
      <c r="EE3" s="4">
        <v>59980</v>
      </c>
      <c r="EF3" s="4">
        <v>104431</v>
      </c>
      <c r="EG3" s="4">
        <v>2974567</v>
      </c>
      <c r="EH3" s="4">
        <v>1534408</v>
      </c>
      <c r="EI3" s="4">
        <v>459677</v>
      </c>
      <c r="EJ3" s="4">
        <v>1994085</v>
      </c>
      <c r="EK3" s="4">
        <v>156815</v>
      </c>
      <c r="EL3" s="4">
        <v>32846</v>
      </c>
      <c r="EM3" s="4">
        <v>69116</v>
      </c>
      <c r="EN3" s="4">
        <v>258777</v>
      </c>
      <c r="EO3" s="4">
        <v>406736</v>
      </c>
      <c r="EP3" s="4">
        <v>2659598</v>
      </c>
      <c r="EQ3" s="4">
        <v>314969</v>
      </c>
      <c r="ER3" s="3">
        <v>0.10589999999999999</v>
      </c>
      <c r="ES3" s="4">
        <v>35937</v>
      </c>
      <c r="ET3" s="4">
        <v>0</v>
      </c>
      <c r="EU3" s="4">
        <v>0</v>
      </c>
      <c r="EV3" s="4">
        <v>0</v>
      </c>
      <c r="EW3" s="4">
        <v>35937</v>
      </c>
      <c r="EX3" s="4">
        <v>35937</v>
      </c>
      <c r="EY3" s="1">
        <v>45799</v>
      </c>
      <c r="EZ3" s="1">
        <v>256782</v>
      </c>
      <c r="FA3" s="1">
        <v>52825</v>
      </c>
      <c r="FB3" s="1">
        <v>8674</v>
      </c>
      <c r="FC3" s="1">
        <v>44520</v>
      </c>
      <c r="FD3" s="1">
        <v>49846</v>
      </c>
      <c r="FE3">
        <v>0</v>
      </c>
      <c r="FF3" s="1">
        <v>20673</v>
      </c>
      <c r="FG3" s="1">
        <v>102671</v>
      </c>
      <c r="FH3" s="1">
        <v>8674</v>
      </c>
      <c r="FI3" s="1">
        <v>65193</v>
      </c>
      <c r="FJ3" s="1">
        <v>176538</v>
      </c>
      <c r="FK3" s="1">
        <v>3478</v>
      </c>
      <c r="FL3">
        <v>330</v>
      </c>
      <c r="FN3" s="1">
        <v>176538</v>
      </c>
      <c r="FO3" s="1">
        <v>14802</v>
      </c>
      <c r="FP3" s="1">
        <v>24149</v>
      </c>
      <c r="FQ3" s="1">
        <v>1962</v>
      </c>
      <c r="FR3">
        <v>5</v>
      </c>
      <c r="FS3">
        <v>74</v>
      </c>
      <c r="FT3">
        <v>79</v>
      </c>
      <c r="FU3" s="1">
        <v>26725</v>
      </c>
      <c r="FV3" s="1">
        <v>2022</v>
      </c>
      <c r="FW3">
        <v>0</v>
      </c>
      <c r="GK3" s="1">
        <v>1815</v>
      </c>
      <c r="GL3" s="1">
        <v>4826</v>
      </c>
      <c r="GM3">
        <v>0</v>
      </c>
      <c r="GN3">
        <v>56</v>
      </c>
      <c r="GO3" s="1">
        <v>28540</v>
      </c>
      <c r="GP3" s="1">
        <v>6848</v>
      </c>
      <c r="GQ3">
        <v>0</v>
      </c>
      <c r="GR3">
        <v>56</v>
      </c>
      <c r="GS3">
        <v>120</v>
      </c>
      <c r="GU3" s="1">
        <v>177015</v>
      </c>
      <c r="GV3" s="1">
        <v>22859</v>
      </c>
      <c r="GW3" s="1">
        <v>164231</v>
      </c>
      <c r="GX3" s="1">
        <v>56364</v>
      </c>
      <c r="GY3">
        <v>0</v>
      </c>
      <c r="GZ3" s="1">
        <v>36477</v>
      </c>
      <c r="HA3" s="1">
        <v>233379</v>
      </c>
      <c r="HB3" s="1">
        <v>22859</v>
      </c>
      <c r="HC3" s="1">
        <v>200708</v>
      </c>
      <c r="HD3" s="1">
        <v>456946</v>
      </c>
      <c r="HE3" s="1">
        <v>6418</v>
      </c>
      <c r="HF3" s="1">
        <v>470473</v>
      </c>
      <c r="HG3" s="1">
        <v>54550</v>
      </c>
      <c r="HH3" s="1">
        <v>285299</v>
      </c>
      <c r="HI3" s="1">
        <v>7109</v>
      </c>
      <c r="HJ3" s="1">
        <v>6974</v>
      </c>
      <c r="HK3" s="1">
        <v>346823</v>
      </c>
      <c r="HL3" s="1">
        <v>817296</v>
      </c>
      <c r="HM3">
        <v>232</v>
      </c>
      <c r="HN3" s="1">
        <v>4980</v>
      </c>
      <c r="HO3" s="1">
        <v>5212</v>
      </c>
      <c r="HP3" s="1">
        <v>1070</v>
      </c>
      <c r="HQ3" s="1">
        <v>3571</v>
      </c>
      <c r="HR3" s="1">
        <v>4641</v>
      </c>
      <c r="HS3">
        <v>0</v>
      </c>
      <c r="HT3">
        <v>0</v>
      </c>
      <c r="HU3">
        <v>0</v>
      </c>
      <c r="HV3" s="1">
        <v>3765</v>
      </c>
      <c r="HW3" s="1">
        <v>13618</v>
      </c>
      <c r="HX3" s="1">
        <v>33602</v>
      </c>
      <c r="HY3" s="1">
        <v>72582</v>
      </c>
      <c r="HZ3" s="1">
        <v>106184</v>
      </c>
      <c r="IA3" s="1">
        <v>119802</v>
      </c>
      <c r="IB3" s="1">
        <v>59191</v>
      </c>
      <c r="IC3" s="1">
        <v>344490</v>
      </c>
      <c r="ID3" s="1">
        <v>830914</v>
      </c>
      <c r="IE3" s="1">
        <v>830914</v>
      </c>
      <c r="IF3" s="1">
        <v>937098</v>
      </c>
      <c r="IG3" s="1">
        <v>200708</v>
      </c>
      <c r="IH3" s="1">
        <v>1671</v>
      </c>
      <c r="IK3">
        <v>1</v>
      </c>
      <c r="IL3" s="3">
        <v>9.4E-2</v>
      </c>
      <c r="IM3" s="3">
        <v>1.2999999999999999E-3</v>
      </c>
      <c r="IN3" s="3">
        <v>0.13800000000000001</v>
      </c>
      <c r="IO3" s="3">
        <v>0</v>
      </c>
      <c r="IP3" s="3">
        <v>0.1111</v>
      </c>
      <c r="IQ3" s="3">
        <v>2.9999999999999997E-4</v>
      </c>
      <c r="IR3" s="3">
        <v>0.6875</v>
      </c>
      <c r="IS3" s="3">
        <v>8.43E-2</v>
      </c>
      <c r="IT3" s="3">
        <v>0.24160000000000001</v>
      </c>
      <c r="IU3" s="1">
        <v>54725</v>
      </c>
      <c r="IV3" s="1">
        <v>10016</v>
      </c>
      <c r="IW3" s="1">
        <v>64741</v>
      </c>
      <c r="IX3" s="3">
        <v>0.41099999999999998</v>
      </c>
      <c r="IY3" s="1">
        <v>542142</v>
      </c>
      <c r="JA3">
        <v>725</v>
      </c>
      <c r="JB3">
        <v>69</v>
      </c>
      <c r="JC3">
        <v>851</v>
      </c>
      <c r="JD3">
        <v>43</v>
      </c>
      <c r="JE3">
        <v>2</v>
      </c>
      <c r="JF3">
        <v>98</v>
      </c>
      <c r="JG3">
        <v>768</v>
      </c>
      <c r="JH3">
        <v>71</v>
      </c>
      <c r="JI3">
        <v>949</v>
      </c>
      <c r="JJ3" s="1">
        <v>1788</v>
      </c>
      <c r="JK3" s="1">
        <v>1645</v>
      </c>
      <c r="JL3">
        <v>143</v>
      </c>
      <c r="JM3" s="1">
        <v>6378</v>
      </c>
      <c r="JN3">
        <v>762</v>
      </c>
      <c r="JO3" s="1">
        <v>25375</v>
      </c>
      <c r="JP3" s="1">
        <v>2025</v>
      </c>
      <c r="JQ3">
        <v>553</v>
      </c>
      <c r="JR3" s="1">
        <v>11246</v>
      </c>
      <c r="JS3" s="1">
        <v>8403</v>
      </c>
      <c r="JT3" s="1">
        <v>1315</v>
      </c>
      <c r="JU3" s="1">
        <v>36621</v>
      </c>
      <c r="JV3" s="1">
        <v>46339</v>
      </c>
      <c r="JW3" s="1">
        <v>32515</v>
      </c>
      <c r="JX3" s="1">
        <v>13824</v>
      </c>
      <c r="JY3">
        <v>25.92</v>
      </c>
      <c r="JZ3">
        <v>10.94</v>
      </c>
      <c r="KA3">
        <v>38.590000000000003</v>
      </c>
      <c r="KB3">
        <v>0.18</v>
      </c>
      <c r="KC3">
        <v>0.79</v>
      </c>
      <c r="KD3">
        <v>362</v>
      </c>
      <c r="KE3" s="1">
        <v>1630</v>
      </c>
      <c r="KF3">
        <v>128</v>
      </c>
      <c r="KG3">
        <v>717</v>
      </c>
      <c r="KN3" s="1">
        <v>75190</v>
      </c>
      <c r="KO3" s="1">
        <v>25400</v>
      </c>
      <c r="KP3" s="1">
        <v>13111</v>
      </c>
      <c r="KR3">
        <v>232</v>
      </c>
      <c r="KS3" s="1">
        <v>3224</v>
      </c>
      <c r="KT3">
        <v>217</v>
      </c>
      <c r="KU3">
        <v>298</v>
      </c>
      <c r="KV3">
        <v>55</v>
      </c>
      <c r="KW3">
        <v>93</v>
      </c>
      <c r="KX3" s="1">
        <v>103008</v>
      </c>
      <c r="KZ3" s="1">
        <v>305693</v>
      </c>
      <c r="LD3" t="s">
        <v>360</v>
      </c>
      <c r="LE3" t="s">
        <v>361</v>
      </c>
      <c r="LF3" t="s">
        <v>349</v>
      </c>
      <c r="LG3" t="s">
        <v>350</v>
      </c>
      <c r="LH3">
        <v>27215</v>
      </c>
      <c r="LI3">
        <v>5863</v>
      </c>
      <c r="LJ3" t="s">
        <v>349</v>
      </c>
      <c r="LK3" t="s">
        <v>350</v>
      </c>
      <c r="LL3">
        <v>27215</v>
      </c>
      <c r="LM3">
        <v>5863</v>
      </c>
      <c r="LN3" t="s">
        <v>352</v>
      </c>
      <c r="LO3">
        <v>3362293588</v>
      </c>
      <c r="LQ3" s="1">
        <v>56056</v>
      </c>
      <c r="LR3">
        <v>45.23</v>
      </c>
      <c r="LT3" s="1">
        <v>11012</v>
      </c>
      <c r="LU3">
        <v>260</v>
      </c>
      <c r="LX3">
        <v>2</v>
      </c>
      <c r="LY3" t="s">
        <v>362</v>
      </c>
      <c r="LZ3">
        <v>0</v>
      </c>
      <c r="MA3" t="s">
        <v>363</v>
      </c>
      <c r="MB3">
        <v>54.77</v>
      </c>
      <c r="MC3">
        <v>60.67</v>
      </c>
      <c r="ME3" s="574">
        <v>3.2</v>
      </c>
      <c r="MF3" s="574">
        <v>2.4</v>
      </c>
      <c r="MG3" s="574">
        <v>0.31</v>
      </c>
      <c r="MH3" s="574">
        <v>41.08</v>
      </c>
      <c r="MI3" s="574">
        <v>30.8</v>
      </c>
      <c r="MJ3" s="574">
        <v>4</v>
      </c>
      <c r="MK3" s="574">
        <v>4.91</v>
      </c>
      <c r="ML3" s="574">
        <v>3.68</v>
      </c>
      <c r="MM3" s="574">
        <v>0.48</v>
      </c>
      <c r="MN3" s="574">
        <v>35.369999999999997</v>
      </c>
      <c r="MO3" s="574">
        <v>26.52</v>
      </c>
      <c r="MP3" s="574">
        <v>3.44</v>
      </c>
      <c r="MQ3" s="574">
        <v>57.39</v>
      </c>
      <c r="MR3" s="574">
        <v>43.03</v>
      </c>
      <c r="MS3" s="574">
        <v>5.58</v>
      </c>
      <c r="MT3" s="574">
        <v>13.25</v>
      </c>
      <c r="MU3" s="574">
        <v>9.94</v>
      </c>
      <c r="MV3" s="574">
        <v>1.29</v>
      </c>
      <c r="MW3" s="1">
        <v>1662</v>
      </c>
      <c r="MX3" s="1">
        <v>7519</v>
      </c>
      <c r="MY3" s="1">
        <v>7519</v>
      </c>
      <c r="MZ3" s="1">
        <v>11986</v>
      </c>
      <c r="NA3" s="1">
        <v>54214</v>
      </c>
      <c r="NB3" s="1">
        <v>54214</v>
      </c>
      <c r="NC3" s="1">
        <v>83091</v>
      </c>
      <c r="ND3" s="1">
        <v>83091</v>
      </c>
      <c r="NE3">
        <v>3.24</v>
      </c>
      <c r="NF3" s="1">
        <v>18371</v>
      </c>
      <c r="NG3">
        <v>8.83</v>
      </c>
      <c r="NH3">
        <v>5.2750000000000004</v>
      </c>
      <c r="NI3">
        <v>3.44</v>
      </c>
      <c r="NJ3">
        <v>3.35</v>
      </c>
      <c r="NK3">
        <v>4.5999999999999996</v>
      </c>
      <c r="NL3">
        <v>0.4773</v>
      </c>
      <c r="NM3">
        <v>1.2742</v>
      </c>
      <c r="NN3">
        <v>0.41</v>
      </c>
      <c r="NO3">
        <v>0.28999999999999998</v>
      </c>
      <c r="NP3">
        <v>0</v>
      </c>
      <c r="NQ3">
        <v>0</v>
      </c>
      <c r="NR3">
        <v>0.65</v>
      </c>
      <c r="NS3">
        <v>0.05</v>
      </c>
      <c r="NT3">
        <v>0.23</v>
      </c>
      <c r="NU3" s="574">
        <v>12.66</v>
      </c>
      <c r="NV3">
        <v>1.63</v>
      </c>
      <c r="NW3">
        <v>0</v>
      </c>
      <c r="NX3">
        <v>2E-3</v>
      </c>
      <c r="NY3">
        <v>0.18099999999999999</v>
      </c>
      <c r="NZ3">
        <v>1E-3</v>
      </c>
      <c r="OA3">
        <v>0.1545</v>
      </c>
      <c r="OB3">
        <v>0.6986</v>
      </c>
      <c r="OC3">
        <v>5.0970000000000004</v>
      </c>
      <c r="OD3">
        <v>1.121</v>
      </c>
      <c r="OE3">
        <v>0.22370000000000001</v>
      </c>
      <c r="OF3">
        <v>440.83300000000003</v>
      </c>
      <c r="OG3">
        <v>1.22</v>
      </c>
      <c r="OH3" s="574">
        <v>2.58</v>
      </c>
      <c r="OI3">
        <v>334</v>
      </c>
      <c r="OJ3">
        <v>373</v>
      </c>
      <c r="OK3" s="574">
        <v>16.88</v>
      </c>
      <c r="OL3" s="574">
        <v>1.64</v>
      </c>
      <c r="OM3" s="574">
        <v>1</v>
      </c>
      <c r="ON3">
        <v>0.28710000000000002</v>
      </c>
      <c r="OO3">
        <v>6.3500000000000001E-2</v>
      </c>
      <c r="OP3">
        <v>0.54420000000000002</v>
      </c>
      <c r="OQ3" s="574">
        <v>1.1499999999999999</v>
      </c>
      <c r="OR3" s="574">
        <v>16.690000000000001</v>
      </c>
      <c r="OS3" s="574">
        <v>0.38</v>
      </c>
      <c r="OT3" s="574">
        <v>0.66</v>
      </c>
      <c r="OU3" s="574">
        <v>18.88</v>
      </c>
      <c r="OV3">
        <v>4</v>
      </c>
      <c r="OW3">
        <v>6</v>
      </c>
      <c r="OX3">
        <v>1.53</v>
      </c>
      <c r="OY3" s="1">
        <v>15979</v>
      </c>
      <c r="OZ3">
        <v>49.23</v>
      </c>
      <c r="PA3" s="1">
        <v>10426</v>
      </c>
      <c r="PB3">
        <v>6.83</v>
      </c>
      <c r="PC3">
        <v>75.459999999999994</v>
      </c>
      <c r="PD3">
        <v>0.14000000000000001</v>
      </c>
      <c r="PE3" s="1">
        <v>1446</v>
      </c>
      <c r="PF3">
        <v>0.31</v>
      </c>
      <c r="PG3" s="574">
        <v>0.48</v>
      </c>
      <c r="PH3">
        <v>0.47</v>
      </c>
      <c r="PI3">
        <v>6.99</v>
      </c>
      <c r="PJ3">
        <v>12.83</v>
      </c>
      <c r="PK3" s="574">
        <v>4.91</v>
      </c>
      <c r="PL3">
        <v>42.35</v>
      </c>
      <c r="PM3" s="4">
        <v>44088</v>
      </c>
      <c r="PN3" s="4">
        <v>33925</v>
      </c>
      <c r="PO3">
        <v>5.4399999999999997E-2</v>
      </c>
      <c r="PP3">
        <v>0.60150000000000003</v>
      </c>
      <c r="PQ3">
        <v>8.3400000000000002E-2</v>
      </c>
      <c r="PR3">
        <v>1.2E-2</v>
      </c>
      <c r="PS3">
        <v>0.13300000000000001</v>
      </c>
      <c r="PT3">
        <v>1.8499999999999999E-2</v>
      </c>
      <c r="PU3" s="3">
        <v>1</v>
      </c>
      <c r="PV3" s="3">
        <v>0.22109999999999999</v>
      </c>
      <c r="PW3" s="3">
        <v>0.77890000000000004</v>
      </c>
      <c r="PX3" s="3">
        <v>0.23050000000000001</v>
      </c>
      <c r="PY3" s="3">
        <v>0.76949999999999996</v>
      </c>
      <c r="PZ3" s="3">
        <v>9.7299999999999998E-2</v>
      </c>
      <c r="QA3" s="3">
        <v>1.24E-2</v>
      </c>
      <c r="QB3" s="3">
        <v>0.17280000000000001</v>
      </c>
      <c r="QC3" s="3">
        <v>2.5999999999999999E-2</v>
      </c>
      <c r="QD3" s="3">
        <v>0.15290000000000001</v>
      </c>
      <c r="QE3" s="3">
        <v>5.8999999999999997E-2</v>
      </c>
      <c r="QF3" s="3">
        <v>0.57689999999999997</v>
      </c>
      <c r="QG3" s="3">
        <v>0.74980000000000002</v>
      </c>
      <c r="QH3" s="3">
        <v>2.0199999999999999E-2</v>
      </c>
      <c r="QI3" s="3">
        <v>0.88400000000000001</v>
      </c>
      <c r="QJ3" s="3">
        <v>3.5099999999999999E-2</v>
      </c>
      <c r="QK3" s="3">
        <v>6.0699999999999997E-2</v>
      </c>
      <c r="QL3" s="4">
        <v>10163</v>
      </c>
      <c r="QM3">
        <v>8.3699999999999992</v>
      </c>
      <c r="QN3" s="1">
        <v>15752</v>
      </c>
      <c r="QO3" s="1">
        <v>15752</v>
      </c>
      <c r="QP3" s="1">
        <v>3483</v>
      </c>
      <c r="QQ3" s="3">
        <v>0.60599999999999998</v>
      </c>
      <c r="QR3" s="3">
        <v>0.12690000000000001</v>
      </c>
      <c r="QS3" s="3">
        <v>0.2671</v>
      </c>
      <c r="QT3" s="3">
        <v>0.22109999999999999</v>
      </c>
      <c r="QU3">
        <v>0.54</v>
      </c>
      <c r="QV3">
        <v>1.81</v>
      </c>
      <c r="QW3">
        <v>0.42</v>
      </c>
      <c r="QX3">
        <v>25</v>
      </c>
      <c r="QY3">
        <v>5.3</v>
      </c>
      <c r="QZ3">
        <v>12</v>
      </c>
      <c r="RA3">
        <v>3.21</v>
      </c>
      <c r="RB3">
        <v>0.31</v>
      </c>
      <c r="RC3">
        <v>0.28000000000000003</v>
      </c>
    </row>
    <row r="4" spans="1:471" x14ac:dyDescent="0.25">
      <c r="A4" t="s">
        <v>364</v>
      </c>
      <c r="B4">
        <v>11640</v>
      </c>
      <c r="C4" t="s">
        <v>1754</v>
      </c>
      <c r="D4" t="s">
        <v>1754</v>
      </c>
      <c r="E4" t="s">
        <v>1754</v>
      </c>
      <c r="F4" t="s">
        <v>1755</v>
      </c>
      <c r="G4" t="s">
        <v>1755</v>
      </c>
      <c r="H4" t="s">
        <v>365</v>
      </c>
      <c r="I4" t="s">
        <v>342</v>
      </c>
      <c r="J4" t="s">
        <v>366</v>
      </c>
      <c r="K4" t="s">
        <v>344</v>
      </c>
      <c r="L4" t="s">
        <v>345</v>
      </c>
      <c r="M4" t="s">
        <v>367</v>
      </c>
      <c r="N4" t="s">
        <v>347</v>
      </c>
      <c r="O4" s="1">
        <v>77771</v>
      </c>
      <c r="P4" t="s">
        <v>348</v>
      </c>
      <c r="Q4">
        <v>340</v>
      </c>
      <c r="R4">
        <v>40</v>
      </c>
      <c r="S4">
        <v>94</v>
      </c>
      <c r="T4">
        <v>8</v>
      </c>
      <c r="U4" s="1">
        <v>3653</v>
      </c>
      <c r="V4">
        <v>71</v>
      </c>
      <c r="W4" s="1">
        <v>8927</v>
      </c>
      <c r="X4" s="1">
        <v>1079</v>
      </c>
      <c r="AC4" t="s">
        <v>368</v>
      </c>
      <c r="AD4" t="s">
        <v>369</v>
      </c>
      <c r="AE4">
        <v>27986</v>
      </c>
      <c r="AF4">
        <v>68</v>
      </c>
      <c r="AG4" t="s">
        <v>370</v>
      </c>
      <c r="AH4" t="s">
        <v>369</v>
      </c>
      <c r="AI4">
        <v>27986</v>
      </c>
      <c r="AJ4">
        <v>1</v>
      </c>
      <c r="AK4" t="s">
        <v>371</v>
      </c>
      <c r="AM4" t="s">
        <v>372</v>
      </c>
      <c r="AN4" t="s">
        <v>373</v>
      </c>
      <c r="AO4" t="s">
        <v>1891</v>
      </c>
      <c r="AP4">
        <v>2523587832</v>
      </c>
      <c r="AQ4" t="s">
        <v>375</v>
      </c>
      <c r="AR4" t="s">
        <v>1892</v>
      </c>
      <c r="AS4" t="s">
        <v>1893</v>
      </c>
      <c r="AT4" t="s">
        <v>1894</v>
      </c>
      <c r="AU4" t="s">
        <v>374</v>
      </c>
      <c r="AV4" t="s">
        <v>375</v>
      </c>
      <c r="AW4" t="s">
        <v>1895</v>
      </c>
      <c r="AX4" t="s">
        <v>377</v>
      </c>
      <c r="AY4">
        <v>0</v>
      </c>
      <c r="AZ4">
        <v>0</v>
      </c>
      <c r="BA4">
        <v>0</v>
      </c>
      <c r="BB4" s="573">
        <v>42186</v>
      </c>
      <c r="BC4" s="573">
        <v>42551</v>
      </c>
      <c r="BD4">
        <v>1</v>
      </c>
      <c r="BE4">
        <v>6</v>
      </c>
      <c r="BF4">
        <v>0</v>
      </c>
      <c r="BG4">
        <v>1</v>
      </c>
      <c r="BH4">
        <v>8</v>
      </c>
      <c r="BJ4" s="1">
        <v>15106</v>
      </c>
      <c r="BK4">
        <v>1</v>
      </c>
      <c r="BL4">
        <v>1</v>
      </c>
      <c r="BM4">
        <v>2</v>
      </c>
      <c r="BN4">
        <v>15.89</v>
      </c>
      <c r="BO4">
        <v>17.89</v>
      </c>
      <c r="BP4" s="3">
        <v>5.5899999999999998E-2</v>
      </c>
      <c r="BQ4">
        <v>175</v>
      </c>
      <c r="BR4" s="4">
        <v>72100</v>
      </c>
      <c r="DW4" s="4">
        <v>223608</v>
      </c>
      <c r="DX4" s="4">
        <v>470060</v>
      </c>
      <c r="DY4" s="4">
        <v>693668</v>
      </c>
      <c r="DZ4" s="4">
        <v>392930</v>
      </c>
      <c r="EA4" s="4">
        <v>0</v>
      </c>
      <c r="EB4" s="4">
        <v>392930</v>
      </c>
      <c r="EC4" s="4">
        <v>0</v>
      </c>
      <c r="ED4" s="4">
        <v>0</v>
      </c>
      <c r="EE4" s="4">
        <v>0</v>
      </c>
      <c r="EF4" s="4">
        <v>154258</v>
      </c>
      <c r="EG4" s="4">
        <v>1240856</v>
      </c>
      <c r="EH4" s="4">
        <v>611950</v>
      </c>
      <c r="EI4" s="4">
        <v>163665</v>
      </c>
      <c r="EJ4" s="4">
        <v>775615</v>
      </c>
      <c r="EK4" s="4">
        <v>59469</v>
      </c>
      <c r="EL4" s="4">
        <v>3736</v>
      </c>
      <c r="EM4" s="4">
        <v>26115</v>
      </c>
      <c r="EN4" s="4">
        <v>89320</v>
      </c>
      <c r="EO4" s="4">
        <v>314628</v>
      </c>
      <c r="EP4" s="4">
        <v>1179563</v>
      </c>
      <c r="EQ4" s="4">
        <v>61293</v>
      </c>
      <c r="ER4" s="3">
        <v>4.9399999999999999E-2</v>
      </c>
      <c r="ES4" s="4">
        <v>100257</v>
      </c>
      <c r="ET4" s="4">
        <v>0</v>
      </c>
      <c r="EU4" s="4">
        <v>0</v>
      </c>
      <c r="EV4" s="4">
        <v>0</v>
      </c>
      <c r="EW4" s="4">
        <v>100257</v>
      </c>
      <c r="EX4" s="4">
        <v>92268</v>
      </c>
      <c r="EY4" s="1">
        <v>21623</v>
      </c>
      <c r="EZ4" s="1">
        <v>222444</v>
      </c>
      <c r="FA4" s="1">
        <v>55107</v>
      </c>
      <c r="FB4" s="1">
        <v>4287</v>
      </c>
      <c r="FC4" s="1">
        <v>40337</v>
      </c>
      <c r="FD4" s="1">
        <v>44371</v>
      </c>
      <c r="FE4" s="1">
        <v>1915</v>
      </c>
      <c r="FF4" s="1">
        <v>21584</v>
      </c>
      <c r="FG4" s="1">
        <v>99478</v>
      </c>
      <c r="FH4" s="1">
        <v>6202</v>
      </c>
      <c r="FI4" s="1">
        <v>61921</v>
      </c>
      <c r="FJ4" s="1">
        <v>167601</v>
      </c>
      <c r="FK4" s="1">
        <v>5994</v>
      </c>
      <c r="FL4">
        <v>119</v>
      </c>
      <c r="FN4" s="1">
        <v>167601</v>
      </c>
      <c r="FO4" s="1">
        <v>7141</v>
      </c>
      <c r="FP4" s="1">
        <v>12460</v>
      </c>
      <c r="FQ4">
        <v>303</v>
      </c>
      <c r="FR4">
        <v>4</v>
      </c>
      <c r="FS4">
        <v>74</v>
      </c>
      <c r="FT4">
        <v>78</v>
      </c>
      <c r="FU4" s="1">
        <v>26725</v>
      </c>
      <c r="FV4" s="1">
        <v>2022</v>
      </c>
      <c r="FW4">
        <v>0</v>
      </c>
      <c r="GE4">
        <v>0</v>
      </c>
      <c r="GI4">
        <v>0</v>
      </c>
      <c r="GK4">
        <v>1</v>
      </c>
      <c r="GL4">
        <v>0</v>
      </c>
      <c r="GM4">
        <v>0</v>
      </c>
      <c r="GN4">
        <v>0</v>
      </c>
      <c r="GO4" s="1">
        <v>26726</v>
      </c>
      <c r="GP4" s="1">
        <v>2022</v>
      </c>
      <c r="GQ4">
        <v>0</v>
      </c>
      <c r="GR4">
        <v>0</v>
      </c>
      <c r="GS4">
        <v>6</v>
      </c>
      <c r="GU4" s="1">
        <v>31913</v>
      </c>
      <c r="GV4" s="1">
        <v>2877</v>
      </c>
      <c r="GW4" s="1">
        <v>23577</v>
      </c>
      <c r="GX4" s="1">
        <v>8831</v>
      </c>
      <c r="GY4">
        <v>291</v>
      </c>
      <c r="GZ4" s="1">
        <v>5834</v>
      </c>
      <c r="HA4" s="1">
        <v>40744</v>
      </c>
      <c r="HB4" s="1">
        <v>3168</v>
      </c>
      <c r="HC4" s="1">
        <v>29411</v>
      </c>
      <c r="HD4" s="1">
        <v>73323</v>
      </c>
      <c r="HE4">
        <v>435</v>
      </c>
      <c r="HF4" s="1">
        <v>73758</v>
      </c>
      <c r="HG4" s="1">
        <v>4042</v>
      </c>
      <c r="HH4" s="1">
        <v>14767</v>
      </c>
      <c r="HI4">
        <v>0</v>
      </c>
      <c r="HJ4">
        <v>20</v>
      </c>
      <c r="HK4" s="1">
        <v>18829</v>
      </c>
      <c r="HL4" s="1">
        <v>92587</v>
      </c>
      <c r="HM4">
        <v>34</v>
      </c>
      <c r="HN4">
        <v>0</v>
      </c>
      <c r="HO4">
        <v>34</v>
      </c>
      <c r="HP4">
        <v>25</v>
      </c>
      <c r="HQ4">
        <v>0</v>
      </c>
      <c r="HR4">
        <v>25</v>
      </c>
      <c r="HS4">
        <v>0</v>
      </c>
      <c r="HT4">
        <v>0</v>
      </c>
      <c r="HU4">
        <v>0</v>
      </c>
      <c r="HV4">
        <v>0</v>
      </c>
      <c r="HW4">
        <v>59</v>
      </c>
      <c r="HX4" s="1">
        <v>3266</v>
      </c>
      <c r="HZ4" s="1">
        <v>3266</v>
      </c>
      <c r="IA4" s="1">
        <v>3325</v>
      </c>
      <c r="IB4" s="1">
        <v>4067</v>
      </c>
      <c r="IC4" s="1">
        <v>18834</v>
      </c>
      <c r="ID4" s="1">
        <v>92646</v>
      </c>
      <c r="IE4" s="1">
        <v>92646</v>
      </c>
      <c r="IF4" s="1">
        <v>95912</v>
      </c>
      <c r="IG4" s="1">
        <v>29411</v>
      </c>
      <c r="IH4">
        <v>0</v>
      </c>
      <c r="IL4" s="3">
        <v>5.6000000000000001E-2</v>
      </c>
      <c r="IM4" s="3">
        <v>5.0000000000000001E-4</v>
      </c>
      <c r="IN4" s="3">
        <v>0.12920000000000001</v>
      </c>
      <c r="IO4" s="3">
        <v>0</v>
      </c>
      <c r="IP4" s="3">
        <v>0.1201</v>
      </c>
      <c r="IQ4" s="3">
        <v>4.0000000000000002E-4</v>
      </c>
      <c r="IR4" s="3">
        <v>0.75349999999999995</v>
      </c>
      <c r="IS4" s="3">
        <v>4.1200000000000001E-2</v>
      </c>
      <c r="IT4" s="3">
        <v>0.3175</v>
      </c>
      <c r="IU4" s="1">
        <v>25914</v>
      </c>
      <c r="IV4" s="1">
        <v>6475</v>
      </c>
      <c r="IW4" s="1">
        <v>32389</v>
      </c>
      <c r="IX4" s="3">
        <v>0.41649999999999998</v>
      </c>
      <c r="IY4">
        <v>-1</v>
      </c>
      <c r="JA4">
        <v>62</v>
      </c>
      <c r="JB4">
        <v>16</v>
      </c>
      <c r="JC4">
        <v>161</v>
      </c>
      <c r="JD4">
        <v>26</v>
      </c>
      <c r="JE4">
        <v>8</v>
      </c>
      <c r="JF4">
        <v>126</v>
      </c>
      <c r="JG4">
        <v>88</v>
      </c>
      <c r="JH4">
        <v>24</v>
      </c>
      <c r="JI4">
        <v>287</v>
      </c>
      <c r="JJ4">
        <v>399</v>
      </c>
      <c r="JK4">
        <v>239</v>
      </c>
      <c r="JL4">
        <v>160</v>
      </c>
      <c r="JM4">
        <v>733</v>
      </c>
      <c r="JN4">
        <v>132</v>
      </c>
      <c r="JO4" s="1">
        <v>4767</v>
      </c>
      <c r="JP4">
        <v>660</v>
      </c>
      <c r="JQ4">
        <v>130</v>
      </c>
      <c r="JR4" s="1">
        <v>4823</v>
      </c>
      <c r="JS4" s="1">
        <v>1393</v>
      </c>
      <c r="JT4">
        <v>262</v>
      </c>
      <c r="JU4" s="1">
        <v>9590</v>
      </c>
      <c r="JV4" s="1">
        <v>11245</v>
      </c>
      <c r="JW4" s="1">
        <v>5632</v>
      </c>
      <c r="JX4" s="1">
        <v>5613</v>
      </c>
      <c r="JY4">
        <v>28.18</v>
      </c>
      <c r="JZ4">
        <v>15.83</v>
      </c>
      <c r="KA4">
        <v>33.409999999999997</v>
      </c>
      <c r="KB4">
        <v>0.12</v>
      </c>
      <c r="KC4">
        <v>0.85</v>
      </c>
      <c r="KD4">
        <v>0</v>
      </c>
      <c r="KE4">
        <v>0</v>
      </c>
      <c r="KF4">
        <v>0</v>
      </c>
      <c r="KG4">
        <v>0</v>
      </c>
      <c r="KN4" s="1">
        <v>9054</v>
      </c>
      <c r="KO4" s="1">
        <v>5227</v>
      </c>
      <c r="KP4" s="1">
        <v>1586</v>
      </c>
      <c r="KR4">
        <v>121</v>
      </c>
      <c r="KS4">
        <v>695</v>
      </c>
      <c r="KT4">
        <v>0</v>
      </c>
      <c r="KU4">
        <v>11</v>
      </c>
      <c r="KV4">
        <v>37</v>
      </c>
      <c r="KW4">
        <v>99</v>
      </c>
      <c r="KX4" s="1">
        <v>44579</v>
      </c>
      <c r="KZ4" s="1">
        <v>93952</v>
      </c>
      <c r="LA4" s="1">
        <v>33080</v>
      </c>
      <c r="LD4" t="s">
        <v>378</v>
      </c>
      <c r="LE4" t="s">
        <v>379</v>
      </c>
      <c r="LF4" t="s">
        <v>368</v>
      </c>
      <c r="LG4" t="s">
        <v>369</v>
      </c>
      <c r="LH4">
        <v>27986</v>
      </c>
      <c r="LI4">
        <v>68</v>
      </c>
      <c r="LJ4" t="s">
        <v>370</v>
      </c>
      <c r="LK4" t="s">
        <v>369</v>
      </c>
      <c r="LL4">
        <v>27986</v>
      </c>
      <c r="LM4">
        <v>68</v>
      </c>
      <c r="LN4" t="s">
        <v>373</v>
      </c>
      <c r="LO4">
        <v>2523587855</v>
      </c>
      <c r="LP4">
        <v>2523580368</v>
      </c>
      <c r="LQ4" s="1">
        <v>32361</v>
      </c>
      <c r="LR4">
        <v>13.45</v>
      </c>
      <c r="LT4" s="1">
        <v>15106</v>
      </c>
      <c r="LU4">
        <v>364</v>
      </c>
      <c r="LX4">
        <v>13</v>
      </c>
      <c r="LY4" t="s">
        <v>380</v>
      </c>
      <c r="LZ4">
        <v>0</v>
      </c>
      <c r="MA4" t="s">
        <v>363</v>
      </c>
      <c r="MB4">
        <v>7.38</v>
      </c>
      <c r="MC4">
        <v>10.8</v>
      </c>
      <c r="ME4" s="574">
        <v>12.73</v>
      </c>
      <c r="MF4" s="574">
        <v>8.3699999999999992</v>
      </c>
      <c r="MG4" s="574">
        <v>0.96</v>
      </c>
      <c r="MH4" s="574">
        <v>36.42</v>
      </c>
      <c r="MI4" s="574">
        <v>23.95</v>
      </c>
      <c r="MJ4" s="574">
        <v>2.76</v>
      </c>
      <c r="MK4" s="574">
        <v>-1179563</v>
      </c>
      <c r="ML4" s="574">
        <v>-775615</v>
      </c>
      <c r="MM4" s="574">
        <v>-89320</v>
      </c>
      <c r="MN4" s="574">
        <v>130.28</v>
      </c>
      <c r="MO4" s="574">
        <v>85.67</v>
      </c>
      <c r="MP4" s="574">
        <v>9.8699999999999992</v>
      </c>
      <c r="MQ4" s="574">
        <v>104.9</v>
      </c>
      <c r="MR4" s="574">
        <v>68.97</v>
      </c>
      <c r="MS4" s="574">
        <v>7.94</v>
      </c>
      <c r="MT4" s="574">
        <v>40.11</v>
      </c>
      <c r="MU4" s="574">
        <v>26.37</v>
      </c>
      <c r="MV4" s="574">
        <v>3.04</v>
      </c>
      <c r="MW4">
        <v>506</v>
      </c>
      <c r="MX4" s="1">
        <v>9054</v>
      </c>
      <c r="MY4" s="1">
        <v>4527</v>
      </c>
      <c r="MZ4">
        <v>0</v>
      </c>
      <c r="NA4">
        <v>-1</v>
      </c>
      <c r="NB4">
        <v>-1</v>
      </c>
      <c r="NC4" s="1">
        <v>46323</v>
      </c>
      <c r="ND4" s="1">
        <v>92646</v>
      </c>
      <c r="NE4">
        <v>0.42</v>
      </c>
      <c r="NF4" s="1">
        <v>5179</v>
      </c>
      <c r="NG4">
        <v>2.4900000000000002</v>
      </c>
      <c r="NH4">
        <v>1.1910000000000001</v>
      </c>
      <c r="NI4">
        <v>0</v>
      </c>
      <c r="NJ4">
        <v>0</v>
      </c>
      <c r="NK4">
        <v>0.34</v>
      </c>
      <c r="NL4">
        <v>0.1164</v>
      </c>
      <c r="NM4">
        <v>0.37819999999999998</v>
      </c>
      <c r="NN4">
        <v>0.42</v>
      </c>
      <c r="NO4">
        <v>0.14000000000000001</v>
      </c>
      <c r="NP4">
        <v>0</v>
      </c>
      <c r="NQ4">
        <v>0</v>
      </c>
      <c r="NR4">
        <v>0.56999999999999995</v>
      </c>
      <c r="NS4">
        <v>0.02</v>
      </c>
      <c r="NT4">
        <v>0.12</v>
      </c>
      <c r="NU4" s="574">
        <v>9.9700000000000006</v>
      </c>
      <c r="NV4">
        <v>2.86</v>
      </c>
      <c r="NW4">
        <v>0</v>
      </c>
      <c r="NX4">
        <v>2E-3</v>
      </c>
      <c r="NY4">
        <v>0.34399999999999997</v>
      </c>
      <c r="NZ4">
        <v>1E-3</v>
      </c>
      <c r="OA4">
        <v>3.09E-2</v>
      </c>
      <c r="OB4">
        <v>0.5524</v>
      </c>
      <c r="OC4">
        <v>3.6739999999999999</v>
      </c>
      <c r="OD4">
        <v>2.1549999999999998</v>
      </c>
      <c r="OE4">
        <v>0.20430000000000001</v>
      </c>
      <c r="OF4">
        <v>825.15700000000004</v>
      </c>
      <c r="OG4">
        <v>2.4079999999999999</v>
      </c>
      <c r="OH4" s="574">
        <v>4.05</v>
      </c>
      <c r="OI4">
        <v>283</v>
      </c>
      <c r="OJ4">
        <v>385</v>
      </c>
      <c r="OK4" s="574">
        <v>15.17</v>
      </c>
      <c r="OL4" s="574">
        <v>1.1499999999999999</v>
      </c>
      <c r="OM4" s="574">
        <v>0.76</v>
      </c>
      <c r="ON4">
        <v>0.23</v>
      </c>
      <c r="OO4">
        <v>1.29E-2</v>
      </c>
      <c r="OP4">
        <v>0.49059999999999998</v>
      </c>
      <c r="OQ4" s="574">
        <v>5.05</v>
      </c>
      <c r="OR4" s="574">
        <v>8.92</v>
      </c>
      <c r="OS4" s="574">
        <v>0</v>
      </c>
      <c r="OT4" s="574">
        <v>1.98</v>
      </c>
      <c r="OU4" s="574">
        <v>15.96</v>
      </c>
      <c r="OV4">
        <v>0</v>
      </c>
      <c r="OW4">
        <v>0</v>
      </c>
      <c r="OX4" s="2">
        <v>-92646</v>
      </c>
      <c r="OY4" s="1">
        <v>1782</v>
      </c>
      <c r="OZ4">
        <v>0</v>
      </c>
      <c r="PA4">
        <v>0</v>
      </c>
      <c r="PB4">
        <v>0.6</v>
      </c>
      <c r="PC4">
        <v>6.13</v>
      </c>
      <c r="PD4" s="2">
        <v>-9054</v>
      </c>
      <c r="PE4">
        <v>174</v>
      </c>
      <c r="PF4">
        <v>2.4</v>
      </c>
      <c r="PG4" s="574">
        <v>-89320</v>
      </c>
      <c r="PH4" s="2">
        <v>-222444</v>
      </c>
      <c r="PI4">
        <v>19.420000000000002</v>
      </c>
      <c r="PJ4">
        <v>2.86</v>
      </c>
      <c r="PK4" s="574">
        <v>-1179563</v>
      </c>
      <c r="PL4">
        <v>36.31</v>
      </c>
      <c r="PM4" s="4">
        <v>43355</v>
      </c>
      <c r="PN4" s="4">
        <v>34206</v>
      </c>
      <c r="PO4">
        <v>0.19309999999999999</v>
      </c>
      <c r="PP4">
        <v>1.9759</v>
      </c>
      <c r="PQ4" s="2">
        <v>-17890</v>
      </c>
      <c r="PR4">
        <v>1.0800000000000001E-2</v>
      </c>
      <c r="PS4">
        <v>0.1105</v>
      </c>
      <c r="PT4" s="2">
        <v>-1000</v>
      </c>
      <c r="PU4" s="3">
        <v>0.5</v>
      </c>
      <c r="PV4" s="3">
        <v>0.1118</v>
      </c>
      <c r="PW4" s="3">
        <v>0.88819999999999999</v>
      </c>
      <c r="PX4" s="3">
        <v>0.21099999999999999</v>
      </c>
      <c r="PY4" s="3">
        <v>0.78900000000000003</v>
      </c>
      <c r="PZ4" s="3">
        <v>7.5700000000000003E-2</v>
      </c>
      <c r="QA4" s="3">
        <v>3.2000000000000002E-3</v>
      </c>
      <c r="QB4" s="3">
        <v>0.13880000000000001</v>
      </c>
      <c r="QC4" s="3">
        <v>2.2100000000000002E-2</v>
      </c>
      <c r="QD4" s="3">
        <v>0.26669999999999999</v>
      </c>
      <c r="QE4" s="3">
        <v>5.04E-2</v>
      </c>
      <c r="QF4" s="3">
        <v>0.51880000000000004</v>
      </c>
      <c r="QG4" s="3">
        <v>0.65749999999999997</v>
      </c>
      <c r="QH4" s="3">
        <v>0</v>
      </c>
      <c r="QI4" s="3">
        <v>0.55900000000000005</v>
      </c>
      <c r="QJ4" s="3">
        <v>0.12429999999999999</v>
      </c>
      <c r="QK4" s="3">
        <v>0.31669999999999998</v>
      </c>
      <c r="QL4" s="4">
        <v>9148</v>
      </c>
      <c r="QM4">
        <v>0</v>
      </c>
      <c r="QN4" s="1">
        <v>38886</v>
      </c>
      <c r="QO4" s="1">
        <v>77771</v>
      </c>
      <c r="QP4" s="1">
        <v>4347</v>
      </c>
      <c r="QQ4" s="3">
        <v>0.66579999999999995</v>
      </c>
      <c r="QR4" s="3">
        <v>4.1799999999999997E-2</v>
      </c>
      <c r="QS4" s="3">
        <v>0.29239999999999999</v>
      </c>
      <c r="QT4" s="3">
        <v>5.5899999999999998E-2</v>
      </c>
      <c r="QU4">
        <v>0.15</v>
      </c>
      <c r="QV4">
        <v>0.56999999999999995</v>
      </c>
      <c r="QW4">
        <v>0.12</v>
      </c>
      <c r="QX4">
        <v>25</v>
      </c>
      <c r="QY4">
        <v>1.56</v>
      </c>
      <c r="QZ4">
        <v>4</v>
      </c>
      <c r="RA4">
        <v>1.04</v>
      </c>
      <c r="RB4">
        <v>0.08</v>
      </c>
      <c r="RC4">
        <v>7.0000000000000007E-2</v>
      </c>
    </row>
    <row r="5" spans="1:471" x14ac:dyDescent="0.25">
      <c r="A5" t="s">
        <v>381</v>
      </c>
      <c r="B5">
        <v>11655</v>
      </c>
      <c r="C5" t="s">
        <v>1754</v>
      </c>
      <c r="D5" t="s">
        <v>1754</v>
      </c>
      <c r="E5" t="s">
        <v>1754</v>
      </c>
      <c r="F5" t="s">
        <v>1755</v>
      </c>
      <c r="G5" t="s">
        <v>1755</v>
      </c>
      <c r="H5" t="s">
        <v>382</v>
      </c>
      <c r="I5" t="s">
        <v>342</v>
      </c>
      <c r="J5" t="s">
        <v>343</v>
      </c>
      <c r="K5" t="s">
        <v>344</v>
      </c>
      <c r="L5" t="s">
        <v>345</v>
      </c>
      <c r="M5" t="s">
        <v>346</v>
      </c>
      <c r="N5" t="s">
        <v>347</v>
      </c>
      <c r="O5" s="1">
        <v>37952</v>
      </c>
      <c r="P5" t="s">
        <v>472</v>
      </c>
      <c r="Q5">
        <v>514</v>
      </c>
      <c r="R5">
        <v>115</v>
      </c>
      <c r="S5">
        <v>39</v>
      </c>
      <c r="T5">
        <v>2</v>
      </c>
      <c r="U5" s="1">
        <v>1285</v>
      </c>
      <c r="V5">
        <v>31</v>
      </c>
      <c r="W5" s="1">
        <v>10485</v>
      </c>
      <c r="X5" s="1">
        <v>1893</v>
      </c>
      <c r="Y5" s="1">
        <v>496380</v>
      </c>
      <c r="Z5" s="1">
        <v>352200</v>
      </c>
      <c r="AC5" t="s">
        <v>383</v>
      </c>
      <c r="AD5" t="s">
        <v>384</v>
      </c>
      <c r="AE5">
        <v>28681</v>
      </c>
      <c r="AF5">
        <v>2698</v>
      </c>
      <c r="AG5" t="s">
        <v>383</v>
      </c>
      <c r="AH5" t="s">
        <v>384</v>
      </c>
      <c r="AI5">
        <v>28681</v>
      </c>
      <c r="AJ5">
        <v>2</v>
      </c>
      <c r="AK5" t="s">
        <v>385</v>
      </c>
      <c r="AM5" t="s">
        <v>0</v>
      </c>
      <c r="AN5" t="s">
        <v>386</v>
      </c>
      <c r="AO5" t="s">
        <v>387</v>
      </c>
      <c r="AP5">
        <v>8286324058</v>
      </c>
      <c r="AQ5" t="s">
        <v>389</v>
      </c>
      <c r="AR5" t="s">
        <v>390</v>
      </c>
      <c r="AS5" t="s">
        <v>387</v>
      </c>
      <c r="AT5" t="s">
        <v>376</v>
      </c>
      <c r="AU5" t="s">
        <v>388</v>
      </c>
      <c r="AV5" t="s">
        <v>389</v>
      </c>
      <c r="AW5" t="s">
        <v>390</v>
      </c>
      <c r="AX5" t="s">
        <v>391</v>
      </c>
      <c r="AY5">
        <v>0</v>
      </c>
      <c r="AZ5">
        <v>0</v>
      </c>
      <c r="BA5">
        <v>0</v>
      </c>
      <c r="BB5" s="573">
        <v>42186</v>
      </c>
      <c r="BC5" s="573">
        <v>42551</v>
      </c>
      <c r="BD5">
        <v>1</v>
      </c>
      <c r="BE5">
        <v>1</v>
      </c>
      <c r="BF5">
        <v>0</v>
      </c>
      <c r="BG5">
        <v>0</v>
      </c>
      <c r="BH5">
        <v>2</v>
      </c>
      <c r="BJ5" s="1">
        <v>3801</v>
      </c>
      <c r="BK5">
        <v>1</v>
      </c>
      <c r="BL5">
        <v>0</v>
      </c>
      <c r="BM5">
        <v>1</v>
      </c>
      <c r="BN5">
        <v>6.7</v>
      </c>
      <c r="BO5">
        <v>7.7</v>
      </c>
      <c r="BP5" s="3">
        <v>0.12989999999999999</v>
      </c>
      <c r="BQ5">
        <v>948</v>
      </c>
      <c r="BR5" s="4">
        <v>47983</v>
      </c>
      <c r="DW5" s="4">
        <v>0</v>
      </c>
      <c r="DX5" s="4">
        <v>492259</v>
      </c>
      <c r="DY5" s="4">
        <v>492259</v>
      </c>
      <c r="DZ5" s="4">
        <v>95790</v>
      </c>
      <c r="EA5" s="4">
        <v>0</v>
      </c>
      <c r="EB5" s="4">
        <v>95790</v>
      </c>
      <c r="EC5" s="4">
        <v>11810</v>
      </c>
      <c r="ED5" s="4">
        <v>0</v>
      </c>
      <c r="EE5" s="4">
        <v>11810</v>
      </c>
      <c r="EF5" s="4">
        <v>12037</v>
      </c>
      <c r="EG5" s="4">
        <v>611896</v>
      </c>
      <c r="EH5" s="4">
        <v>240201</v>
      </c>
      <c r="EI5" s="4">
        <v>90660</v>
      </c>
      <c r="EJ5" s="4">
        <v>330861</v>
      </c>
      <c r="EK5" s="4">
        <v>29954</v>
      </c>
      <c r="EL5" s="4">
        <v>3081</v>
      </c>
      <c r="EM5" s="4">
        <v>7274</v>
      </c>
      <c r="EN5" s="4">
        <v>40309</v>
      </c>
      <c r="EO5" s="4">
        <v>80676</v>
      </c>
      <c r="EP5" s="4">
        <v>451846</v>
      </c>
      <c r="EQ5" s="4">
        <v>160050</v>
      </c>
      <c r="ER5" s="3">
        <v>0.2616</v>
      </c>
      <c r="ES5" s="4">
        <v>0</v>
      </c>
      <c r="ET5" s="4">
        <v>0</v>
      </c>
      <c r="EU5" s="4">
        <v>0</v>
      </c>
      <c r="EV5" s="4">
        <v>0</v>
      </c>
      <c r="EW5" s="4">
        <v>0</v>
      </c>
      <c r="EX5" s="4">
        <v>0</v>
      </c>
      <c r="EY5" s="1">
        <v>9103</v>
      </c>
      <c r="EZ5" s="1">
        <v>90201</v>
      </c>
      <c r="FA5" s="1">
        <v>16283</v>
      </c>
      <c r="FB5" s="1">
        <v>3728</v>
      </c>
      <c r="FC5" s="1">
        <v>14863</v>
      </c>
      <c r="FD5" s="1">
        <v>12239</v>
      </c>
      <c r="FF5" s="1">
        <v>6704</v>
      </c>
      <c r="FG5" s="1">
        <v>28522</v>
      </c>
      <c r="FH5" s="1">
        <v>3728</v>
      </c>
      <c r="FI5" s="1">
        <v>21567</v>
      </c>
      <c r="FJ5" s="1">
        <v>53817</v>
      </c>
      <c r="FK5">
        <v>105</v>
      </c>
      <c r="FL5">
        <v>64</v>
      </c>
      <c r="FN5" s="1">
        <v>53817</v>
      </c>
      <c r="FO5" s="1">
        <v>2626</v>
      </c>
      <c r="FP5" s="1">
        <v>4454</v>
      </c>
      <c r="FQ5">
        <v>0</v>
      </c>
      <c r="FR5">
        <v>1</v>
      </c>
      <c r="FS5">
        <v>74</v>
      </c>
      <c r="FT5">
        <v>75</v>
      </c>
      <c r="FU5" s="1">
        <v>26725</v>
      </c>
      <c r="FV5" s="1">
        <v>2022</v>
      </c>
      <c r="FW5">
        <v>0</v>
      </c>
      <c r="GK5">
        <v>312</v>
      </c>
      <c r="GL5">
        <v>1</v>
      </c>
      <c r="GM5">
        <v>0</v>
      </c>
      <c r="GN5">
        <v>0</v>
      </c>
      <c r="GO5" s="1">
        <v>27037</v>
      </c>
      <c r="GP5" s="1">
        <v>2023</v>
      </c>
      <c r="GQ5">
        <v>0</v>
      </c>
      <c r="GR5">
        <v>0</v>
      </c>
      <c r="GS5">
        <v>20</v>
      </c>
      <c r="GU5" s="1">
        <v>28620</v>
      </c>
      <c r="GV5" s="1">
        <v>7404</v>
      </c>
      <c r="GW5" s="1">
        <v>36858</v>
      </c>
      <c r="GX5" s="1">
        <v>5880</v>
      </c>
      <c r="GZ5" s="1">
        <v>6120</v>
      </c>
      <c r="HA5" s="1">
        <v>34500</v>
      </c>
      <c r="HB5" s="1">
        <v>7404</v>
      </c>
      <c r="HC5" s="1">
        <v>42978</v>
      </c>
      <c r="HD5" s="1">
        <v>84882</v>
      </c>
      <c r="HE5">
        <v>558</v>
      </c>
      <c r="HF5" s="1">
        <v>85500</v>
      </c>
      <c r="HG5" s="1">
        <v>5952</v>
      </c>
      <c r="HH5" s="1">
        <v>19926</v>
      </c>
      <c r="HI5">
        <v>60</v>
      </c>
      <c r="HJ5">
        <v>0</v>
      </c>
      <c r="HK5" s="1">
        <v>25878</v>
      </c>
      <c r="HL5" s="1">
        <v>111378</v>
      </c>
      <c r="HM5">
        <v>73</v>
      </c>
      <c r="HN5">
        <v>227</v>
      </c>
      <c r="HO5">
        <v>300</v>
      </c>
      <c r="HP5">
        <v>408</v>
      </c>
      <c r="HQ5">
        <v>24</v>
      </c>
      <c r="HR5">
        <v>432</v>
      </c>
      <c r="HS5">
        <v>0</v>
      </c>
      <c r="HT5">
        <v>0</v>
      </c>
      <c r="HU5">
        <v>0</v>
      </c>
      <c r="HV5">
        <v>0</v>
      </c>
      <c r="HW5">
        <v>732</v>
      </c>
      <c r="HX5" s="1">
        <v>1193</v>
      </c>
      <c r="HY5">
        <v>119</v>
      </c>
      <c r="HZ5" s="1">
        <v>1312</v>
      </c>
      <c r="IA5" s="1">
        <v>2044</v>
      </c>
      <c r="IB5" s="1">
        <v>6384</v>
      </c>
      <c r="IC5" s="1">
        <v>26310</v>
      </c>
      <c r="ID5" s="1">
        <v>112110</v>
      </c>
      <c r="IE5" s="1">
        <v>112110</v>
      </c>
      <c r="IF5" s="1">
        <v>113422</v>
      </c>
      <c r="IG5" s="1">
        <v>42978</v>
      </c>
      <c r="IH5">
        <v>22</v>
      </c>
      <c r="IK5">
        <v>3</v>
      </c>
      <c r="IL5" s="3">
        <v>4.9399999999999999E-2</v>
      </c>
      <c r="IM5" s="3">
        <v>6.9999999999999999E-4</v>
      </c>
      <c r="IN5" s="3">
        <v>0.32219999999999999</v>
      </c>
      <c r="IO5" s="3">
        <v>0</v>
      </c>
      <c r="IP5" s="3">
        <v>0.29970000000000002</v>
      </c>
      <c r="IQ5" s="3">
        <v>8.0000000000000004E-4</v>
      </c>
      <c r="IR5" s="3">
        <v>0.59660000000000002</v>
      </c>
      <c r="IS5" s="3">
        <v>5.1499999999999997E-2</v>
      </c>
      <c r="IT5" s="3">
        <v>0.38340000000000002</v>
      </c>
      <c r="IU5" s="1">
        <v>16293</v>
      </c>
      <c r="IV5" s="1">
        <v>5141</v>
      </c>
      <c r="IW5" s="1">
        <v>21434</v>
      </c>
      <c r="IX5" s="3">
        <v>0.56479999999999997</v>
      </c>
      <c r="IY5" s="1">
        <v>34676</v>
      </c>
      <c r="JA5">
        <v>36</v>
      </c>
      <c r="JB5">
        <v>0</v>
      </c>
      <c r="JC5">
        <v>192</v>
      </c>
      <c r="JD5">
        <v>41</v>
      </c>
      <c r="JE5">
        <v>0</v>
      </c>
      <c r="JF5">
        <v>169</v>
      </c>
      <c r="JG5">
        <v>77</v>
      </c>
      <c r="JH5">
        <v>0</v>
      </c>
      <c r="JI5">
        <v>361</v>
      </c>
      <c r="JJ5">
        <v>438</v>
      </c>
      <c r="JK5">
        <v>228</v>
      </c>
      <c r="JL5">
        <v>210</v>
      </c>
      <c r="JM5">
        <v>627</v>
      </c>
      <c r="JN5">
        <v>0</v>
      </c>
      <c r="JO5" s="1">
        <v>3038</v>
      </c>
      <c r="JP5" s="1">
        <v>3716</v>
      </c>
      <c r="JQ5">
        <v>0</v>
      </c>
      <c r="JR5" s="1">
        <v>3851</v>
      </c>
      <c r="JS5" s="1">
        <v>4343</v>
      </c>
      <c r="JT5">
        <v>0</v>
      </c>
      <c r="JU5" s="1">
        <v>6889</v>
      </c>
      <c r="JV5" s="1">
        <v>11232</v>
      </c>
      <c r="JW5" s="1">
        <v>3665</v>
      </c>
      <c r="JX5" s="1">
        <v>7567</v>
      </c>
      <c r="JY5">
        <v>25.64</v>
      </c>
      <c r="JZ5">
        <v>56.4</v>
      </c>
      <c r="KA5">
        <v>19.079999999999998</v>
      </c>
      <c r="KB5">
        <v>0.39</v>
      </c>
      <c r="KC5">
        <v>0.61</v>
      </c>
      <c r="KD5">
        <v>0</v>
      </c>
      <c r="KE5">
        <v>0</v>
      </c>
      <c r="KF5">
        <v>4</v>
      </c>
      <c r="KG5">
        <v>27</v>
      </c>
      <c r="KN5" s="1">
        <v>3122</v>
      </c>
      <c r="KO5" s="1">
        <v>1967</v>
      </c>
      <c r="KP5">
        <v>756</v>
      </c>
      <c r="KT5">
        <v>355</v>
      </c>
      <c r="KU5">
        <v>281</v>
      </c>
      <c r="KV5">
        <v>12</v>
      </c>
      <c r="KW5">
        <v>13</v>
      </c>
      <c r="KX5" s="1">
        <v>12359</v>
      </c>
      <c r="KZ5" s="1">
        <v>45978</v>
      </c>
      <c r="LD5" t="s">
        <v>385</v>
      </c>
      <c r="LE5" t="s">
        <v>379</v>
      </c>
      <c r="LF5" t="s">
        <v>383</v>
      </c>
      <c r="LG5" t="s">
        <v>384</v>
      </c>
      <c r="LH5">
        <v>28681</v>
      </c>
      <c r="LI5">
        <v>2639</v>
      </c>
      <c r="LJ5" t="s">
        <v>383</v>
      </c>
      <c r="LK5" t="s">
        <v>384</v>
      </c>
      <c r="LL5">
        <v>28681</v>
      </c>
      <c r="LM5">
        <v>2639</v>
      </c>
      <c r="LN5" t="s">
        <v>386</v>
      </c>
      <c r="LO5">
        <v>8286324058</v>
      </c>
      <c r="LP5">
        <v>8286321094</v>
      </c>
      <c r="LQ5" s="1">
        <v>10620</v>
      </c>
      <c r="LR5">
        <v>15.33</v>
      </c>
      <c r="LT5" s="1">
        <v>3801</v>
      </c>
      <c r="LU5">
        <v>104</v>
      </c>
      <c r="LX5">
        <v>3</v>
      </c>
      <c r="LY5" t="s">
        <v>392</v>
      </c>
      <c r="LZ5">
        <v>0</v>
      </c>
      <c r="MA5" t="s">
        <v>363</v>
      </c>
      <c r="MB5">
        <v>2.13</v>
      </c>
      <c r="MC5">
        <v>39.11</v>
      </c>
      <c r="ME5" s="574">
        <v>4.03</v>
      </c>
      <c r="MF5" s="574">
        <v>2.95</v>
      </c>
      <c r="MG5" s="574">
        <v>0.36</v>
      </c>
      <c r="MH5" s="574">
        <v>21.08</v>
      </c>
      <c r="MI5" s="574">
        <v>15.44</v>
      </c>
      <c r="MJ5" s="574">
        <v>1.88</v>
      </c>
      <c r="MK5" s="574">
        <v>13.03</v>
      </c>
      <c r="ML5" s="574">
        <v>9.5399999999999991</v>
      </c>
      <c r="MM5" s="574">
        <v>1.1599999999999999</v>
      </c>
      <c r="MN5" s="574">
        <v>144.72999999999999</v>
      </c>
      <c r="MO5" s="574">
        <v>105.98</v>
      </c>
      <c r="MP5" s="574">
        <v>12.91</v>
      </c>
      <c r="MQ5" s="574">
        <v>40.229999999999997</v>
      </c>
      <c r="MR5" s="574">
        <v>29.46</v>
      </c>
      <c r="MS5" s="574">
        <v>3.59</v>
      </c>
      <c r="MT5" s="574">
        <v>10.51</v>
      </c>
      <c r="MU5" s="574">
        <v>7.7</v>
      </c>
      <c r="MV5" s="574">
        <v>0.94</v>
      </c>
      <c r="MW5">
        <v>405</v>
      </c>
      <c r="MX5" s="1">
        <v>3122</v>
      </c>
      <c r="MY5" s="1">
        <v>3122</v>
      </c>
      <c r="MZ5" s="1">
        <v>4503</v>
      </c>
      <c r="NA5" s="1">
        <v>34676</v>
      </c>
      <c r="NB5" s="1">
        <v>34676</v>
      </c>
      <c r="NC5" s="1">
        <v>112110</v>
      </c>
      <c r="ND5" s="1">
        <v>112110</v>
      </c>
      <c r="NE5">
        <v>1.24</v>
      </c>
      <c r="NF5" s="1">
        <v>14560</v>
      </c>
      <c r="NG5">
        <v>7</v>
      </c>
      <c r="NH5">
        <v>2.9540000000000002</v>
      </c>
      <c r="NI5">
        <v>0.91</v>
      </c>
      <c r="NJ5">
        <v>16.559999999999999</v>
      </c>
      <c r="NK5">
        <v>13.11</v>
      </c>
      <c r="NL5">
        <v>8.2299999999999998E-2</v>
      </c>
      <c r="NM5">
        <v>1.1324000000000001</v>
      </c>
      <c r="NN5">
        <v>0.56000000000000005</v>
      </c>
      <c r="NO5">
        <v>0.3</v>
      </c>
      <c r="NP5">
        <v>0.01</v>
      </c>
      <c r="NQ5">
        <v>0.01</v>
      </c>
      <c r="NR5">
        <v>0.33</v>
      </c>
      <c r="NS5">
        <v>0.11</v>
      </c>
      <c r="NT5">
        <v>0.18</v>
      </c>
      <c r="NU5" s="574">
        <v>8.7200000000000006</v>
      </c>
      <c r="NV5">
        <v>2.3769999999999998</v>
      </c>
      <c r="NW5">
        <v>0</v>
      </c>
      <c r="NX5">
        <v>2E-3</v>
      </c>
      <c r="NY5">
        <v>0.71199999999999997</v>
      </c>
      <c r="NZ5">
        <v>2E-3</v>
      </c>
      <c r="OA5">
        <v>4.6699999999999998E-2</v>
      </c>
      <c r="OB5">
        <v>0.35920000000000002</v>
      </c>
      <c r="OC5">
        <v>2.9860000000000002</v>
      </c>
      <c r="OD5">
        <v>1.4179999999999999</v>
      </c>
      <c r="OE5">
        <v>0.17649999999999999</v>
      </c>
      <c r="OF5" s="2">
        <v>1261.4069999999999</v>
      </c>
      <c r="OG5">
        <v>3.4990000000000001</v>
      </c>
      <c r="OH5" s="574">
        <v>2.13</v>
      </c>
      <c r="OI5">
        <v>217</v>
      </c>
      <c r="OJ5">
        <v>208</v>
      </c>
      <c r="OK5" s="574">
        <v>11.91</v>
      </c>
      <c r="OL5" s="574">
        <v>1.06</v>
      </c>
      <c r="OM5" s="574">
        <v>0.79</v>
      </c>
      <c r="ON5">
        <v>0.2029</v>
      </c>
      <c r="OO5">
        <v>2.64E-2</v>
      </c>
      <c r="OP5">
        <v>0.31259999999999999</v>
      </c>
      <c r="OQ5" s="574">
        <v>2.52</v>
      </c>
      <c r="OR5" s="574">
        <v>12.97</v>
      </c>
      <c r="OS5" s="574">
        <v>0.31</v>
      </c>
      <c r="OT5" s="574">
        <v>0.32</v>
      </c>
      <c r="OU5" s="574">
        <v>16.12</v>
      </c>
      <c r="OV5">
        <v>7</v>
      </c>
      <c r="OW5">
        <v>5</v>
      </c>
      <c r="OX5">
        <v>3.23</v>
      </c>
      <c r="OY5" s="1">
        <v>2156</v>
      </c>
      <c r="OZ5">
        <v>9.1199999999999992</v>
      </c>
      <c r="PA5">
        <v>667</v>
      </c>
      <c r="PB5">
        <v>0.82</v>
      </c>
      <c r="PC5">
        <v>29.49</v>
      </c>
      <c r="PD5">
        <v>0.09</v>
      </c>
      <c r="PE5">
        <v>60</v>
      </c>
      <c r="PF5">
        <v>0.8</v>
      </c>
      <c r="PG5" s="574">
        <v>1.1599999999999999</v>
      </c>
      <c r="PH5">
        <v>2.6</v>
      </c>
      <c r="PI5">
        <v>10.02</v>
      </c>
      <c r="PJ5">
        <v>5.23</v>
      </c>
      <c r="PK5" s="574">
        <v>13.03</v>
      </c>
      <c r="PL5">
        <v>36.549999999999997</v>
      </c>
      <c r="PM5" s="4">
        <v>42969</v>
      </c>
      <c r="PN5" s="4">
        <v>31195</v>
      </c>
      <c r="PO5">
        <v>6.8699999999999997E-2</v>
      </c>
      <c r="PP5">
        <v>2.4664000000000001</v>
      </c>
      <c r="PQ5">
        <v>0.22209999999999999</v>
      </c>
      <c r="PR5">
        <v>8.8999999999999999E-3</v>
      </c>
      <c r="PS5">
        <v>0.32029999999999997</v>
      </c>
      <c r="PT5">
        <v>2.8799999999999999E-2</v>
      </c>
      <c r="PU5" s="3">
        <v>1</v>
      </c>
      <c r="PV5" s="3">
        <v>0.12989999999999999</v>
      </c>
      <c r="PW5" s="3">
        <v>0.87009999999999998</v>
      </c>
      <c r="PX5" s="3">
        <v>0.27400000000000002</v>
      </c>
      <c r="PY5" s="3">
        <v>0.72599999999999998</v>
      </c>
      <c r="PZ5" s="3">
        <v>8.9200000000000002E-2</v>
      </c>
      <c r="QA5" s="3">
        <v>6.7999999999999996E-3</v>
      </c>
      <c r="QB5" s="3">
        <v>0.2006</v>
      </c>
      <c r="QC5" s="3">
        <v>1.61E-2</v>
      </c>
      <c r="QD5" s="3">
        <v>0.17849999999999999</v>
      </c>
      <c r="QE5" s="3">
        <v>6.6299999999999998E-2</v>
      </c>
      <c r="QF5" s="3">
        <v>0.53159999999999996</v>
      </c>
      <c r="QG5" s="3">
        <v>0.73219999999999996</v>
      </c>
      <c r="QH5" s="3">
        <v>1.9300000000000001E-2</v>
      </c>
      <c r="QI5" s="3">
        <v>0.80449999999999999</v>
      </c>
      <c r="QJ5" s="3">
        <v>1.9699999999999999E-2</v>
      </c>
      <c r="QK5" s="3">
        <v>0.1565</v>
      </c>
      <c r="QL5" s="4">
        <v>11774</v>
      </c>
      <c r="QM5">
        <v>1.62</v>
      </c>
      <c r="QN5" s="1">
        <v>37952</v>
      </c>
      <c r="QO5" s="1">
        <v>37952</v>
      </c>
      <c r="QP5" s="1">
        <v>4929</v>
      </c>
      <c r="QQ5" s="3">
        <v>0.74309999999999998</v>
      </c>
      <c r="QR5" s="3">
        <v>7.6399999999999996E-2</v>
      </c>
      <c r="QS5" s="3">
        <v>0.18049999999999999</v>
      </c>
      <c r="QT5" s="3">
        <v>0.12989999999999999</v>
      </c>
      <c r="QU5">
        <v>0.47</v>
      </c>
      <c r="QV5">
        <v>1.24</v>
      </c>
      <c r="QW5">
        <v>0.34</v>
      </c>
      <c r="QX5">
        <v>36</v>
      </c>
      <c r="QY5">
        <v>3.74</v>
      </c>
      <c r="QZ5">
        <v>15</v>
      </c>
      <c r="RA5">
        <v>2.78</v>
      </c>
      <c r="RB5">
        <v>0.25</v>
      </c>
      <c r="RC5">
        <v>0.18</v>
      </c>
    </row>
    <row r="6" spans="1:471" x14ac:dyDescent="0.25">
      <c r="A6" t="s">
        <v>393</v>
      </c>
      <c r="B6">
        <v>11641</v>
      </c>
      <c r="C6" t="s">
        <v>1754</v>
      </c>
      <c r="D6" t="s">
        <v>1754</v>
      </c>
      <c r="E6" t="s">
        <v>1754</v>
      </c>
      <c r="F6" t="s">
        <v>1755</v>
      </c>
      <c r="G6" t="s">
        <v>1755</v>
      </c>
      <c r="H6" t="s">
        <v>394</v>
      </c>
      <c r="I6" t="s">
        <v>342</v>
      </c>
      <c r="J6" t="s">
        <v>366</v>
      </c>
      <c r="K6" t="s">
        <v>395</v>
      </c>
      <c r="L6" t="s">
        <v>345</v>
      </c>
      <c r="M6" t="s">
        <v>367</v>
      </c>
      <c r="N6" t="s">
        <v>347</v>
      </c>
      <c r="O6" s="1">
        <v>150732</v>
      </c>
      <c r="P6" t="s">
        <v>348</v>
      </c>
      <c r="Q6" s="1">
        <v>1805</v>
      </c>
      <c r="R6">
        <v>280</v>
      </c>
      <c r="S6">
        <v>265</v>
      </c>
      <c r="T6">
        <v>48</v>
      </c>
      <c r="U6" s="1">
        <v>11099</v>
      </c>
      <c r="V6">
        <v>342</v>
      </c>
      <c r="W6" s="1">
        <v>76016</v>
      </c>
      <c r="X6" s="1">
        <v>9228</v>
      </c>
      <c r="Y6" s="1">
        <v>359640</v>
      </c>
      <c r="Z6" s="1">
        <v>323604</v>
      </c>
      <c r="AC6" t="s">
        <v>396</v>
      </c>
      <c r="AD6" t="s">
        <v>397</v>
      </c>
      <c r="AE6">
        <v>28694</v>
      </c>
      <c r="AG6" t="s">
        <v>396</v>
      </c>
      <c r="AH6" t="s">
        <v>397</v>
      </c>
      <c r="AI6">
        <v>28694</v>
      </c>
      <c r="AJ6">
        <v>2</v>
      </c>
      <c r="AK6" t="s">
        <v>398</v>
      </c>
      <c r="AM6" t="s">
        <v>372</v>
      </c>
      <c r="AN6" t="s">
        <v>399</v>
      </c>
      <c r="AO6" t="s">
        <v>400</v>
      </c>
      <c r="AP6">
        <v>3368462041</v>
      </c>
      <c r="AQ6" t="s">
        <v>402</v>
      </c>
      <c r="AR6" t="s">
        <v>403</v>
      </c>
      <c r="AS6" t="s">
        <v>400</v>
      </c>
      <c r="AT6" t="s">
        <v>404</v>
      </c>
      <c r="AU6" t="s">
        <v>401</v>
      </c>
      <c r="AV6" t="s">
        <v>402</v>
      </c>
      <c r="AW6" t="s">
        <v>403</v>
      </c>
      <c r="AX6" t="s">
        <v>405</v>
      </c>
      <c r="AY6">
        <v>0</v>
      </c>
      <c r="AZ6">
        <v>0</v>
      </c>
      <c r="BA6">
        <v>0</v>
      </c>
      <c r="BB6" s="573">
        <v>42186</v>
      </c>
      <c r="BC6" s="573">
        <v>42551</v>
      </c>
      <c r="BD6">
        <v>0</v>
      </c>
      <c r="BE6">
        <v>5</v>
      </c>
      <c r="BF6">
        <v>0</v>
      </c>
      <c r="BG6">
        <v>3</v>
      </c>
      <c r="BH6">
        <v>8</v>
      </c>
      <c r="BJ6" s="1">
        <v>11300</v>
      </c>
      <c r="BK6">
        <v>7.63</v>
      </c>
      <c r="BL6">
        <v>3</v>
      </c>
      <c r="BM6">
        <v>10.63</v>
      </c>
      <c r="BN6">
        <v>33.83</v>
      </c>
      <c r="BO6">
        <v>44.46</v>
      </c>
      <c r="BP6" s="3">
        <v>0.1716</v>
      </c>
      <c r="BQ6" s="1">
        <v>6447</v>
      </c>
      <c r="BR6" s="4">
        <v>67619</v>
      </c>
      <c r="DW6" s="4">
        <v>2000</v>
      </c>
      <c r="DX6" s="4">
        <v>1507766</v>
      </c>
      <c r="DY6" s="4">
        <v>1509766</v>
      </c>
      <c r="DZ6" s="4">
        <v>382787</v>
      </c>
      <c r="EA6" s="4">
        <v>0</v>
      </c>
      <c r="EB6" s="4">
        <v>382787</v>
      </c>
      <c r="EC6" s="4">
        <v>43648</v>
      </c>
      <c r="ED6" s="4">
        <v>0</v>
      </c>
      <c r="EE6" s="4">
        <v>43648</v>
      </c>
      <c r="EF6" s="4">
        <v>278507</v>
      </c>
      <c r="EG6" s="4">
        <v>2214708</v>
      </c>
      <c r="EH6" s="4">
        <v>1258852</v>
      </c>
      <c r="EI6" s="4">
        <v>371322</v>
      </c>
      <c r="EJ6" s="4">
        <v>1630174</v>
      </c>
      <c r="EK6" s="4">
        <v>123379</v>
      </c>
      <c r="EL6" s="4">
        <v>16825</v>
      </c>
      <c r="EM6" s="4">
        <v>23898</v>
      </c>
      <c r="EN6" s="4">
        <v>164102</v>
      </c>
      <c r="EO6" s="4">
        <v>402117</v>
      </c>
      <c r="EP6" s="4">
        <v>2196393</v>
      </c>
      <c r="EQ6" s="4">
        <v>18315</v>
      </c>
      <c r="ER6" s="3">
        <v>8.3000000000000001E-3</v>
      </c>
      <c r="ES6" s="4">
        <v>0</v>
      </c>
      <c r="ET6" s="4">
        <v>0</v>
      </c>
      <c r="EU6" s="4">
        <v>0</v>
      </c>
      <c r="EV6" s="4">
        <v>0</v>
      </c>
      <c r="EW6" s="4">
        <v>0</v>
      </c>
      <c r="EX6" s="4">
        <v>0</v>
      </c>
      <c r="EY6" s="1">
        <v>21784</v>
      </c>
      <c r="EZ6" s="1">
        <v>259258</v>
      </c>
      <c r="FA6" s="1">
        <v>67211</v>
      </c>
      <c r="FB6" s="1">
        <v>10647</v>
      </c>
      <c r="FC6" s="1">
        <v>47412</v>
      </c>
      <c r="FD6" s="1">
        <v>61237</v>
      </c>
      <c r="FE6">
        <v>275</v>
      </c>
      <c r="FF6" s="1">
        <v>16802</v>
      </c>
      <c r="FG6" s="1">
        <v>128448</v>
      </c>
      <c r="FH6" s="1">
        <v>10922</v>
      </c>
      <c r="FI6" s="1">
        <v>64214</v>
      </c>
      <c r="FJ6" s="1">
        <v>203584</v>
      </c>
      <c r="FK6" s="1">
        <v>2707</v>
      </c>
      <c r="FL6">
        <v>194</v>
      </c>
      <c r="FN6" s="1">
        <v>203584</v>
      </c>
      <c r="FO6" s="1">
        <v>8978</v>
      </c>
      <c r="FP6" s="1">
        <v>10624</v>
      </c>
      <c r="FQ6">
        <v>423</v>
      </c>
      <c r="FR6">
        <v>1</v>
      </c>
      <c r="FS6">
        <v>74</v>
      </c>
      <c r="FT6">
        <v>75</v>
      </c>
      <c r="FU6" s="1">
        <v>26725</v>
      </c>
      <c r="FV6" s="1">
        <v>2022</v>
      </c>
      <c r="FW6">
        <v>0</v>
      </c>
      <c r="GK6" s="1">
        <v>3766</v>
      </c>
      <c r="GL6">
        <v>160</v>
      </c>
      <c r="GM6">
        <v>0</v>
      </c>
      <c r="GN6">
        <v>0</v>
      </c>
      <c r="GO6" s="1">
        <v>30491</v>
      </c>
      <c r="GP6" s="1">
        <v>2182</v>
      </c>
      <c r="GQ6">
        <v>0</v>
      </c>
      <c r="GR6">
        <v>0</v>
      </c>
      <c r="GS6">
        <v>198</v>
      </c>
      <c r="GU6" s="1">
        <v>181279</v>
      </c>
      <c r="GV6" s="1">
        <v>28017</v>
      </c>
      <c r="GW6" s="1">
        <v>160138</v>
      </c>
      <c r="GX6" s="1">
        <v>51033</v>
      </c>
      <c r="GY6">
        <v>457</v>
      </c>
      <c r="GZ6" s="1">
        <v>33936</v>
      </c>
      <c r="HA6" s="1">
        <v>232312</v>
      </c>
      <c r="HB6" s="1">
        <v>28474</v>
      </c>
      <c r="HC6" s="1">
        <v>194074</v>
      </c>
      <c r="HD6" s="1">
        <v>454860</v>
      </c>
      <c r="HE6" s="1">
        <v>4026</v>
      </c>
      <c r="HF6" s="1">
        <v>470246</v>
      </c>
      <c r="HG6" s="1">
        <v>38370</v>
      </c>
      <c r="HH6" s="1">
        <v>120258</v>
      </c>
      <c r="HI6" s="1">
        <v>11360</v>
      </c>
      <c r="HJ6">
        <v>824</v>
      </c>
      <c r="HK6" s="1">
        <v>159452</v>
      </c>
      <c r="HL6" s="1">
        <v>629698</v>
      </c>
      <c r="HM6">
        <v>37</v>
      </c>
      <c r="HN6" s="1">
        <v>12039</v>
      </c>
      <c r="HO6" s="1">
        <v>12076</v>
      </c>
      <c r="HP6">
        <v>252</v>
      </c>
      <c r="HQ6" s="1">
        <v>1890</v>
      </c>
      <c r="HR6" s="1">
        <v>2142</v>
      </c>
      <c r="HS6">
        <v>0</v>
      </c>
      <c r="HT6">
        <v>0</v>
      </c>
      <c r="HU6">
        <v>0</v>
      </c>
      <c r="HV6">
        <v>0</v>
      </c>
      <c r="HW6" s="1">
        <v>14218</v>
      </c>
      <c r="HX6" s="1">
        <v>24606</v>
      </c>
      <c r="HY6" s="1">
        <v>56554</v>
      </c>
      <c r="HZ6" s="1">
        <v>81160</v>
      </c>
      <c r="IA6" s="1">
        <v>95378</v>
      </c>
      <c r="IB6" s="1">
        <v>40512</v>
      </c>
      <c r="IC6" s="1">
        <v>160770</v>
      </c>
      <c r="ID6" s="1">
        <v>643916</v>
      </c>
      <c r="IE6" s="1">
        <v>643916</v>
      </c>
      <c r="IF6" s="1">
        <v>725076</v>
      </c>
      <c r="IG6" s="1">
        <v>222548</v>
      </c>
      <c r="IH6">
        <v>807</v>
      </c>
      <c r="IK6">
        <v>1</v>
      </c>
      <c r="IL6" s="3">
        <v>4.1000000000000002E-2</v>
      </c>
      <c r="IM6" s="3">
        <v>6.9999999999999999E-4</v>
      </c>
      <c r="IN6" s="3">
        <v>0.126</v>
      </c>
      <c r="IO6" s="3">
        <v>0</v>
      </c>
      <c r="IP6" s="3">
        <v>0.1176</v>
      </c>
      <c r="IQ6" s="3">
        <v>2.9999999999999997E-4</v>
      </c>
      <c r="IR6" s="3">
        <v>0.7853</v>
      </c>
      <c r="IS6" s="3">
        <v>4.2999999999999997E-2</v>
      </c>
      <c r="IT6" s="3">
        <v>0.34560000000000002</v>
      </c>
      <c r="IU6" s="1">
        <v>60946</v>
      </c>
      <c r="IV6" s="1">
        <v>15101</v>
      </c>
      <c r="IW6" s="1">
        <v>76047</v>
      </c>
      <c r="IX6" s="3">
        <v>0.50449999999999995</v>
      </c>
      <c r="IY6" s="1">
        <v>409993</v>
      </c>
      <c r="JA6">
        <v>395</v>
      </c>
      <c r="JB6">
        <v>136</v>
      </c>
      <c r="JC6" s="1">
        <v>1025</v>
      </c>
      <c r="JD6">
        <v>102</v>
      </c>
      <c r="JE6">
        <v>15</v>
      </c>
      <c r="JF6">
        <v>73</v>
      </c>
      <c r="JG6">
        <v>497</v>
      </c>
      <c r="JH6">
        <v>151</v>
      </c>
      <c r="JI6" s="1">
        <v>1098</v>
      </c>
      <c r="JJ6" s="1">
        <v>1746</v>
      </c>
      <c r="JK6" s="1">
        <v>1556</v>
      </c>
      <c r="JL6">
        <v>190</v>
      </c>
      <c r="JM6" s="1">
        <v>4107</v>
      </c>
      <c r="JN6" s="1">
        <v>1455</v>
      </c>
      <c r="JO6" s="1">
        <v>22881</v>
      </c>
      <c r="JP6" s="1">
        <v>1285</v>
      </c>
      <c r="JQ6">
        <v>324</v>
      </c>
      <c r="JR6" s="1">
        <v>4696</v>
      </c>
      <c r="JS6" s="1">
        <v>5392</v>
      </c>
      <c r="JT6" s="1">
        <v>1779</v>
      </c>
      <c r="JU6" s="1">
        <v>27577</v>
      </c>
      <c r="JV6" s="1">
        <v>34748</v>
      </c>
      <c r="JW6" s="1">
        <v>28443</v>
      </c>
      <c r="JX6" s="1">
        <v>6305</v>
      </c>
      <c r="JY6">
        <v>19.899999999999999</v>
      </c>
      <c r="JZ6">
        <v>10.85</v>
      </c>
      <c r="KA6">
        <v>25.12</v>
      </c>
      <c r="KB6">
        <v>0.16</v>
      </c>
      <c r="KC6">
        <v>0.79</v>
      </c>
      <c r="KD6">
        <v>0</v>
      </c>
      <c r="KE6">
        <v>0</v>
      </c>
      <c r="KF6">
        <v>44</v>
      </c>
      <c r="KG6">
        <v>258</v>
      </c>
      <c r="KN6" s="1">
        <v>33278</v>
      </c>
      <c r="KO6" s="1">
        <v>11430</v>
      </c>
      <c r="KP6" s="1">
        <v>3752</v>
      </c>
      <c r="KR6" s="1">
        <v>1537</v>
      </c>
      <c r="KS6" s="1">
        <v>10968</v>
      </c>
      <c r="KT6" s="1">
        <v>37170</v>
      </c>
      <c r="KU6" s="1">
        <v>38214</v>
      </c>
      <c r="KV6">
        <v>66</v>
      </c>
      <c r="KW6">
        <v>130</v>
      </c>
      <c r="KX6" s="1">
        <v>78741</v>
      </c>
      <c r="KZ6" s="1">
        <v>281272</v>
      </c>
      <c r="LA6" s="1">
        <v>35195</v>
      </c>
      <c r="LD6" t="s">
        <v>406</v>
      </c>
      <c r="LE6" t="s">
        <v>379</v>
      </c>
      <c r="LF6" t="s">
        <v>396</v>
      </c>
      <c r="LG6" t="s">
        <v>397</v>
      </c>
      <c r="LH6">
        <v>28694</v>
      </c>
      <c r="LI6">
        <v>9793</v>
      </c>
      <c r="LJ6" t="s">
        <v>396</v>
      </c>
      <c r="LK6" t="s">
        <v>397</v>
      </c>
      <c r="LL6">
        <v>28694</v>
      </c>
      <c r="LN6" t="s">
        <v>399</v>
      </c>
      <c r="LO6">
        <v>3368462041</v>
      </c>
      <c r="LP6">
        <v>3368467503</v>
      </c>
      <c r="LQ6" s="1">
        <v>71101</v>
      </c>
      <c r="LR6">
        <v>42.28</v>
      </c>
      <c r="LT6" s="1">
        <v>11300</v>
      </c>
      <c r="LU6">
        <v>260</v>
      </c>
      <c r="LX6">
        <v>7</v>
      </c>
      <c r="LY6" t="s">
        <v>407</v>
      </c>
      <c r="LZ6">
        <v>0</v>
      </c>
      <c r="MA6" t="s">
        <v>408</v>
      </c>
      <c r="MB6">
        <v>20</v>
      </c>
      <c r="MC6">
        <v>20</v>
      </c>
      <c r="ME6" s="574">
        <v>3.41</v>
      </c>
      <c r="MF6" s="574">
        <v>2.5299999999999998</v>
      </c>
      <c r="MG6" s="574">
        <v>0.25</v>
      </c>
      <c r="MH6" s="574">
        <v>28.88</v>
      </c>
      <c r="MI6" s="574">
        <v>21.44</v>
      </c>
      <c r="MJ6" s="574">
        <v>2.16</v>
      </c>
      <c r="MK6" s="574">
        <v>5.36</v>
      </c>
      <c r="ML6" s="574">
        <v>3.98</v>
      </c>
      <c r="MM6" s="574">
        <v>0.4</v>
      </c>
      <c r="MN6" s="574">
        <v>66</v>
      </c>
      <c r="MO6" s="574">
        <v>48.99</v>
      </c>
      <c r="MP6" s="574">
        <v>4.93</v>
      </c>
      <c r="MQ6" s="574">
        <v>63.21</v>
      </c>
      <c r="MR6" s="574">
        <v>46.91</v>
      </c>
      <c r="MS6" s="574">
        <v>4.72</v>
      </c>
      <c r="MT6" s="574">
        <v>9.8699999999999992</v>
      </c>
      <c r="MU6" s="574">
        <v>7.33</v>
      </c>
      <c r="MV6" s="574">
        <v>0.74</v>
      </c>
      <c r="MW6">
        <v>748</v>
      </c>
      <c r="MX6" s="1">
        <v>4361</v>
      </c>
      <c r="MY6" s="1">
        <v>3131</v>
      </c>
      <c r="MZ6" s="1">
        <v>9222</v>
      </c>
      <c r="NA6" s="1">
        <v>53734</v>
      </c>
      <c r="NB6" s="1">
        <v>38569</v>
      </c>
      <c r="NC6" s="1">
        <v>60575</v>
      </c>
      <c r="ND6" s="1">
        <v>84393</v>
      </c>
      <c r="NE6">
        <v>2.48</v>
      </c>
      <c r="NF6" s="1">
        <v>14483</v>
      </c>
      <c r="NG6">
        <v>6.96</v>
      </c>
      <c r="NH6">
        <v>4.2720000000000002</v>
      </c>
      <c r="NI6">
        <v>2.72</v>
      </c>
      <c r="NJ6">
        <v>488.78</v>
      </c>
      <c r="NK6">
        <v>502.51</v>
      </c>
      <c r="NL6">
        <v>0.2208</v>
      </c>
      <c r="NM6">
        <v>1.4764999999999999</v>
      </c>
      <c r="NN6">
        <v>0.5</v>
      </c>
      <c r="NO6">
        <v>0.23</v>
      </c>
      <c r="NP6">
        <v>0.25</v>
      </c>
      <c r="NQ6">
        <v>0.25</v>
      </c>
      <c r="NR6">
        <v>0.52</v>
      </c>
      <c r="NS6">
        <v>0.04</v>
      </c>
      <c r="NT6">
        <v>0.18</v>
      </c>
      <c r="NU6" s="574">
        <v>10.82</v>
      </c>
      <c r="NV6">
        <v>1.72</v>
      </c>
      <c r="NW6">
        <v>0</v>
      </c>
      <c r="NX6">
        <v>1E-3</v>
      </c>
      <c r="NY6">
        <v>0.20200000000000001</v>
      </c>
      <c r="NZ6">
        <v>1E-3</v>
      </c>
      <c r="OA6">
        <v>0.1003</v>
      </c>
      <c r="OB6">
        <v>0.58460000000000001</v>
      </c>
      <c r="OC6">
        <v>2.5510000000000002</v>
      </c>
      <c r="OD6">
        <v>1.351</v>
      </c>
      <c r="OE6">
        <v>0.22439999999999999</v>
      </c>
      <c r="OF6">
        <v>400.94900000000001</v>
      </c>
      <c r="OG6">
        <v>0.98599999999999999</v>
      </c>
      <c r="OH6" s="574">
        <v>2.67</v>
      </c>
      <c r="OI6">
        <v>147</v>
      </c>
      <c r="OJ6">
        <v>140</v>
      </c>
      <c r="OK6" s="574">
        <v>14.57</v>
      </c>
      <c r="OL6" s="574">
        <v>1.0900000000000001</v>
      </c>
      <c r="OM6" s="574">
        <v>0.82</v>
      </c>
      <c r="ON6">
        <v>0.29499999999999998</v>
      </c>
      <c r="OO6">
        <v>5.0599999999999999E-2</v>
      </c>
      <c r="OP6">
        <v>0.44490000000000002</v>
      </c>
      <c r="OQ6" s="574">
        <v>2.54</v>
      </c>
      <c r="OR6" s="574">
        <v>10.02</v>
      </c>
      <c r="OS6" s="574">
        <v>0.28999999999999998</v>
      </c>
      <c r="OT6" s="574">
        <v>1.85</v>
      </c>
      <c r="OU6" s="574">
        <v>14.69</v>
      </c>
      <c r="OV6">
        <v>715</v>
      </c>
      <c r="OW6">
        <v>735</v>
      </c>
      <c r="OX6">
        <v>1.57</v>
      </c>
      <c r="OY6" s="1">
        <v>12383</v>
      </c>
      <c r="OZ6">
        <v>36.28</v>
      </c>
      <c r="PA6" s="1">
        <v>7884</v>
      </c>
      <c r="PB6">
        <v>2.94</v>
      </c>
      <c r="PC6">
        <v>56.98</v>
      </c>
      <c r="PD6">
        <v>0.08</v>
      </c>
      <c r="PE6">
        <v>640</v>
      </c>
      <c r="PF6">
        <v>0.4</v>
      </c>
      <c r="PG6" s="574">
        <v>0.4</v>
      </c>
      <c r="PH6">
        <v>0.63</v>
      </c>
      <c r="PI6">
        <v>7.5</v>
      </c>
      <c r="PJ6">
        <v>8.4700000000000006</v>
      </c>
      <c r="PK6" s="574">
        <v>5.36</v>
      </c>
      <c r="PL6">
        <v>27.16</v>
      </c>
      <c r="PM6" s="4">
        <v>36666</v>
      </c>
      <c r="PN6" s="4">
        <v>28314</v>
      </c>
      <c r="PO6">
        <v>6.9099999999999995E-2</v>
      </c>
      <c r="PP6">
        <v>1.3360000000000001</v>
      </c>
      <c r="PQ6">
        <v>0.1084</v>
      </c>
      <c r="PR6">
        <v>1.1900000000000001E-2</v>
      </c>
      <c r="PS6">
        <v>0.2293</v>
      </c>
      <c r="PT6">
        <v>1.8599999999999998E-2</v>
      </c>
      <c r="PU6" s="3">
        <v>0.71779999999999999</v>
      </c>
      <c r="PV6" s="3">
        <v>0.23910000000000001</v>
      </c>
      <c r="PW6" s="3">
        <v>0.76090000000000002</v>
      </c>
      <c r="PX6" s="3">
        <v>0.2278</v>
      </c>
      <c r="PY6" s="3">
        <v>0.7722</v>
      </c>
      <c r="PZ6" s="3">
        <v>7.4700000000000003E-2</v>
      </c>
      <c r="QA6" s="3">
        <v>7.7000000000000002E-3</v>
      </c>
      <c r="QB6" s="3">
        <v>0.1691</v>
      </c>
      <c r="QC6" s="3">
        <v>1.09E-2</v>
      </c>
      <c r="QD6" s="3">
        <v>0.18310000000000001</v>
      </c>
      <c r="QE6" s="3">
        <v>5.62E-2</v>
      </c>
      <c r="QF6" s="3">
        <v>0.57310000000000005</v>
      </c>
      <c r="QG6" s="3">
        <v>0.74219999999999997</v>
      </c>
      <c r="QH6" s="3">
        <v>1.9699999999999999E-2</v>
      </c>
      <c r="QI6" s="3">
        <v>0.68169999999999997</v>
      </c>
      <c r="QJ6" s="3">
        <v>0.1258</v>
      </c>
      <c r="QK6" s="3">
        <v>0.17280000000000001</v>
      </c>
      <c r="QL6" s="4">
        <v>8352</v>
      </c>
      <c r="QM6">
        <v>5.39</v>
      </c>
      <c r="QN6" s="1">
        <v>14180</v>
      </c>
      <c r="QO6" s="1">
        <v>19755</v>
      </c>
      <c r="QP6" s="1">
        <v>3390</v>
      </c>
      <c r="QQ6" s="3">
        <v>0.75180000000000002</v>
      </c>
      <c r="QR6" s="3">
        <v>0.10249999999999999</v>
      </c>
      <c r="QS6" s="3">
        <v>0.14560000000000001</v>
      </c>
      <c r="QT6" s="3">
        <v>0.1716</v>
      </c>
      <c r="QU6">
        <v>0.51</v>
      </c>
      <c r="QV6">
        <v>1.73</v>
      </c>
      <c r="QW6">
        <v>0.4</v>
      </c>
      <c r="QX6">
        <v>38</v>
      </c>
      <c r="QY6">
        <v>5.22</v>
      </c>
      <c r="QZ6">
        <v>27</v>
      </c>
      <c r="RA6">
        <v>3.92</v>
      </c>
      <c r="RB6">
        <v>0.28999999999999998</v>
      </c>
      <c r="RC6">
        <v>0.28999999999999998</v>
      </c>
    </row>
    <row r="7" spans="1:471" x14ac:dyDescent="0.25">
      <c r="A7" t="s">
        <v>409</v>
      </c>
      <c r="B7">
        <v>11642</v>
      </c>
      <c r="C7" t="s">
        <v>1754</v>
      </c>
      <c r="D7" t="s">
        <v>1754</v>
      </c>
      <c r="E7" t="s">
        <v>1754</v>
      </c>
      <c r="F7" t="s">
        <v>1755</v>
      </c>
      <c r="G7" t="s">
        <v>1755</v>
      </c>
      <c r="H7" t="s">
        <v>410</v>
      </c>
      <c r="I7" t="s">
        <v>342</v>
      </c>
      <c r="J7" t="s">
        <v>366</v>
      </c>
      <c r="K7" t="s">
        <v>395</v>
      </c>
      <c r="L7" t="s">
        <v>345</v>
      </c>
      <c r="M7" t="s">
        <v>367</v>
      </c>
      <c r="N7" t="s">
        <v>347</v>
      </c>
      <c r="O7" s="1">
        <v>51110</v>
      </c>
      <c r="P7" t="s">
        <v>472</v>
      </c>
      <c r="Q7">
        <v>80</v>
      </c>
      <c r="S7">
        <v>23</v>
      </c>
      <c r="U7">
        <v>428</v>
      </c>
      <c r="W7" s="1">
        <v>8738</v>
      </c>
      <c r="Y7" s="1">
        <v>26400</v>
      </c>
      <c r="AC7" t="s">
        <v>411</v>
      </c>
      <c r="AD7" t="s">
        <v>412</v>
      </c>
      <c r="AE7">
        <v>28714</v>
      </c>
      <c r="AF7">
        <v>310</v>
      </c>
      <c r="AG7" t="s">
        <v>413</v>
      </c>
      <c r="AH7" t="s">
        <v>412</v>
      </c>
      <c r="AI7">
        <v>28714</v>
      </c>
      <c r="AJ7">
        <v>2</v>
      </c>
      <c r="AK7" t="s">
        <v>414</v>
      </c>
      <c r="AM7" t="s">
        <v>372</v>
      </c>
      <c r="AN7" t="s">
        <v>415</v>
      </c>
      <c r="AO7" t="s">
        <v>416</v>
      </c>
      <c r="AP7">
        <v>8286824476</v>
      </c>
      <c r="AQ7" t="s">
        <v>418</v>
      </c>
      <c r="AR7" t="s">
        <v>419</v>
      </c>
      <c r="AS7" t="s">
        <v>1896</v>
      </c>
      <c r="AT7" t="s">
        <v>1897</v>
      </c>
      <c r="AU7" t="s">
        <v>417</v>
      </c>
      <c r="AV7" t="s">
        <v>418</v>
      </c>
      <c r="AW7" t="s">
        <v>420</v>
      </c>
      <c r="AX7" t="s">
        <v>421</v>
      </c>
      <c r="AY7">
        <v>0</v>
      </c>
      <c r="AZ7">
        <v>0</v>
      </c>
      <c r="BA7">
        <v>0</v>
      </c>
      <c r="BB7" s="573">
        <v>42186</v>
      </c>
      <c r="BC7" s="573">
        <v>42551</v>
      </c>
      <c r="BD7">
        <v>0</v>
      </c>
      <c r="BE7">
        <v>4</v>
      </c>
      <c r="BF7">
        <v>1</v>
      </c>
      <c r="BG7">
        <v>1</v>
      </c>
      <c r="BH7">
        <v>6</v>
      </c>
      <c r="BJ7" s="1">
        <v>11832</v>
      </c>
      <c r="BK7">
        <v>2</v>
      </c>
      <c r="BL7">
        <v>0</v>
      </c>
      <c r="BM7">
        <v>2</v>
      </c>
      <c r="BN7">
        <v>17</v>
      </c>
      <c r="BO7">
        <v>19</v>
      </c>
      <c r="BP7" s="3">
        <v>0.1053</v>
      </c>
      <c r="BQ7" s="1">
        <v>1733</v>
      </c>
      <c r="BR7" s="4">
        <v>41376</v>
      </c>
      <c r="DW7" s="4">
        <v>80957</v>
      </c>
      <c r="DX7" s="4">
        <v>314154</v>
      </c>
      <c r="DY7" s="4">
        <v>395111</v>
      </c>
      <c r="DZ7" s="4">
        <v>297005</v>
      </c>
      <c r="EA7" s="4">
        <v>0</v>
      </c>
      <c r="EB7" s="4">
        <v>297005</v>
      </c>
      <c r="EC7" s="4">
        <v>4916</v>
      </c>
      <c r="ED7" s="4">
        <v>0</v>
      </c>
      <c r="EE7" s="4">
        <v>4916</v>
      </c>
      <c r="EF7" s="4">
        <v>181515</v>
      </c>
      <c r="EG7" s="4">
        <v>878547</v>
      </c>
      <c r="EH7" s="4">
        <v>370271</v>
      </c>
      <c r="EI7" s="4">
        <v>106736</v>
      </c>
      <c r="EJ7" s="4">
        <v>477007</v>
      </c>
      <c r="EK7" s="4">
        <v>106834</v>
      </c>
      <c r="EL7" s="4">
        <v>0</v>
      </c>
      <c r="EM7" s="4">
        <v>0</v>
      </c>
      <c r="EN7" s="4">
        <v>106834</v>
      </c>
      <c r="EO7" s="4">
        <v>243267</v>
      </c>
      <c r="EP7" s="4">
        <v>827108</v>
      </c>
      <c r="EQ7" s="4">
        <v>51439</v>
      </c>
      <c r="ER7" s="3">
        <v>5.8599999999999999E-2</v>
      </c>
      <c r="ES7" s="4">
        <v>0</v>
      </c>
      <c r="ET7" s="4">
        <v>0</v>
      </c>
      <c r="EU7" s="4">
        <v>4916</v>
      </c>
      <c r="EV7" s="4">
        <v>16500</v>
      </c>
      <c r="EW7" s="4">
        <v>21416</v>
      </c>
      <c r="EX7" s="4">
        <v>21416</v>
      </c>
      <c r="EY7" s="1">
        <v>9101</v>
      </c>
      <c r="EZ7" s="1">
        <v>201655</v>
      </c>
      <c r="FA7" s="1">
        <v>62840</v>
      </c>
      <c r="FB7" s="1">
        <v>2056</v>
      </c>
      <c r="FC7" s="1">
        <v>25033</v>
      </c>
      <c r="FD7" s="1">
        <v>60975</v>
      </c>
      <c r="FE7">
        <v>23</v>
      </c>
      <c r="FF7" s="1">
        <v>7172</v>
      </c>
      <c r="FG7" s="1">
        <v>123815</v>
      </c>
      <c r="FH7" s="1">
        <v>2079</v>
      </c>
      <c r="FI7" s="1">
        <v>32205</v>
      </c>
      <c r="FJ7" s="1">
        <v>158099</v>
      </c>
      <c r="FK7" s="1">
        <v>4801</v>
      </c>
      <c r="FL7">
        <v>115</v>
      </c>
      <c r="FN7" s="1">
        <v>158099</v>
      </c>
      <c r="FO7" s="1">
        <v>3456</v>
      </c>
      <c r="FP7" s="1">
        <v>3623</v>
      </c>
      <c r="FQ7" s="1">
        <v>2740</v>
      </c>
      <c r="FR7">
        <v>0</v>
      </c>
      <c r="FS7">
        <v>74</v>
      </c>
      <c r="FT7">
        <v>74</v>
      </c>
      <c r="FU7" s="1">
        <v>26725</v>
      </c>
      <c r="FV7" s="1">
        <v>2022</v>
      </c>
      <c r="FW7">
        <v>0</v>
      </c>
      <c r="GK7">
        <v>0</v>
      </c>
      <c r="GL7">
        <v>0</v>
      </c>
      <c r="GM7">
        <v>0</v>
      </c>
      <c r="GN7">
        <v>0</v>
      </c>
      <c r="GO7" s="1">
        <v>26725</v>
      </c>
      <c r="GP7" s="1">
        <v>2022</v>
      </c>
      <c r="GQ7">
        <v>0</v>
      </c>
      <c r="GR7">
        <v>0</v>
      </c>
      <c r="GS7">
        <v>36</v>
      </c>
      <c r="GU7" s="1">
        <v>106352</v>
      </c>
      <c r="GV7" s="1">
        <v>9255</v>
      </c>
      <c r="GW7" s="1">
        <v>139809</v>
      </c>
      <c r="GX7" s="1">
        <v>14963</v>
      </c>
      <c r="GY7">
        <v>20</v>
      </c>
      <c r="GZ7" s="1">
        <v>26220</v>
      </c>
      <c r="HA7" s="1">
        <v>121315</v>
      </c>
      <c r="HB7" s="1">
        <v>9275</v>
      </c>
      <c r="HC7" s="1">
        <v>166029</v>
      </c>
      <c r="HD7" s="1">
        <v>296619</v>
      </c>
      <c r="HE7" s="1">
        <v>14939</v>
      </c>
      <c r="HF7" s="1">
        <v>311962</v>
      </c>
      <c r="HG7" s="1">
        <v>4174</v>
      </c>
      <c r="HH7" s="1">
        <v>8879</v>
      </c>
      <c r="HI7">
        <v>404</v>
      </c>
      <c r="HJ7" s="1">
        <v>3734</v>
      </c>
      <c r="HK7" s="1">
        <v>16787</v>
      </c>
      <c r="HL7" s="1">
        <v>328749</v>
      </c>
      <c r="HM7">
        <v>74</v>
      </c>
      <c r="HN7">
        <v>0</v>
      </c>
      <c r="HO7">
        <v>74</v>
      </c>
      <c r="HP7">
        <v>440</v>
      </c>
      <c r="HQ7">
        <v>0</v>
      </c>
      <c r="HR7">
        <v>440</v>
      </c>
      <c r="HS7">
        <v>0</v>
      </c>
      <c r="HT7">
        <v>0</v>
      </c>
      <c r="HU7">
        <v>0</v>
      </c>
      <c r="HV7">
        <v>0</v>
      </c>
      <c r="HW7">
        <v>514</v>
      </c>
      <c r="HX7" s="1">
        <v>2472</v>
      </c>
      <c r="HY7">
        <v>0</v>
      </c>
      <c r="HZ7" s="1">
        <v>2472</v>
      </c>
      <c r="IA7" s="1">
        <v>2986</v>
      </c>
      <c r="IB7" s="1">
        <v>4614</v>
      </c>
      <c r="IC7" s="1">
        <v>13493</v>
      </c>
      <c r="ID7" s="1">
        <v>329263</v>
      </c>
      <c r="IE7" s="1">
        <v>329263</v>
      </c>
      <c r="IF7" s="1">
        <v>331735</v>
      </c>
      <c r="IG7" s="1">
        <v>175304</v>
      </c>
      <c r="IH7" s="1">
        <v>3248</v>
      </c>
      <c r="IK7">
        <v>1</v>
      </c>
      <c r="IL7" s="3">
        <v>1.7999999999999999E-2</v>
      </c>
      <c r="IM7" s="3">
        <v>5.9999999999999995E-4</v>
      </c>
      <c r="IN7" s="3">
        <v>0.1426</v>
      </c>
      <c r="IO7" s="3">
        <v>0</v>
      </c>
      <c r="IP7" s="3">
        <v>0.13250000000000001</v>
      </c>
      <c r="IQ7" s="3">
        <v>4.0000000000000002E-4</v>
      </c>
      <c r="IR7" s="3">
        <v>0.78400000000000003</v>
      </c>
      <c r="IS7" s="3">
        <v>2.7199999999999998E-2</v>
      </c>
      <c r="IT7" s="3">
        <v>0.53239999999999998</v>
      </c>
      <c r="IU7" s="1">
        <v>30929</v>
      </c>
      <c r="IV7" s="1">
        <v>7055</v>
      </c>
      <c r="IW7" s="1">
        <v>37984</v>
      </c>
      <c r="IX7" s="3">
        <v>0.74319999999999997</v>
      </c>
      <c r="IY7" s="1">
        <v>93283</v>
      </c>
      <c r="JA7" s="1">
        <v>1320</v>
      </c>
      <c r="JB7">
        <v>0</v>
      </c>
      <c r="JC7">
        <v>244</v>
      </c>
      <c r="JD7">
        <v>15</v>
      </c>
      <c r="JE7">
        <v>2</v>
      </c>
      <c r="JF7">
        <v>6</v>
      </c>
      <c r="JG7" s="1">
        <v>1335</v>
      </c>
      <c r="JH7">
        <v>2</v>
      </c>
      <c r="JI7">
        <v>250</v>
      </c>
      <c r="JJ7" s="1">
        <v>1587</v>
      </c>
      <c r="JK7" s="1">
        <v>1564</v>
      </c>
      <c r="JL7">
        <v>23</v>
      </c>
      <c r="JM7" s="1">
        <v>13235</v>
      </c>
      <c r="JN7">
        <v>0</v>
      </c>
      <c r="JO7" s="1">
        <v>3871</v>
      </c>
      <c r="JP7">
        <v>132</v>
      </c>
      <c r="JQ7">
        <v>85</v>
      </c>
      <c r="JR7">
        <v>240</v>
      </c>
      <c r="JS7" s="1">
        <v>13367</v>
      </c>
      <c r="JT7">
        <v>85</v>
      </c>
      <c r="JU7" s="1">
        <v>4111</v>
      </c>
      <c r="JV7" s="1">
        <v>17563</v>
      </c>
      <c r="JW7" s="1">
        <v>17106</v>
      </c>
      <c r="JX7">
        <v>457</v>
      </c>
      <c r="JY7">
        <v>11.07</v>
      </c>
      <c r="JZ7">
        <v>10.01</v>
      </c>
      <c r="KA7">
        <v>16.440000000000001</v>
      </c>
      <c r="KB7">
        <v>0.76</v>
      </c>
      <c r="KC7">
        <v>0.23</v>
      </c>
      <c r="KD7">
        <v>2</v>
      </c>
      <c r="KE7">
        <v>11</v>
      </c>
      <c r="KF7">
        <v>2</v>
      </c>
      <c r="KG7">
        <v>16</v>
      </c>
      <c r="KN7" s="1">
        <v>36819</v>
      </c>
      <c r="KO7" s="1">
        <v>15688</v>
      </c>
      <c r="KP7" s="1">
        <v>1147</v>
      </c>
      <c r="KR7" s="1">
        <v>1568</v>
      </c>
      <c r="KS7" s="1">
        <v>17133</v>
      </c>
      <c r="KT7">
        <v>0</v>
      </c>
      <c r="KU7">
        <v>0</v>
      </c>
      <c r="KV7">
        <v>13</v>
      </c>
      <c r="KW7">
        <v>109</v>
      </c>
      <c r="KX7" s="1">
        <v>65915</v>
      </c>
      <c r="KZ7" s="1">
        <v>11880</v>
      </c>
      <c r="LA7" s="1">
        <v>17643</v>
      </c>
      <c r="LD7" t="s">
        <v>422</v>
      </c>
      <c r="LE7" t="s">
        <v>379</v>
      </c>
      <c r="LF7" t="s">
        <v>423</v>
      </c>
      <c r="LG7" t="s">
        <v>424</v>
      </c>
      <c r="LH7">
        <v>28657</v>
      </c>
      <c r="LI7">
        <v>250</v>
      </c>
      <c r="LJ7" t="s">
        <v>425</v>
      </c>
      <c r="LK7" t="s">
        <v>424</v>
      </c>
      <c r="LL7">
        <v>28657</v>
      </c>
      <c r="LM7">
        <v>250</v>
      </c>
      <c r="LN7" t="s">
        <v>426</v>
      </c>
      <c r="LO7">
        <v>8287339393</v>
      </c>
      <c r="LP7">
        <v>8287339393</v>
      </c>
      <c r="LQ7" s="1">
        <v>28512</v>
      </c>
      <c r="LR7">
        <v>8</v>
      </c>
      <c r="LT7" s="1">
        <v>11832</v>
      </c>
      <c r="LU7">
        <v>260</v>
      </c>
      <c r="LX7">
        <v>2</v>
      </c>
      <c r="LY7" t="s">
        <v>427</v>
      </c>
      <c r="LZ7">
        <v>0</v>
      </c>
      <c r="MA7" t="s">
        <v>408</v>
      </c>
      <c r="MB7">
        <v>0.91</v>
      </c>
      <c r="MC7">
        <v>16.93</v>
      </c>
      <c r="ME7" s="574">
        <v>2.5099999999999998</v>
      </c>
      <c r="MF7" s="574">
        <v>1.45</v>
      </c>
      <c r="MG7" s="574">
        <v>0.32</v>
      </c>
      <c r="MH7" s="574">
        <v>21.78</v>
      </c>
      <c r="MI7" s="574">
        <v>12.56</v>
      </c>
      <c r="MJ7" s="574">
        <v>2.81</v>
      </c>
      <c r="MK7" s="574">
        <v>8.8699999999999992</v>
      </c>
      <c r="ML7" s="574">
        <v>5.1100000000000003</v>
      </c>
      <c r="MM7" s="574">
        <v>1.1499999999999999</v>
      </c>
      <c r="MN7" s="574">
        <v>22.46</v>
      </c>
      <c r="MO7" s="574">
        <v>12.96</v>
      </c>
      <c r="MP7" s="574">
        <v>2.9</v>
      </c>
      <c r="MQ7" s="574">
        <v>47.09</v>
      </c>
      <c r="MR7" s="574">
        <v>27.16</v>
      </c>
      <c r="MS7" s="574">
        <v>6.08</v>
      </c>
      <c r="MT7" s="574">
        <v>4.72</v>
      </c>
      <c r="MU7" s="574">
        <v>2.72</v>
      </c>
      <c r="MV7" s="574">
        <v>0.61</v>
      </c>
      <c r="MW7" s="1">
        <v>1938</v>
      </c>
      <c r="MX7" s="1">
        <v>18410</v>
      </c>
      <c r="MY7" s="1">
        <v>18410</v>
      </c>
      <c r="MZ7" s="1">
        <v>4910</v>
      </c>
      <c r="NA7" s="1">
        <v>46642</v>
      </c>
      <c r="NB7" s="1">
        <v>46642</v>
      </c>
      <c r="NC7" s="1">
        <v>164632</v>
      </c>
      <c r="ND7" s="1">
        <v>164632</v>
      </c>
      <c r="NE7">
        <v>1.63</v>
      </c>
      <c r="NF7" s="1">
        <v>17330</v>
      </c>
      <c r="NG7">
        <v>8.33</v>
      </c>
      <c r="NH7">
        <v>6.4420000000000002</v>
      </c>
      <c r="NI7">
        <v>1.83</v>
      </c>
      <c r="NJ7">
        <v>0</v>
      </c>
      <c r="NK7">
        <v>0</v>
      </c>
      <c r="NL7">
        <v>0.72040000000000004</v>
      </c>
      <c r="NM7">
        <v>3.4298999999999999</v>
      </c>
      <c r="NN7">
        <v>0.74</v>
      </c>
      <c r="NO7">
        <v>0.34</v>
      </c>
      <c r="NP7">
        <v>0</v>
      </c>
      <c r="NQ7">
        <v>0</v>
      </c>
      <c r="NR7">
        <v>1.29</v>
      </c>
      <c r="NS7">
        <v>0.26</v>
      </c>
      <c r="NT7">
        <v>0.08</v>
      </c>
      <c r="NU7" s="574">
        <v>9.33</v>
      </c>
      <c r="NV7">
        <v>3.9460000000000002</v>
      </c>
      <c r="NW7">
        <v>0</v>
      </c>
      <c r="NX7">
        <v>2E-3</v>
      </c>
      <c r="NY7">
        <v>0.52300000000000002</v>
      </c>
      <c r="NZ7">
        <v>1E-3</v>
      </c>
      <c r="OA7">
        <v>5.2699999999999997E-2</v>
      </c>
      <c r="OB7">
        <v>0.50019999999999998</v>
      </c>
      <c r="OC7">
        <v>3.028</v>
      </c>
      <c r="OD7">
        <v>3.093</v>
      </c>
      <c r="OE7">
        <v>0.33260000000000001</v>
      </c>
      <c r="OF7">
        <v>703.58600000000001</v>
      </c>
      <c r="OG7">
        <v>1.948</v>
      </c>
      <c r="OH7" s="574">
        <v>4.76</v>
      </c>
      <c r="OI7">
        <v>144</v>
      </c>
      <c r="OJ7">
        <v>95</v>
      </c>
      <c r="OK7" s="574">
        <v>16.18</v>
      </c>
      <c r="OL7" s="574">
        <v>2.09</v>
      </c>
      <c r="OM7" s="574">
        <v>2.09</v>
      </c>
      <c r="ON7">
        <v>0.37180000000000002</v>
      </c>
      <c r="OO7">
        <v>3.9100000000000003E-2</v>
      </c>
      <c r="OP7">
        <v>0.4476</v>
      </c>
      <c r="OQ7" s="574">
        <v>5.81</v>
      </c>
      <c r="OR7" s="574">
        <v>7.73</v>
      </c>
      <c r="OS7" s="574">
        <v>0.1</v>
      </c>
      <c r="OT7" s="574">
        <v>3.55</v>
      </c>
      <c r="OU7" s="574">
        <v>17.190000000000001</v>
      </c>
      <c r="OV7">
        <v>0</v>
      </c>
      <c r="OW7">
        <v>0</v>
      </c>
      <c r="OX7">
        <v>3.53</v>
      </c>
      <c r="OY7" s="1">
        <v>6332</v>
      </c>
      <c r="OZ7">
        <v>7.88</v>
      </c>
      <c r="PA7" s="1">
        <v>1794</v>
      </c>
      <c r="PB7">
        <v>3.11</v>
      </c>
      <c r="PC7">
        <v>27.83</v>
      </c>
      <c r="PD7">
        <v>0.39</v>
      </c>
      <c r="PE7">
        <v>708</v>
      </c>
      <c r="PF7">
        <v>0.61</v>
      </c>
      <c r="PG7" s="574">
        <v>1.1499999999999999</v>
      </c>
      <c r="PH7">
        <v>2.16</v>
      </c>
      <c r="PI7">
        <v>23.15</v>
      </c>
      <c r="PJ7">
        <v>8.67</v>
      </c>
      <c r="PK7" s="574">
        <v>8.8699999999999992</v>
      </c>
      <c r="PL7">
        <v>37.92</v>
      </c>
      <c r="PM7" s="4">
        <v>25106</v>
      </c>
      <c r="PN7" s="4">
        <v>19488</v>
      </c>
      <c r="PO7">
        <v>5.7700000000000001E-2</v>
      </c>
      <c r="PP7">
        <v>0.51600000000000001</v>
      </c>
      <c r="PQ7">
        <v>0.20369999999999999</v>
      </c>
      <c r="PR7">
        <v>6.1000000000000004E-3</v>
      </c>
      <c r="PS7">
        <v>5.4300000000000001E-2</v>
      </c>
      <c r="PT7">
        <v>2.1399999999999999E-2</v>
      </c>
      <c r="PU7" s="3">
        <v>1</v>
      </c>
      <c r="PV7" s="3">
        <v>0.1053</v>
      </c>
      <c r="PW7" s="3">
        <v>0.89470000000000005</v>
      </c>
      <c r="PX7" s="3">
        <v>0.2238</v>
      </c>
      <c r="PY7" s="3">
        <v>0.7762</v>
      </c>
      <c r="PZ7" s="3">
        <v>0.12920000000000001</v>
      </c>
      <c r="QA7" s="3">
        <v>0</v>
      </c>
      <c r="QB7" s="3">
        <v>0.129</v>
      </c>
      <c r="QC7" s="3">
        <v>0</v>
      </c>
      <c r="QD7" s="3">
        <v>0.29409999999999997</v>
      </c>
      <c r="QE7" s="3">
        <v>0.12920000000000001</v>
      </c>
      <c r="QF7" s="3">
        <v>0.44769999999999999</v>
      </c>
      <c r="QG7" s="3">
        <v>0.57669999999999999</v>
      </c>
      <c r="QH7" s="3">
        <v>5.5999999999999999E-3</v>
      </c>
      <c r="QI7" s="3">
        <v>0.44969999999999999</v>
      </c>
      <c r="QJ7" s="3">
        <v>0.20660000000000001</v>
      </c>
      <c r="QK7" s="3">
        <v>0.33810000000000001</v>
      </c>
      <c r="QL7" s="4">
        <v>5618</v>
      </c>
      <c r="QM7">
        <v>2.46</v>
      </c>
      <c r="QN7" s="1">
        <v>25555</v>
      </c>
      <c r="QO7" s="1">
        <v>25555</v>
      </c>
      <c r="QP7" s="1">
        <v>2690</v>
      </c>
      <c r="QQ7" s="3">
        <v>1</v>
      </c>
      <c r="QR7" s="3">
        <v>0</v>
      </c>
      <c r="QS7" s="3">
        <v>0</v>
      </c>
      <c r="QT7" s="3">
        <v>0.1053</v>
      </c>
      <c r="QU7">
        <v>0.89</v>
      </c>
      <c r="QV7">
        <v>3.08</v>
      </c>
      <c r="QW7">
        <v>0.69</v>
      </c>
      <c r="QX7">
        <v>0</v>
      </c>
      <c r="QY7">
        <v>3.08</v>
      </c>
      <c r="QZ7">
        <v>0</v>
      </c>
      <c r="RA7">
        <v>3.08</v>
      </c>
      <c r="RB7">
        <v>0.4</v>
      </c>
      <c r="RC7">
        <v>0.37</v>
      </c>
    </row>
    <row r="8" spans="1:471" x14ac:dyDescent="0.25">
      <c r="A8" t="s">
        <v>428</v>
      </c>
      <c r="B8">
        <v>11643</v>
      </c>
      <c r="C8" t="s">
        <v>1754</v>
      </c>
      <c r="D8" t="s">
        <v>1754</v>
      </c>
      <c r="E8" t="s">
        <v>1754</v>
      </c>
      <c r="F8" t="s">
        <v>1755</v>
      </c>
      <c r="G8" t="s">
        <v>1755</v>
      </c>
      <c r="H8" t="s">
        <v>429</v>
      </c>
      <c r="I8" t="s">
        <v>342</v>
      </c>
      <c r="J8" t="s">
        <v>366</v>
      </c>
      <c r="K8" t="s">
        <v>344</v>
      </c>
      <c r="L8" t="s">
        <v>345</v>
      </c>
      <c r="M8" t="s">
        <v>430</v>
      </c>
      <c r="N8" t="s">
        <v>347</v>
      </c>
      <c r="O8" s="1">
        <v>67567</v>
      </c>
      <c r="P8" t="s">
        <v>348</v>
      </c>
      <c r="Q8">
        <v>451</v>
      </c>
      <c r="R8">
        <v>68</v>
      </c>
      <c r="S8">
        <v>108</v>
      </c>
      <c r="T8">
        <v>14</v>
      </c>
      <c r="U8" s="1">
        <v>2449</v>
      </c>
      <c r="V8">
        <v>82</v>
      </c>
      <c r="W8" s="1">
        <v>9790</v>
      </c>
      <c r="X8">
        <v>572</v>
      </c>
      <c r="Y8" s="1">
        <v>118983</v>
      </c>
      <c r="Z8" s="1">
        <v>7170</v>
      </c>
      <c r="AC8" t="s">
        <v>431</v>
      </c>
      <c r="AD8" t="s">
        <v>432</v>
      </c>
      <c r="AE8">
        <v>27889</v>
      </c>
      <c r="AF8">
        <v>4948</v>
      </c>
      <c r="AG8" t="s">
        <v>431</v>
      </c>
      <c r="AH8" t="s">
        <v>432</v>
      </c>
      <c r="AI8">
        <v>27889</v>
      </c>
      <c r="AJ8">
        <v>1</v>
      </c>
      <c r="AK8" t="s">
        <v>439</v>
      </c>
      <c r="AM8" t="s">
        <v>372</v>
      </c>
      <c r="AN8" t="s">
        <v>433</v>
      </c>
      <c r="AO8" t="s">
        <v>434</v>
      </c>
      <c r="AP8">
        <v>2529466401</v>
      </c>
      <c r="AQ8" t="s">
        <v>436</v>
      </c>
      <c r="AR8" t="s">
        <v>437</v>
      </c>
      <c r="AS8" t="s">
        <v>434</v>
      </c>
      <c r="AT8" t="s">
        <v>376</v>
      </c>
      <c r="AU8" t="s">
        <v>435</v>
      </c>
      <c r="AV8" t="s">
        <v>436</v>
      </c>
      <c r="AW8" t="s">
        <v>437</v>
      </c>
      <c r="AX8" t="s">
        <v>438</v>
      </c>
      <c r="AY8">
        <v>0</v>
      </c>
      <c r="AZ8">
        <v>0</v>
      </c>
      <c r="BA8">
        <v>0</v>
      </c>
      <c r="BB8" s="573">
        <v>42186</v>
      </c>
      <c r="BC8" s="573">
        <v>42551</v>
      </c>
      <c r="BD8">
        <v>1</v>
      </c>
      <c r="BE8">
        <v>7</v>
      </c>
      <c r="BF8">
        <v>0</v>
      </c>
      <c r="BG8">
        <v>1</v>
      </c>
      <c r="BH8">
        <v>9</v>
      </c>
      <c r="BJ8" s="1">
        <v>16120</v>
      </c>
      <c r="BK8">
        <v>2</v>
      </c>
      <c r="BL8">
        <v>1</v>
      </c>
      <c r="BM8">
        <v>3</v>
      </c>
      <c r="BN8">
        <v>14.96</v>
      </c>
      <c r="BO8">
        <v>17.96</v>
      </c>
      <c r="BP8" s="3">
        <v>0.1114</v>
      </c>
      <c r="BQ8">
        <v>250</v>
      </c>
      <c r="BR8" s="4">
        <v>50551</v>
      </c>
      <c r="DW8" s="4">
        <v>123575</v>
      </c>
      <c r="DX8" s="4">
        <v>335832</v>
      </c>
      <c r="DY8" s="4">
        <v>459407</v>
      </c>
      <c r="DZ8" s="4">
        <v>304479</v>
      </c>
      <c r="EA8" s="4">
        <v>0</v>
      </c>
      <c r="EB8" s="4">
        <v>304479</v>
      </c>
      <c r="EC8" s="4">
        <v>1950</v>
      </c>
      <c r="ED8" s="4">
        <v>0</v>
      </c>
      <c r="EE8" s="4">
        <v>1950</v>
      </c>
      <c r="EF8" s="4">
        <v>72610</v>
      </c>
      <c r="EG8" s="4">
        <v>838446</v>
      </c>
      <c r="EH8" s="4">
        <v>455619</v>
      </c>
      <c r="EI8" s="4">
        <v>99480</v>
      </c>
      <c r="EJ8" s="4">
        <v>555099</v>
      </c>
      <c r="EK8" s="4">
        <v>69528</v>
      </c>
      <c r="EL8" s="4">
        <v>14996</v>
      </c>
      <c r="EM8" s="4">
        <v>10654</v>
      </c>
      <c r="EN8" s="4">
        <v>95178</v>
      </c>
      <c r="EO8" s="4">
        <v>219979</v>
      </c>
      <c r="EP8" s="4">
        <v>870256</v>
      </c>
      <c r="EQ8" s="4">
        <v>-31810</v>
      </c>
      <c r="ER8" s="3">
        <v>-3.7900000000000003E-2</v>
      </c>
      <c r="ES8" s="4">
        <v>0</v>
      </c>
      <c r="ET8" s="4">
        <v>0</v>
      </c>
      <c r="EU8" s="4">
        <v>0</v>
      </c>
      <c r="EV8" s="4">
        <v>0</v>
      </c>
      <c r="EW8" s="4">
        <v>0</v>
      </c>
      <c r="EX8" s="4">
        <v>0</v>
      </c>
      <c r="EY8" s="1">
        <v>11028</v>
      </c>
      <c r="EZ8" s="1">
        <v>189236</v>
      </c>
      <c r="FA8" s="1">
        <v>42699</v>
      </c>
      <c r="FB8" s="1">
        <v>1009</v>
      </c>
      <c r="FC8" s="1">
        <v>30588</v>
      </c>
      <c r="FD8" s="1">
        <v>37618</v>
      </c>
      <c r="FF8" s="1">
        <v>16010</v>
      </c>
      <c r="FG8" s="1">
        <v>80317</v>
      </c>
      <c r="FH8" s="1">
        <v>1009</v>
      </c>
      <c r="FI8" s="1">
        <v>46598</v>
      </c>
      <c r="FJ8" s="1">
        <v>127924</v>
      </c>
      <c r="FK8">
        <v>343</v>
      </c>
      <c r="FL8">
        <v>66</v>
      </c>
      <c r="FN8" s="1">
        <v>127924</v>
      </c>
      <c r="FO8" s="1">
        <v>2019</v>
      </c>
      <c r="FP8" s="1">
        <v>6705</v>
      </c>
      <c r="FQ8">
        <v>31</v>
      </c>
      <c r="FR8">
        <v>0</v>
      </c>
      <c r="FS8">
        <v>74</v>
      </c>
      <c r="FT8">
        <v>74</v>
      </c>
      <c r="FU8" s="1">
        <v>26725</v>
      </c>
      <c r="FV8" s="1">
        <v>2022</v>
      </c>
      <c r="FW8">
        <v>0</v>
      </c>
      <c r="GK8" s="1">
        <v>22995</v>
      </c>
      <c r="GL8">
        <v>282</v>
      </c>
      <c r="GM8">
        <v>0</v>
      </c>
      <c r="GN8">
        <v>50</v>
      </c>
      <c r="GO8" s="1">
        <v>49720</v>
      </c>
      <c r="GP8" s="1">
        <v>2304</v>
      </c>
      <c r="GQ8">
        <v>0</v>
      </c>
      <c r="GR8">
        <v>50</v>
      </c>
      <c r="GS8">
        <v>50</v>
      </c>
      <c r="GU8" s="1">
        <v>36804</v>
      </c>
      <c r="GV8">
        <v>122</v>
      </c>
      <c r="GW8" s="1">
        <v>21485</v>
      </c>
      <c r="GX8" s="1">
        <v>4763</v>
      </c>
      <c r="GY8">
        <v>15</v>
      </c>
      <c r="GZ8" s="1">
        <v>5919</v>
      </c>
      <c r="HA8" s="1">
        <v>41567</v>
      </c>
      <c r="HB8">
        <v>137</v>
      </c>
      <c r="HC8" s="1">
        <v>27404</v>
      </c>
      <c r="HD8" s="1">
        <v>69108</v>
      </c>
      <c r="HE8">
        <v>616</v>
      </c>
      <c r="HF8" s="1">
        <v>70275</v>
      </c>
      <c r="HG8" s="1">
        <v>1404</v>
      </c>
      <c r="HH8" s="1">
        <v>11271</v>
      </c>
      <c r="HI8">
        <v>551</v>
      </c>
      <c r="HJ8">
        <v>24</v>
      </c>
      <c r="HK8" s="1">
        <v>12699</v>
      </c>
      <c r="HL8" s="1">
        <v>82974</v>
      </c>
      <c r="HM8">
        <v>76</v>
      </c>
      <c r="HN8">
        <v>790</v>
      </c>
      <c r="HO8">
        <v>866</v>
      </c>
      <c r="HP8">
        <v>311</v>
      </c>
      <c r="HQ8">
        <v>51</v>
      </c>
      <c r="HR8">
        <v>362</v>
      </c>
      <c r="HS8">
        <v>0</v>
      </c>
      <c r="HT8">
        <v>0</v>
      </c>
      <c r="HU8">
        <v>0</v>
      </c>
      <c r="HV8">
        <v>128</v>
      </c>
      <c r="HW8" s="1">
        <v>1356</v>
      </c>
      <c r="HX8" s="1">
        <v>3980</v>
      </c>
      <c r="HY8">
        <v>0</v>
      </c>
      <c r="HZ8" s="1">
        <v>3980</v>
      </c>
      <c r="IA8" s="1">
        <v>5336</v>
      </c>
      <c r="IB8" s="1">
        <v>1766</v>
      </c>
      <c r="IC8" s="1">
        <v>13037</v>
      </c>
      <c r="ID8" s="1">
        <v>84330</v>
      </c>
      <c r="IE8" s="1">
        <v>84330</v>
      </c>
      <c r="IF8" s="1">
        <v>88310</v>
      </c>
      <c r="IG8" s="1">
        <v>27541</v>
      </c>
      <c r="IH8">
        <v>-1</v>
      </c>
      <c r="IL8" s="3">
        <v>3.5400000000000001E-2</v>
      </c>
      <c r="IM8" s="3">
        <v>2.9999999999999997E-4</v>
      </c>
      <c r="IN8" s="3">
        <v>0.2752</v>
      </c>
      <c r="IO8" s="3">
        <v>0</v>
      </c>
      <c r="IP8" s="3">
        <v>0.26269999999999999</v>
      </c>
      <c r="IQ8" s="3">
        <v>4.0000000000000002E-4</v>
      </c>
      <c r="IR8" s="3">
        <v>0.67600000000000005</v>
      </c>
      <c r="IS8" s="3">
        <v>2.2800000000000001E-2</v>
      </c>
      <c r="IT8" s="3">
        <v>0.3266</v>
      </c>
      <c r="IU8" s="1">
        <v>6925</v>
      </c>
      <c r="IV8" s="1">
        <v>2603</v>
      </c>
      <c r="IW8" s="1">
        <v>9528</v>
      </c>
      <c r="IX8" s="3">
        <v>0.14099999999999999</v>
      </c>
      <c r="IY8" s="1">
        <v>106992</v>
      </c>
      <c r="JA8">
        <v>184</v>
      </c>
      <c r="JB8">
        <v>28</v>
      </c>
      <c r="JC8">
        <v>294</v>
      </c>
      <c r="JD8">
        <v>4</v>
      </c>
      <c r="JE8">
        <v>0</v>
      </c>
      <c r="JF8">
        <v>105</v>
      </c>
      <c r="JG8">
        <v>188</v>
      </c>
      <c r="JH8">
        <v>28</v>
      </c>
      <c r="JI8">
        <v>399</v>
      </c>
      <c r="JJ8">
        <v>615</v>
      </c>
      <c r="JK8">
        <v>506</v>
      </c>
      <c r="JL8">
        <v>109</v>
      </c>
      <c r="JM8" s="1">
        <v>1309</v>
      </c>
      <c r="JN8">
        <v>380</v>
      </c>
      <c r="JO8" s="1">
        <v>5154</v>
      </c>
      <c r="JP8">
        <v>68</v>
      </c>
      <c r="JQ8">
        <v>0</v>
      </c>
      <c r="JR8" s="1">
        <v>4017</v>
      </c>
      <c r="JS8" s="1">
        <v>1377</v>
      </c>
      <c r="JT8">
        <v>380</v>
      </c>
      <c r="JU8" s="1">
        <v>9171</v>
      </c>
      <c r="JV8" s="1">
        <v>10928</v>
      </c>
      <c r="JW8" s="1">
        <v>6843</v>
      </c>
      <c r="JX8" s="1">
        <v>4085</v>
      </c>
      <c r="JY8">
        <v>17.77</v>
      </c>
      <c r="JZ8">
        <v>7.32</v>
      </c>
      <c r="KA8">
        <v>22.98</v>
      </c>
      <c r="KB8">
        <v>0.13</v>
      </c>
      <c r="KC8">
        <v>0.84</v>
      </c>
      <c r="KD8">
        <v>8</v>
      </c>
      <c r="KE8">
        <v>105</v>
      </c>
      <c r="KF8">
        <v>80</v>
      </c>
      <c r="KG8">
        <v>294</v>
      </c>
      <c r="KN8" s="1">
        <v>21265</v>
      </c>
      <c r="KO8" s="1">
        <v>4788</v>
      </c>
      <c r="KP8" s="1">
        <v>1522</v>
      </c>
      <c r="KR8">
        <v>105</v>
      </c>
      <c r="KS8">
        <v>820</v>
      </c>
      <c r="KT8" s="1">
        <v>6441</v>
      </c>
      <c r="KU8" s="1">
        <v>6257</v>
      </c>
      <c r="KV8">
        <v>22</v>
      </c>
      <c r="KW8">
        <v>83</v>
      </c>
      <c r="KX8" s="1">
        <v>32460</v>
      </c>
      <c r="KZ8" s="1">
        <v>72000</v>
      </c>
      <c r="LD8" t="s">
        <v>439</v>
      </c>
      <c r="LE8" t="s">
        <v>440</v>
      </c>
      <c r="LF8" t="s">
        <v>431</v>
      </c>
      <c r="LG8" t="s">
        <v>432</v>
      </c>
      <c r="LH8">
        <v>27889</v>
      </c>
      <c r="LI8">
        <v>4948</v>
      </c>
      <c r="LJ8" t="s">
        <v>431</v>
      </c>
      <c r="LK8" t="s">
        <v>432</v>
      </c>
      <c r="LL8">
        <v>27889</v>
      </c>
      <c r="LM8">
        <v>4948</v>
      </c>
      <c r="LN8" t="s">
        <v>433</v>
      </c>
      <c r="LO8">
        <v>2529466401</v>
      </c>
      <c r="LP8">
        <v>2529460352</v>
      </c>
      <c r="LQ8" s="1">
        <v>31962</v>
      </c>
      <c r="LR8">
        <v>18.38</v>
      </c>
      <c r="LT8" s="1">
        <v>16120</v>
      </c>
      <c r="LU8">
        <v>416</v>
      </c>
      <c r="LX8">
        <v>10</v>
      </c>
      <c r="LY8" t="s">
        <v>441</v>
      </c>
      <c r="LZ8">
        <v>0</v>
      </c>
      <c r="MA8" t="s">
        <v>363</v>
      </c>
      <c r="MB8">
        <v>20</v>
      </c>
      <c r="MC8">
        <v>5</v>
      </c>
      <c r="ME8" s="574">
        <v>10.32</v>
      </c>
      <c r="MF8" s="574">
        <v>6.58</v>
      </c>
      <c r="MG8" s="574">
        <v>1.1299999999999999</v>
      </c>
      <c r="MH8" s="574">
        <v>91.34</v>
      </c>
      <c r="MI8" s="574">
        <v>58.26</v>
      </c>
      <c r="MJ8" s="574">
        <v>9.99</v>
      </c>
      <c r="MK8" s="574">
        <v>8.1300000000000008</v>
      </c>
      <c r="ML8" s="574">
        <v>5.19</v>
      </c>
      <c r="MM8" s="574">
        <v>0.89</v>
      </c>
      <c r="MN8" s="574">
        <v>40.92</v>
      </c>
      <c r="MO8" s="574">
        <v>26.1</v>
      </c>
      <c r="MP8" s="574">
        <v>4.4800000000000004</v>
      </c>
      <c r="MQ8" s="574">
        <v>79.64</v>
      </c>
      <c r="MR8" s="574">
        <v>50.8</v>
      </c>
      <c r="MS8" s="574">
        <v>8.7100000000000009</v>
      </c>
      <c r="MT8" s="574">
        <v>31.6</v>
      </c>
      <c r="MU8" s="574">
        <v>20.16</v>
      </c>
      <c r="MV8" s="574">
        <v>3.46</v>
      </c>
      <c r="MW8" s="1">
        <v>1184</v>
      </c>
      <c r="MX8" s="1">
        <v>10633</v>
      </c>
      <c r="MY8" s="1">
        <v>7088</v>
      </c>
      <c r="MZ8" s="1">
        <v>5957</v>
      </c>
      <c r="NA8" s="1">
        <v>53496</v>
      </c>
      <c r="NB8" s="1">
        <v>35664</v>
      </c>
      <c r="NC8" s="1">
        <v>28110</v>
      </c>
      <c r="ND8" s="1">
        <v>42165</v>
      </c>
      <c r="NE8">
        <v>0.45</v>
      </c>
      <c r="NF8" s="1">
        <v>4695</v>
      </c>
      <c r="NG8">
        <v>2.2599999999999998</v>
      </c>
      <c r="NH8">
        <v>1.248</v>
      </c>
      <c r="NI8">
        <v>1.58</v>
      </c>
      <c r="NJ8">
        <v>676.01</v>
      </c>
      <c r="NK8">
        <v>656.7</v>
      </c>
      <c r="NL8">
        <v>0.31469999999999998</v>
      </c>
      <c r="NM8">
        <v>0.40760000000000002</v>
      </c>
      <c r="NN8">
        <v>0.14000000000000001</v>
      </c>
      <c r="NO8">
        <v>0.16</v>
      </c>
      <c r="NP8">
        <v>0.1</v>
      </c>
      <c r="NQ8">
        <v>0.09</v>
      </c>
      <c r="NR8">
        <v>0.48</v>
      </c>
      <c r="NS8">
        <v>0.02</v>
      </c>
      <c r="NT8">
        <v>0.14000000000000001</v>
      </c>
      <c r="NU8" s="574">
        <v>8.2200000000000006</v>
      </c>
      <c r="NV8">
        <v>2.8010000000000002</v>
      </c>
      <c r="NW8">
        <v>0</v>
      </c>
      <c r="NX8">
        <v>1E-3</v>
      </c>
      <c r="NY8">
        <v>0.73599999999999999</v>
      </c>
      <c r="NZ8">
        <v>1E-3</v>
      </c>
      <c r="OA8">
        <v>0.2099</v>
      </c>
      <c r="OB8">
        <v>1.885</v>
      </c>
      <c r="OC8">
        <v>6.9269999999999996</v>
      </c>
      <c r="OD8">
        <v>1.893</v>
      </c>
      <c r="OE8">
        <v>0.22140000000000001</v>
      </c>
      <c r="OF8" s="2">
        <v>5218.3040000000001</v>
      </c>
      <c r="OG8">
        <v>7.7670000000000003</v>
      </c>
      <c r="OH8" s="574">
        <v>3.26</v>
      </c>
      <c r="OI8">
        <v>454</v>
      </c>
      <c r="OJ8">
        <v>704</v>
      </c>
      <c r="OK8" s="574">
        <v>12.88</v>
      </c>
      <c r="OL8" s="574">
        <v>1.41</v>
      </c>
      <c r="OM8" s="574">
        <v>1.03</v>
      </c>
      <c r="ON8">
        <v>0.26579999999999998</v>
      </c>
      <c r="OO8">
        <v>2.9600000000000001E-2</v>
      </c>
      <c r="OP8">
        <v>1.5701000000000001</v>
      </c>
      <c r="OQ8" s="574">
        <v>4.51</v>
      </c>
      <c r="OR8" s="574">
        <v>6.8</v>
      </c>
      <c r="OS8" s="574">
        <v>0.03</v>
      </c>
      <c r="OT8" s="574">
        <v>1.07</v>
      </c>
      <c r="OU8" s="574">
        <v>12.41</v>
      </c>
      <c r="OV8">
        <v>124</v>
      </c>
      <c r="OW8">
        <v>120</v>
      </c>
      <c r="OX8">
        <v>0.79</v>
      </c>
      <c r="OY8" s="1">
        <v>1622</v>
      </c>
      <c r="OZ8">
        <v>6.64</v>
      </c>
      <c r="PA8" s="1">
        <v>2058</v>
      </c>
      <c r="PB8">
        <v>1.32</v>
      </c>
      <c r="PC8">
        <v>5.23</v>
      </c>
      <c r="PD8">
        <v>0.2</v>
      </c>
      <c r="PE8">
        <v>409</v>
      </c>
      <c r="PF8">
        <v>2.2400000000000002</v>
      </c>
      <c r="PG8" s="574">
        <v>0.89</v>
      </c>
      <c r="PH8">
        <v>1.77</v>
      </c>
      <c r="PI8">
        <v>23.86</v>
      </c>
      <c r="PJ8">
        <v>8.85</v>
      </c>
      <c r="PK8" s="574">
        <v>8.1300000000000008</v>
      </c>
      <c r="PL8">
        <v>34.44</v>
      </c>
      <c r="PM8" s="4">
        <v>30908</v>
      </c>
      <c r="PN8" s="4">
        <v>25369</v>
      </c>
      <c r="PO8">
        <v>0.21299999999999999</v>
      </c>
      <c r="PP8">
        <v>0.84460000000000002</v>
      </c>
      <c r="PQ8">
        <v>0.16789999999999999</v>
      </c>
      <c r="PR8">
        <v>2.3699999999999999E-2</v>
      </c>
      <c r="PS8">
        <v>9.4100000000000003E-2</v>
      </c>
      <c r="PT8">
        <v>1.8700000000000001E-2</v>
      </c>
      <c r="PU8" s="3">
        <v>0.66669999999999996</v>
      </c>
      <c r="PV8" s="3">
        <v>0.16700000000000001</v>
      </c>
      <c r="PW8" s="3">
        <v>0.83299999999999996</v>
      </c>
      <c r="PX8" s="3">
        <v>0.1792</v>
      </c>
      <c r="PY8" s="3">
        <v>0.82079999999999997</v>
      </c>
      <c r="PZ8" s="3">
        <v>0.1094</v>
      </c>
      <c r="QA8" s="3">
        <v>1.72E-2</v>
      </c>
      <c r="QB8" s="3">
        <v>0.1143</v>
      </c>
      <c r="QC8" s="3">
        <v>1.2200000000000001E-2</v>
      </c>
      <c r="QD8" s="3">
        <v>0.25280000000000002</v>
      </c>
      <c r="QE8" s="3">
        <v>7.9899999999999999E-2</v>
      </c>
      <c r="QF8" s="3">
        <v>0.52349999999999997</v>
      </c>
      <c r="QG8" s="3">
        <v>0.63790000000000002</v>
      </c>
      <c r="QH8" s="3">
        <v>2.3E-3</v>
      </c>
      <c r="QI8" s="3">
        <v>0.54790000000000005</v>
      </c>
      <c r="QJ8" s="3">
        <v>8.6599999999999996E-2</v>
      </c>
      <c r="QK8" s="3">
        <v>0.36309999999999998</v>
      </c>
      <c r="QL8" s="4">
        <v>5539</v>
      </c>
      <c r="QM8">
        <v>11.23</v>
      </c>
      <c r="QN8" s="1">
        <v>22522</v>
      </c>
      <c r="QO8" s="1">
        <v>33784</v>
      </c>
      <c r="QP8" s="1">
        <v>3762</v>
      </c>
      <c r="QQ8" s="3">
        <v>0.73050000000000004</v>
      </c>
      <c r="QR8" s="3">
        <v>0.15759999999999999</v>
      </c>
      <c r="QS8" s="3">
        <v>0.1119</v>
      </c>
      <c r="QT8" s="3">
        <v>0.1114</v>
      </c>
      <c r="QU8">
        <v>0.19</v>
      </c>
      <c r="QV8">
        <v>0.85</v>
      </c>
      <c r="QW8">
        <v>0.15</v>
      </c>
      <c r="QX8">
        <v>6</v>
      </c>
      <c r="QY8">
        <v>1.21</v>
      </c>
      <c r="QZ8">
        <v>8</v>
      </c>
      <c r="RA8">
        <v>0.89</v>
      </c>
      <c r="RB8">
        <v>0.1</v>
      </c>
      <c r="RC8">
        <v>0.1</v>
      </c>
    </row>
    <row r="9" spans="1:471" x14ac:dyDescent="0.25">
      <c r="A9" t="s">
        <v>442</v>
      </c>
      <c r="B9">
        <v>11656</v>
      </c>
      <c r="C9" t="s">
        <v>1754</v>
      </c>
      <c r="D9" t="s">
        <v>1754</v>
      </c>
      <c r="E9" t="s">
        <v>1754</v>
      </c>
      <c r="F9" t="s">
        <v>1755</v>
      </c>
      <c r="G9" t="s">
        <v>1755</v>
      </c>
      <c r="H9" t="s">
        <v>443</v>
      </c>
      <c r="I9" t="s">
        <v>342</v>
      </c>
      <c r="J9" t="s">
        <v>343</v>
      </c>
      <c r="K9" t="s">
        <v>344</v>
      </c>
      <c r="L9" t="s">
        <v>345</v>
      </c>
      <c r="M9" t="s">
        <v>346</v>
      </c>
      <c r="N9" t="s">
        <v>347</v>
      </c>
      <c r="O9" s="1">
        <v>35011</v>
      </c>
      <c r="P9" t="s">
        <v>348</v>
      </c>
      <c r="Q9">
        <v>195</v>
      </c>
      <c r="S9">
        <v>29</v>
      </c>
      <c r="U9">
        <v>696</v>
      </c>
      <c r="W9" s="1">
        <v>3428</v>
      </c>
      <c r="Y9" s="1">
        <v>18048</v>
      </c>
      <c r="AC9" t="s">
        <v>444</v>
      </c>
      <c r="AD9" t="s">
        <v>445</v>
      </c>
      <c r="AE9">
        <v>28337</v>
      </c>
      <c r="AF9">
        <v>1419</v>
      </c>
      <c r="AG9" t="s">
        <v>446</v>
      </c>
      <c r="AH9" t="s">
        <v>445</v>
      </c>
      <c r="AI9">
        <v>28337</v>
      </c>
      <c r="AJ9">
        <v>1</v>
      </c>
      <c r="AK9" t="s">
        <v>447</v>
      </c>
      <c r="AM9" t="s">
        <v>0</v>
      </c>
      <c r="AN9" t="s">
        <v>448</v>
      </c>
      <c r="AO9" t="s">
        <v>449</v>
      </c>
      <c r="AP9">
        <v>9108626990</v>
      </c>
      <c r="AQ9" t="s">
        <v>450</v>
      </c>
      <c r="AR9" t="s">
        <v>451</v>
      </c>
      <c r="AS9" t="s">
        <v>449</v>
      </c>
      <c r="AT9" t="s">
        <v>1</v>
      </c>
      <c r="AU9" t="s">
        <v>452</v>
      </c>
      <c r="AV9" t="s">
        <v>450</v>
      </c>
      <c r="AW9" t="s">
        <v>451</v>
      </c>
      <c r="AX9" t="s">
        <v>453</v>
      </c>
      <c r="AY9">
        <v>0</v>
      </c>
      <c r="AZ9">
        <v>0</v>
      </c>
      <c r="BA9">
        <v>0</v>
      </c>
      <c r="BB9" s="573">
        <v>42186</v>
      </c>
      <c r="BC9" s="573">
        <v>42551</v>
      </c>
      <c r="BD9">
        <v>1</v>
      </c>
      <c r="BE9">
        <v>2</v>
      </c>
      <c r="BF9">
        <v>1</v>
      </c>
      <c r="BG9">
        <v>2</v>
      </c>
      <c r="BH9">
        <v>6</v>
      </c>
      <c r="BJ9" s="1">
        <v>6496</v>
      </c>
      <c r="BK9">
        <v>1</v>
      </c>
      <c r="BL9">
        <v>0</v>
      </c>
      <c r="BM9">
        <v>1</v>
      </c>
      <c r="BN9">
        <v>9.26</v>
      </c>
      <c r="BO9">
        <v>10.26</v>
      </c>
      <c r="BP9" s="3">
        <v>9.7500000000000003E-2</v>
      </c>
      <c r="BQ9">
        <v>475</v>
      </c>
      <c r="BR9" s="4">
        <v>49099</v>
      </c>
      <c r="DW9" s="4">
        <v>15000</v>
      </c>
      <c r="DX9" s="4">
        <v>393906</v>
      </c>
      <c r="DY9" s="4">
        <v>408906</v>
      </c>
      <c r="DZ9" s="4">
        <v>92985</v>
      </c>
      <c r="EA9" s="4">
        <v>0</v>
      </c>
      <c r="EB9" s="4">
        <v>92985</v>
      </c>
      <c r="EC9" s="4">
        <v>3882</v>
      </c>
      <c r="ED9" s="4">
        <v>0</v>
      </c>
      <c r="EE9" s="4">
        <v>3882</v>
      </c>
      <c r="EF9" s="4">
        <v>0</v>
      </c>
      <c r="EG9" s="4">
        <v>505773</v>
      </c>
      <c r="EH9" s="4">
        <v>303690</v>
      </c>
      <c r="EI9" s="4">
        <v>126081</v>
      </c>
      <c r="EJ9" s="4">
        <v>429771</v>
      </c>
      <c r="EK9" s="4">
        <v>14635</v>
      </c>
      <c r="EL9" s="4">
        <v>3700</v>
      </c>
      <c r="EM9" s="4">
        <v>4856</v>
      </c>
      <c r="EN9" s="4">
        <v>23191</v>
      </c>
      <c r="EO9" s="4">
        <v>45672</v>
      </c>
      <c r="EP9" s="4">
        <v>498634</v>
      </c>
      <c r="EQ9" s="4">
        <v>7139</v>
      </c>
      <c r="ER9" s="3">
        <v>1.41E-2</v>
      </c>
      <c r="ES9" s="4">
        <v>0</v>
      </c>
      <c r="ET9" s="4">
        <v>0</v>
      </c>
      <c r="EU9" s="4">
        <v>0</v>
      </c>
      <c r="EV9" s="4">
        <v>0</v>
      </c>
      <c r="EW9" s="4">
        <v>0</v>
      </c>
      <c r="EX9" s="4">
        <v>0</v>
      </c>
      <c r="EY9" s="1">
        <v>7842</v>
      </c>
      <c r="EZ9" s="1">
        <v>91570</v>
      </c>
      <c r="FA9" s="1">
        <v>24886</v>
      </c>
      <c r="FC9" s="1">
        <v>11012</v>
      </c>
      <c r="FD9" s="1">
        <v>15328</v>
      </c>
      <c r="FF9" s="1">
        <v>5011</v>
      </c>
      <c r="FG9" s="1">
        <v>40214</v>
      </c>
      <c r="FI9" s="1">
        <v>16023</v>
      </c>
      <c r="FJ9" s="1">
        <v>56237</v>
      </c>
      <c r="FK9">
        <v>308</v>
      </c>
      <c r="FL9">
        <v>39</v>
      </c>
      <c r="FN9" s="1">
        <v>56237</v>
      </c>
      <c r="FO9" s="1">
        <v>2504</v>
      </c>
      <c r="FP9" s="1">
        <v>3155</v>
      </c>
      <c r="FQ9">
        <v>150</v>
      </c>
      <c r="FR9">
        <v>2</v>
      </c>
      <c r="FS9">
        <v>74</v>
      </c>
      <c r="FT9">
        <v>76</v>
      </c>
      <c r="FU9" s="1">
        <v>26725</v>
      </c>
      <c r="FV9" s="1">
        <v>2022</v>
      </c>
      <c r="FW9">
        <v>0</v>
      </c>
      <c r="GK9">
        <v>193</v>
      </c>
      <c r="GL9">
        <v>162</v>
      </c>
      <c r="GM9">
        <v>-1</v>
      </c>
      <c r="GN9">
        <v>0</v>
      </c>
      <c r="GO9" s="1">
        <v>26918</v>
      </c>
      <c r="GP9" s="1">
        <v>2184</v>
      </c>
      <c r="GQ9">
        <v>-1</v>
      </c>
      <c r="GR9">
        <v>0</v>
      </c>
      <c r="GS9">
        <v>20</v>
      </c>
      <c r="GU9" s="1">
        <v>11423</v>
      </c>
      <c r="GW9" s="1">
        <v>11581</v>
      </c>
      <c r="GX9" s="1">
        <v>2887</v>
      </c>
      <c r="GZ9" s="1">
        <v>1404</v>
      </c>
      <c r="HA9" s="1">
        <v>14310</v>
      </c>
      <c r="HC9" s="1">
        <v>12985</v>
      </c>
      <c r="HD9" s="1">
        <v>27295</v>
      </c>
      <c r="HE9">
        <v>17</v>
      </c>
      <c r="HF9" s="1">
        <v>27312</v>
      </c>
      <c r="HG9" s="1">
        <v>1362</v>
      </c>
      <c r="HH9" s="1">
        <v>3374</v>
      </c>
      <c r="HI9">
        <v>0</v>
      </c>
      <c r="HJ9">
        <v>0</v>
      </c>
      <c r="HK9" s="1">
        <v>4736</v>
      </c>
      <c r="HL9" s="1">
        <v>32048</v>
      </c>
      <c r="HM9">
        <v>15</v>
      </c>
      <c r="HN9">
        <v>99</v>
      </c>
      <c r="HO9">
        <v>114</v>
      </c>
      <c r="HP9">
        <v>174</v>
      </c>
      <c r="HQ9">
        <v>199</v>
      </c>
      <c r="HR9">
        <v>373</v>
      </c>
      <c r="HS9">
        <v>0</v>
      </c>
      <c r="HT9">
        <v>0</v>
      </c>
      <c r="HU9">
        <v>0</v>
      </c>
      <c r="HV9">
        <v>0</v>
      </c>
      <c r="HW9">
        <v>487</v>
      </c>
      <c r="HX9" s="1">
        <v>3336</v>
      </c>
      <c r="HY9" s="1">
        <v>1155</v>
      </c>
      <c r="HZ9" s="1">
        <v>4491</v>
      </c>
      <c r="IA9" s="1">
        <v>4978</v>
      </c>
      <c r="IB9" s="1">
        <v>1735</v>
      </c>
      <c r="IC9" s="1">
        <v>5109</v>
      </c>
      <c r="ID9" s="1">
        <v>32535</v>
      </c>
      <c r="IE9" s="1">
        <v>32535</v>
      </c>
      <c r="IF9" s="1">
        <v>37026</v>
      </c>
      <c r="IG9" s="1">
        <v>13217</v>
      </c>
      <c r="IH9">
        <v>-1</v>
      </c>
      <c r="IL9" s="3">
        <v>3.44E-2</v>
      </c>
      <c r="IM9" s="3">
        <v>4.0000000000000002E-4</v>
      </c>
      <c r="IN9" s="3">
        <v>0.31780000000000003</v>
      </c>
      <c r="IO9" s="3">
        <v>0</v>
      </c>
      <c r="IP9" s="3">
        <v>0.29399999999999998</v>
      </c>
      <c r="IQ9" s="3">
        <v>8.0000000000000004E-4</v>
      </c>
      <c r="IR9" s="3">
        <v>0.61409999999999998</v>
      </c>
      <c r="IS9" s="3">
        <v>5.1200000000000002E-2</v>
      </c>
      <c r="IT9" s="3">
        <v>0.40620000000000001</v>
      </c>
      <c r="IU9" s="1">
        <v>14825</v>
      </c>
      <c r="IV9" s="1">
        <v>5272</v>
      </c>
      <c r="IW9" s="1">
        <v>20097</v>
      </c>
      <c r="IX9" s="3">
        <v>0.57399999999999995</v>
      </c>
      <c r="IY9" s="1">
        <v>35331</v>
      </c>
      <c r="JA9">
        <v>18</v>
      </c>
      <c r="JB9">
        <v>0</v>
      </c>
      <c r="JC9">
        <v>82</v>
      </c>
      <c r="JD9">
        <v>2</v>
      </c>
      <c r="JE9">
        <v>0</v>
      </c>
      <c r="JF9">
        <v>193</v>
      </c>
      <c r="JG9">
        <v>20</v>
      </c>
      <c r="JH9">
        <v>0</v>
      </c>
      <c r="JI9">
        <v>275</v>
      </c>
      <c r="JJ9">
        <v>295</v>
      </c>
      <c r="JK9">
        <v>100</v>
      </c>
      <c r="JL9">
        <v>195</v>
      </c>
      <c r="JM9">
        <v>122</v>
      </c>
      <c r="JN9">
        <v>0</v>
      </c>
      <c r="JO9">
        <v>897</v>
      </c>
      <c r="JP9">
        <v>148</v>
      </c>
      <c r="JQ9">
        <v>0</v>
      </c>
      <c r="JR9" s="1">
        <v>3537</v>
      </c>
      <c r="JS9">
        <v>270</v>
      </c>
      <c r="JT9">
        <v>0</v>
      </c>
      <c r="JU9" s="1">
        <v>4434</v>
      </c>
      <c r="JV9" s="1">
        <v>4704</v>
      </c>
      <c r="JW9" s="1">
        <v>1019</v>
      </c>
      <c r="JX9" s="1">
        <v>3685</v>
      </c>
      <c r="JY9">
        <v>15.95</v>
      </c>
      <c r="JZ9">
        <v>13.5</v>
      </c>
      <c r="KA9">
        <v>16.12</v>
      </c>
      <c r="KB9">
        <v>0.06</v>
      </c>
      <c r="KC9">
        <v>0.94</v>
      </c>
      <c r="KD9">
        <v>13</v>
      </c>
      <c r="KE9">
        <v>35</v>
      </c>
      <c r="KF9">
        <v>0</v>
      </c>
      <c r="KG9">
        <v>0</v>
      </c>
      <c r="KN9" s="1">
        <v>3964</v>
      </c>
      <c r="KO9">
        <v>700</v>
      </c>
      <c r="KP9">
        <v>415</v>
      </c>
      <c r="KR9">
        <v>135</v>
      </c>
      <c r="KT9">
        <v>0</v>
      </c>
      <c r="KU9">
        <v>18</v>
      </c>
      <c r="KV9">
        <v>14</v>
      </c>
      <c r="KW9">
        <v>14</v>
      </c>
      <c r="KX9" s="1">
        <v>9017</v>
      </c>
      <c r="KZ9" s="1">
        <v>13266</v>
      </c>
      <c r="LD9" t="s">
        <v>447</v>
      </c>
      <c r="LE9" t="s">
        <v>379</v>
      </c>
      <c r="LF9" t="s">
        <v>444</v>
      </c>
      <c r="LG9" t="s">
        <v>445</v>
      </c>
      <c r="LH9">
        <v>28337</v>
      </c>
      <c r="LI9">
        <v>1419</v>
      </c>
      <c r="LJ9" t="s">
        <v>446</v>
      </c>
      <c r="LK9" t="s">
        <v>445</v>
      </c>
      <c r="LL9">
        <v>28337</v>
      </c>
      <c r="LM9">
        <v>1419</v>
      </c>
      <c r="LN9" t="s">
        <v>448</v>
      </c>
      <c r="LO9">
        <v>9108626990</v>
      </c>
      <c r="LP9">
        <v>9108628777</v>
      </c>
      <c r="LQ9" s="1">
        <v>15132</v>
      </c>
      <c r="LR9">
        <v>10.26</v>
      </c>
      <c r="LT9" s="1">
        <v>6496</v>
      </c>
      <c r="LU9">
        <v>202</v>
      </c>
      <c r="LX9">
        <v>2</v>
      </c>
      <c r="LY9" t="s">
        <v>454</v>
      </c>
      <c r="LZ9">
        <v>0</v>
      </c>
      <c r="MA9" t="s">
        <v>363</v>
      </c>
      <c r="MB9">
        <v>25</v>
      </c>
      <c r="MC9">
        <v>5</v>
      </c>
      <c r="ME9" s="574">
        <v>15.33</v>
      </c>
      <c r="MF9" s="574">
        <v>13.21</v>
      </c>
      <c r="MG9" s="574">
        <v>0.71</v>
      </c>
      <c r="MH9" s="574">
        <v>24.81</v>
      </c>
      <c r="MI9" s="574">
        <v>21.38</v>
      </c>
      <c r="MJ9" s="574">
        <v>1.1499999999999999</v>
      </c>
      <c r="MK9" s="574">
        <v>14.11</v>
      </c>
      <c r="ML9" s="574">
        <v>12.16</v>
      </c>
      <c r="MM9" s="574">
        <v>0.66</v>
      </c>
      <c r="MN9" s="574">
        <v>125.79</v>
      </c>
      <c r="MO9" s="574">
        <v>108.42</v>
      </c>
      <c r="MP9" s="574">
        <v>5.85</v>
      </c>
      <c r="MQ9" s="574">
        <v>106</v>
      </c>
      <c r="MR9" s="574">
        <v>91.36</v>
      </c>
      <c r="MS9" s="574">
        <v>4.93</v>
      </c>
      <c r="MT9" s="574">
        <v>37.729999999999997</v>
      </c>
      <c r="MU9" s="574">
        <v>32.520000000000003</v>
      </c>
      <c r="MV9" s="574">
        <v>1.75</v>
      </c>
      <c r="MW9">
        <v>386</v>
      </c>
      <c r="MX9" s="1">
        <v>3964</v>
      </c>
      <c r="MY9" s="1">
        <v>3964</v>
      </c>
      <c r="MZ9" s="1">
        <v>3444</v>
      </c>
      <c r="NA9" s="1">
        <v>35331</v>
      </c>
      <c r="NB9" s="1">
        <v>35331</v>
      </c>
      <c r="NC9" s="1">
        <v>32535</v>
      </c>
      <c r="ND9" s="1">
        <v>32535</v>
      </c>
      <c r="NE9">
        <v>0.36</v>
      </c>
      <c r="NF9" s="1">
        <v>3171</v>
      </c>
      <c r="NG9">
        <v>1.52</v>
      </c>
      <c r="NH9">
        <v>0.92900000000000005</v>
      </c>
      <c r="NI9">
        <v>1.01</v>
      </c>
      <c r="NJ9">
        <v>0</v>
      </c>
      <c r="NK9">
        <v>0.9</v>
      </c>
      <c r="NL9">
        <v>0.1132</v>
      </c>
      <c r="NM9">
        <v>0.3775</v>
      </c>
      <c r="NN9">
        <v>0.56999999999999995</v>
      </c>
      <c r="NO9">
        <v>0.13</v>
      </c>
      <c r="NP9">
        <v>0</v>
      </c>
      <c r="NQ9">
        <v>0</v>
      </c>
      <c r="NR9">
        <v>0.26</v>
      </c>
      <c r="NS9">
        <v>0.01</v>
      </c>
      <c r="NT9">
        <v>0.13</v>
      </c>
      <c r="NU9" s="574">
        <v>12.28</v>
      </c>
      <c r="NV9">
        <v>2.6150000000000002</v>
      </c>
      <c r="NW9">
        <v>0</v>
      </c>
      <c r="NX9">
        <v>1E-3</v>
      </c>
      <c r="NY9">
        <v>0.76900000000000002</v>
      </c>
      <c r="NZ9">
        <v>2E-3</v>
      </c>
      <c r="OA9">
        <v>4.9799999999999997E-2</v>
      </c>
      <c r="OB9">
        <v>0.51049999999999995</v>
      </c>
      <c r="OC9">
        <v>1.9410000000000001</v>
      </c>
      <c r="OD9">
        <v>1.6060000000000001</v>
      </c>
      <c r="OE9">
        <v>0.26450000000000001</v>
      </c>
      <c r="OF9" s="2">
        <v>1339.404</v>
      </c>
      <c r="OG9">
        <v>3.782</v>
      </c>
      <c r="OH9" s="574">
        <v>1.3</v>
      </c>
      <c r="OI9">
        <v>233</v>
      </c>
      <c r="OJ9">
        <v>157</v>
      </c>
      <c r="OK9" s="574">
        <v>14.24</v>
      </c>
      <c r="OL9" s="574">
        <v>0.66</v>
      </c>
      <c r="OM9" s="574">
        <v>0.42</v>
      </c>
      <c r="ON9">
        <v>0.29310000000000003</v>
      </c>
      <c r="OO9">
        <v>2.86E-2</v>
      </c>
      <c r="OP9">
        <v>0.46079999999999999</v>
      </c>
      <c r="OQ9" s="574">
        <v>2.66</v>
      </c>
      <c r="OR9" s="574">
        <v>11.68</v>
      </c>
      <c r="OS9" s="574">
        <v>0.11</v>
      </c>
      <c r="OT9" s="574">
        <v>0</v>
      </c>
      <c r="OU9" s="574">
        <v>14.45</v>
      </c>
      <c r="OV9">
        <v>0</v>
      </c>
      <c r="OW9">
        <v>0</v>
      </c>
      <c r="OX9">
        <v>0.92</v>
      </c>
      <c r="OY9">
        <v>626</v>
      </c>
      <c r="OZ9">
        <v>5.44</v>
      </c>
      <c r="PA9">
        <v>679</v>
      </c>
      <c r="PB9">
        <v>0.61</v>
      </c>
      <c r="PC9">
        <v>5.01</v>
      </c>
      <c r="PD9">
        <v>0.11</v>
      </c>
      <c r="PE9">
        <v>76</v>
      </c>
      <c r="PF9">
        <v>2.81</v>
      </c>
      <c r="PG9" s="574">
        <v>0.66</v>
      </c>
      <c r="PH9">
        <v>2.59</v>
      </c>
      <c r="PI9">
        <v>18.55</v>
      </c>
      <c r="PJ9">
        <v>1.62</v>
      </c>
      <c r="PK9" s="574">
        <v>14.11</v>
      </c>
      <c r="PL9">
        <v>20.82</v>
      </c>
      <c r="PM9" s="4">
        <v>41888</v>
      </c>
      <c r="PN9" s="4">
        <v>29599</v>
      </c>
      <c r="PO9">
        <v>0.31540000000000001</v>
      </c>
      <c r="PP9">
        <v>2.5882999999999998</v>
      </c>
      <c r="PQ9">
        <v>0.29039999999999999</v>
      </c>
      <c r="PR9">
        <v>3.0700000000000002E-2</v>
      </c>
      <c r="PS9">
        <v>0.25230000000000002</v>
      </c>
      <c r="PT9">
        <v>2.8299999999999999E-2</v>
      </c>
      <c r="PU9" s="3">
        <v>1</v>
      </c>
      <c r="PV9" s="3">
        <v>9.7500000000000003E-2</v>
      </c>
      <c r="PW9" s="3">
        <v>0.90249999999999997</v>
      </c>
      <c r="PX9" s="3">
        <v>0.29339999999999999</v>
      </c>
      <c r="PY9" s="3">
        <v>0.70660000000000001</v>
      </c>
      <c r="PZ9" s="3">
        <v>4.65E-2</v>
      </c>
      <c r="QA9" s="3">
        <v>7.4000000000000003E-3</v>
      </c>
      <c r="QB9" s="3">
        <v>0.25290000000000001</v>
      </c>
      <c r="QC9" s="3">
        <v>9.7000000000000003E-3</v>
      </c>
      <c r="QD9" s="3">
        <v>9.1600000000000001E-2</v>
      </c>
      <c r="QE9" s="3">
        <v>2.9399999999999999E-2</v>
      </c>
      <c r="QF9" s="3">
        <v>0.60899999999999999</v>
      </c>
      <c r="QG9" s="3">
        <v>0.8619</v>
      </c>
      <c r="QH9" s="3">
        <v>7.7000000000000002E-3</v>
      </c>
      <c r="QI9" s="3">
        <v>0.8085</v>
      </c>
      <c r="QJ9" s="3">
        <v>0</v>
      </c>
      <c r="QK9" s="3">
        <v>0.18379999999999999</v>
      </c>
      <c r="QL9" s="4">
        <v>12289</v>
      </c>
      <c r="QM9">
        <v>1.76</v>
      </c>
      <c r="QN9" s="1">
        <v>35011</v>
      </c>
      <c r="QO9" s="1">
        <v>35011</v>
      </c>
      <c r="QP9" s="1">
        <v>3412</v>
      </c>
      <c r="QQ9" s="3">
        <v>0.63109999999999999</v>
      </c>
      <c r="QR9" s="3">
        <v>0.1595</v>
      </c>
      <c r="QS9" s="3">
        <v>0.2094</v>
      </c>
      <c r="QT9" s="3">
        <v>9.7500000000000003E-2</v>
      </c>
      <c r="QU9">
        <v>0.11</v>
      </c>
      <c r="QV9">
        <v>0.26</v>
      </c>
      <c r="QW9">
        <v>0.08</v>
      </c>
      <c r="QX9">
        <v>9</v>
      </c>
      <c r="QY9">
        <v>2.2200000000000002</v>
      </c>
      <c r="QZ9">
        <v>7</v>
      </c>
      <c r="RA9">
        <v>1.4</v>
      </c>
      <c r="RB9">
        <v>7.0000000000000007E-2</v>
      </c>
      <c r="RC9">
        <v>0.06</v>
      </c>
    </row>
    <row r="10" spans="1:471" x14ac:dyDescent="0.25">
      <c r="A10" t="s">
        <v>455</v>
      </c>
      <c r="B10">
        <v>11685</v>
      </c>
      <c r="C10" t="s">
        <v>1754</v>
      </c>
      <c r="D10" t="s">
        <v>1754</v>
      </c>
      <c r="E10" t="s">
        <v>1754</v>
      </c>
      <c r="F10" t="s">
        <v>1755</v>
      </c>
      <c r="G10" t="s">
        <v>1755</v>
      </c>
      <c r="H10" t="s">
        <v>456</v>
      </c>
      <c r="I10" t="s">
        <v>342</v>
      </c>
      <c r="J10" t="s">
        <v>366</v>
      </c>
      <c r="K10" t="s">
        <v>344</v>
      </c>
      <c r="L10" t="s">
        <v>345</v>
      </c>
      <c r="M10" t="s">
        <v>457</v>
      </c>
      <c r="N10" t="s">
        <v>347</v>
      </c>
      <c r="O10" s="1">
        <v>89067</v>
      </c>
      <c r="P10" t="s">
        <v>348</v>
      </c>
      <c r="Q10" s="1">
        <v>1448</v>
      </c>
      <c r="R10">
        <v>75</v>
      </c>
      <c r="S10">
        <v>9</v>
      </c>
      <c r="T10">
        <v>11</v>
      </c>
      <c r="U10" s="1">
        <v>4719</v>
      </c>
      <c r="V10">
        <v>161</v>
      </c>
      <c r="W10" s="1">
        <v>22937</v>
      </c>
      <c r="X10" s="1">
        <v>2536</v>
      </c>
      <c r="AC10" t="s">
        <v>458</v>
      </c>
      <c r="AD10" t="s">
        <v>459</v>
      </c>
      <c r="AE10">
        <v>27804</v>
      </c>
      <c r="AF10">
        <v>4842</v>
      </c>
      <c r="AG10" t="s">
        <v>458</v>
      </c>
      <c r="AH10" t="s">
        <v>459</v>
      </c>
      <c r="AI10">
        <v>27804</v>
      </c>
      <c r="AJ10">
        <v>1</v>
      </c>
      <c r="AK10" t="s">
        <v>460</v>
      </c>
      <c r="AM10" t="s">
        <v>0</v>
      </c>
      <c r="AN10" t="s">
        <v>461</v>
      </c>
      <c r="AO10" t="s">
        <v>462</v>
      </c>
      <c r="AP10">
        <v>2524421951</v>
      </c>
      <c r="AQ10" t="s">
        <v>464</v>
      </c>
      <c r="AR10" t="s">
        <v>465</v>
      </c>
      <c r="AS10" t="s">
        <v>466</v>
      </c>
      <c r="AT10" t="s">
        <v>376</v>
      </c>
      <c r="AU10" t="s">
        <v>463</v>
      </c>
      <c r="AV10" t="s">
        <v>464</v>
      </c>
      <c r="AW10" t="s">
        <v>465</v>
      </c>
      <c r="AX10" t="s">
        <v>467</v>
      </c>
      <c r="AY10">
        <v>0</v>
      </c>
      <c r="AZ10">
        <v>0</v>
      </c>
      <c r="BA10">
        <v>0</v>
      </c>
      <c r="BB10" s="573">
        <v>42186</v>
      </c>
      <c r="BC10" s="573">
        <v>42551</v>
      </c>
      <c r="BD10">
        <v>1</v>
      </c>
      <c r="BE10">
        <v>2</v>
      </c>
      <c r="BF10">
        <v>0</v>
      </c>
      <c r="BG10">
        <v>3</v>
      </c>
      <c r="BH10">
        <v>6</v>
      </c>
      <c r="BJ10" s="1">
        <v>3770</v>
      </c>
      <c r="BK10">
        <v>8.9</v>
      </c>
      <c r="BL10">
        <v>0</v>
      </c>
      <c r="BM10">
        <v>8.9</v>
      </c>
      <c r="BN10">
        <v>16.5</v>
      </c>
      <c r="BO10">
        <v>25.4</v>
      </c>
      <c r="BP10" s="3">
        <v>0.35039999999999999</v>
      </c>
      <c r="BQ10" s="1">
        <v>1908</v>
      </c>
      <c r="BR10" s="4">
        <v>76600</v>
      </c>
      <c r="DW10" s="4">
        <v>613260</v>
      </c>
      <c r="DX10" s="4">
        <v>1046182</v>
      </c>
      <c r="DY10" s="4">
        <v>1659442</v>
      </c>
      <c r="DZ10" s="4">
        <v>131397</v>
      </c>
      <c r="EA10" s="4">
        <v>0</v>
      </c>
      <c r="EB10" s="4">
        <v>131397</v>
      </c>
      <c r="EC10" s="4">
        <v>32163</v>
      </c>
      <c r="ED10" s="4">
        <v>0</v>
      </c>
      <c r="EE10" s="4">
        <v>32163</v>
      </c>
      <c r="EF10" s="4">
        <v>338294</v>
      </c>
      <c r="EG10" s="4">
        <v>2161296</v>
      </c>
      <c r="EH10" s="4">
        <v>1068836</v>
      </c>
      <c r="EI10" s="4">
        <v>337058</v>
      </c>
      <c r="EJ10" s="4">
        <v>1405894</v>
      </c>
      <c r="EK10" s="4">
        <v>71957</v>
      </c>
      <c r="EL10" s="4">
        <v>24121</v>
      </c>
      <c r="EM10" s="4">
        <v>25324</v>
      </c>
      <c r="EN10" s="4">
        <v>121402</v>
      </c>
      <c r="EO10" s="4">
        <v>565194</v>
      </c>
      <c r="EP10" s="4">
        <v>2092490</v>
      </c>
      <c r="EQ10" s="4">
        <v>68806</v>
      </c>
      <c r="ER10" s="3">
        <v>3.1800000000000002E-2</v>
      </c>
      <c r="ES10" s="4">
        <v>17894</v>
      </c>
      <c r="ET10" s="4">
        <v>0</v>
      </c>
      <c r="EU10" s="4">
        <v>0</v>
      </c>
      <c r="EV10" s="4">
        <v>0</v>
      </c>
      <c r="EW10" s="4">
        <v>17894</v>
      </c>
      <c r="EX10" s="4">
        <v>27663</v>
      </c>
      <c r="EY10" s="1">
        <v>9027</v>
      </c>
      <c r="EZ10" s="1">
        <v>157237</v>
      </c>
      <c r="FA10" s="1">
        <v>23286</v>
      </c>
      <c r="FB10" s="1">
        <v>4243</v>
      </c>
      <c r="FC10" s="1">
        <v>29842</v>
      </c>
      <c r="FD10" s="1">
        <v>23996</v>
      </c>
      <c r="FE10" s="1">
        <v>1145</v>
      </c>
      <c r="FF10" s="1">
        <v>13702</v>
      </c>
      <c r="FG10" s="1">
        <v>47282</v>
      </c>
      <c r="FH10" s="1">
        <v>5388</v>
      </c>
      <c r="FI10" s="1">
        <v>43544</v>
      </c>
      <c r="FJ10" s="1">
        <v>96214</v>
      </c>
      <c r="FK10">
        <v>842</v>
      </c>
      <c r="FL10">
        <v>106</v>
      </c>
      <c r="FN10" s="1">
        <v>96214</v>
      </c>
      <c r="FO10" s="1">
        <v>3266</v>
      </c>
      <c r="FP10" s="1">
        <v>2556</v>
      </c>
      <c r="FQ10">
        <v>243</v>
      </c>
      <c r="FR10">
        <v>3</v>
      </c>
      <c r="FS10">
        <v>74</v>
      </c>
      <c r="FT10">
        <v>77</v>
      </c>
      <c r="FU10" s="1">
        <v>26725</v>
      </c>
      <c r="FV10" s="1">
        <v>2022</v>
      </c>
      <c r="FW10">
        <v>0</v>
      </c>
      <c r="GC10" s="1">
        <v>23798</v>
      </c>
      <c r="GD10" s="1">
        <v>1183</v>
      </c>
      <c r="GE10">
        <v>205</v>
      </c>
      <c r="GK10">
        <v>0</v>
      </c>
      <c r="GL10">
        <v>0</v>
      </c>
      <c r="GM10">
        <v>0</v>
      </c>
      <c r="GN10">
        <v>0</v>
      </c>
      <c r="GO10" s="1">
        <v>50523</v>
      </c>
      <c r="GP10" s="1">
        <v>3205</v>
      </c>
      <c r="GQ10">
        <v>205</v>
      </c>
      <c r="GR10">
        <v>0</v>
      </c>
      <c r="GS10">
        <v>52</v>
      </c>
      <c r="GU10" s="1">
        <v>59841</v>
      </c>
      <c r="GV10" s="1">
        <v>10819</v>
      </c>
      <c r="GW10" s="1">
        <v>79514</v>
      </c>
      <c r="GX10" s="1">
        <v>20262</v>
      </c>
      <c r="GY10">
        <v>914</v>
      </c>
      <c r="GZ10" s="1">
        <v>15179</v>
      </c>
      <c r="HA10" s="1">
        <v>80103</v>
      </c>
      <c r="HB10" s="1">
        <v>11733</v>
      </c>
      <c r="HC10" s="1">
        <v>94693</v>
      </c>
      <c r="HD10" s="1">
        <v>186529</v>
      </c>
      <c r="HE10">
        <v>797</v>
      </c>
      <c r="HF10" s="1">
        <v>187326</v>
      </c>
      <c r="HG10" s="1">
        <v>8776</v>
      </c>
      <c r="HH10" s="1">
        <v>29294</v>
      </c>
      <c r="HJ10">
        <v>341</v>
      </c>
      <c r="HK10" s="1">
        <v>38411</v>
      </c>
      <c r="HL10" s="1">
        <v>225737</v>
      </c>
      <c r="HM10">
        <v>188</v>
      </c>
      <c r="HN10" s="1">
        <v>17756</v>
      </c>
      <c r="HO10" s="1">
        <v>17944</v>
      </c>
      <c r="HP10">
        <v>100</v>
      </c>
      <c r="HQ10" s="1">
        <v>1461</v>
      </c>
      <c r="HR10" s="1">
        <v>1561</v>
      </c>
      <c r="HS10">
        <v>0</v>
      </c>
      <c r="HT10">
        <v>22</v>
      </c>
      <c r="HU10">
        <v>22</v>
      </c>
      <c r="HV10">
        <v>0</v>
      </c>
      <c r="HW10" s="1">
        <v>19527</v>
      </c>
      <c r="HX10" s="1">
        <v>22272</v>
      </c>
      <c r="HY10">
        <v>787</v>
      </c>
      <c r="HZ10" s="1">
        <v>23059</v>
      </c>
      <c r="IA10" s="1">
        <v>42586</v>
      </c>
      <c r="IB10" s="1">
        <v>10337</v>
      </c>
      <c r="IC10" s="1">
        <v>39653</v>
      </c>
      <c r="ID10" s="1">
        <v>245264</v>
      </c>
      <c r="IE10" s="1">
        <v>245264</v>
      </c>
      <c r="IF10" s="1">
        <v>268323</v>
      </c>
      <c r="IG10" s="1">
        <v>130874</v>
      </c>
      <c r="IH10" s="1">
        <v>7522</v>
      </c>
      <c r="IK10">
        <v>1</v>
      </c>
      <c r="IL10" s="3">
        <v>1.7600000000000001E-2</v>
      </c>
      <c r="IM10" s="3">
        <v>6.9999999999999999E-4</v>
      </c>
      <c r="IN10" s="3">
        <v>0.34300000000000003</v>
      </c>
      <c r="IO10" s="3">
        <v>0</v>
      </c>
      <c r="IP10" s="3">
        <v>0.32129999999999997</v>
      </c>
      <c r="IQ10" s="3">
        <v>5.0000000000000001E-4</v>
      </c>
      <c r="IR10" s="3">
        <v>0.6119</v>
      </c>
      <c r="IS10" s="3">
        <v>4.1200000000000001E-2</v>
      </c>
      <c r="IT10" s="3">
        <v>0.53359999999999996</v>
      </c>
      <c r="IU10" s="1">
        <v>12391</v>
      </c>
      <c r="IV10" s="1">
        <v>5177</v>
      </c>
      <c r="IW10" s="1">
        <v>17568</v>
      </c>
      <c r="IX10" s="3">
        <v>0.19719999999999999</v>
      </c>
      <c r="IY10" s="1">
        <v>195064</v>
      </c>
      <c r="JA10">
        <v>340</v>
      </c>
      <c r="JB10">
        <v>57</v>
      </c>
      <c r="JC10">
        <v>272</v>
      </c>
      <c r="JD10">
        <v>18</v>
      </c>
      <c r="JE10">
        <v>5</v>
      </c>
      <c r="JF10">
        <v>951</v>
      </c>
      <c r="JG10">
        <v>358</v>
      </c>
      <c r="JH10">
        <v>62</v>
      </c>
      <c r="JI10" s="1">
        <v>1223</v>
      </c>
      <c r="JJ10" s="1">
        <v>1643</v>
      </c>
      <c r="JK10">
        <v>669</v>
      </c>
      <c r="JL10">
        <v>974</v>
      </c>
      <c r="JM10">
        <v>878</v>
      </c>
      <c r="JN10">
        <v>964</v>
      </c>
      <c r="JO10" s="1">
        <v>11207</v>
      </c>
      <c r="JP10">
        <v>551</v>
      </c>
      <c r="JQ10" s="1">
        <v>1240</v>
      </c>
      <c r="JR10" s="1">
        <v>28739</v>
      </c>
      <c r="JS10" s="1">
        <v>1429</v>
      </c>
      <c r="JT10" s="1">
        <v>2204</v>
      </c>
      <c r="JU10" s="1">
        <v>39946</v>
      </c>
      <c r="JV10" s="1">
        <v>43579</v>
      </c>
      <c r="JW10" s="1">
        <v>13049</v>
      </c>
      <c r="JX10" s="1">
        <v>30530</v>
      </c>
      <c r="JY10">
        <v>26.52</v>
      </c>
      <c r="JZ10">
        <v>3.99</v>
      </c>
      <c r="KA10">
        <v>32.659999999999997</v>
      </c>
      <c r="KB10">
        <v>0.03</v>
      </c>
      <c r="KC10">
        <v>0.92</v>
      </c>
      <c r="KD10">
        <v>67</v>
      </c>
      <c r="KE10">
        <v>204</v>
      </c>
      <c r="KF10">
        <v>158</v>
      </c>
      <c r="KG10">
        <v>174</v>
      </c>
      <c r="KN10" s="1">
        <v>38998</v>
      </c>
      <c r="KO10" s="1">
        <v>14261</v>
      </c>
      <c r="KP10" s="1">
        <v>4128</v>
      </c>
      <c r="KR10">
        <v>401</v>
      </c>
      <c r="KS10" s="1">
        <v>7005</v>
      </c>
      <c r="KT10">
        <v>44</v>
      </c>
      <c r="KU10">
        <v>144</v>
      </c>
      <c r="KV10">
        <v>40</v>
      </c>
      <c r="KW10">
        <v>87</v>
      </c>
      <c r="KX10" s="1">
        <v>121881</v>
      </c>
      <c r="KZ10" s="1">
        <v>144349</v>
      </c>
      <c r="LA10" s="1">
        <v>61028</v>
      </c>
      <c r="LD10" t="s">
        <v>468</v>
      </c>
      <c r="LE10" t="s">
        <v>469</v>
      </c>
      <c r="LF10" t="s">
        <v>458</v>
      </c>
      <c r="LG10" t="s">
        <v>459</v>
      </c>
      <c r="LH10">
        <v>27804</v>
      </c>
      <c r="LI10">
        <v>4842</v>
      </c>
      <c r="LJ10" t="s">
        <v>458</v>
      </c>
      <c r="LK10" t="s">
        <v>459</v>
      </c>
      <c r="LL10">
        <v>27804</v>
      </c>
      <c r="LM10">
        <v>4842</v>
      </c>
      <c r="LN10" t="s">
        <v>461</v>
      </c>
      <c r="LO10">
        <v>2524421951</v>
      </c>
      <c r="LP10">
        <v>2524427366</v>
      </c>
      <c r="LQ10" s="1">
        <v>60756</v>
      </c>
      <c r="LR10">
        <v>25.85</v>
      </c>
      <c r="LT10" s="1">
        <v>3770</v>
      </c>
      <c r="LU10">
        <v>104</v>
      </c>
      <c r="LX10">
        <v>2</v>
      </c>
      <c r="LY10" t="s">
        <v>456</v>
      </c>
      <c r="LZ10">
        <v>0</v>
      </c>
      <c r="MA10" t="s">
        <v>363</v>
      </c>
      <c r="MB10">
        <v>50</v>
      </c>
      <c r="MC10">
        <v>50</v>
      </c>
      <c r="ME10" s="574">
        <v>8.5299999999999994</v>
      </c>
      <c r="MF10" s="574">
        <v>5.73</v>
      </c>
      <c r="MG10" s="574">
        <v>0.49</v>
      </c>
      <c r="MH10" s="574">
        <v>119.11</v>
      </c>
      <c r="MI10" s="574">
        <v>80.03</v>
      </c>
      <c r="MJ10" s="574">
        <v>6.91</v>
      </c>
      <c r="MK10" s="574">
        <v>10.73</v>
      </c>
      <c r="ML10" s="574">
        <v>7.21</v>
      </c>
      <c r="MM10" s="574">
        <v>0.62</v>
      </c>
      <c r="MN10" s="574">
        <v>53.66</v>
      </c>
      <c r="MO10" s="574">
        <v>36.049999999999997</v>
      </c>
      <c r="MP10" s="574">
        <v>3.11</v>
      </c>
      <c r="MQ10" s="574">
        <v>48.02</v>
      </c>
      <c r="MR10" s="574">
        <v>32.26</v>
      </c>
      <c r="MS10" s="574">
        <v>2.79</v>
      </c>
      <c r="MT10" s="574">
        <v>15.99</v>
      </c>
      <c r="MU10" s="574">
        <v>10.74</v>
      </c>
      <c r="MV10" s="574">
        <v>0.93</v>
      </c>
      <c r="MW10" s="1">
        <v>1535</v>
      </c>
      <c r="MX10" s="1">
        <v>4382</v>
      </c>
      <c r="MY10" s="1">
        <v>4382</v>
      </c>
      <c r="MZ10" s="1">
        <v>7680</v>
      </c>
      <c r="NA10" s="1">
        <v>21917</v>
      </c>
      <c r="NB10" s="1">
        <v>21917</v>
      </c>
      <c r="NC10" s="1">
        <v>27558</v>
      </c>
      <c r="ND10" s="1">
        <v>27558</v>
      </c>
      <c r="NE10">
        <v>1.56</v>
      </c>
      <c r="NF10" s="1">
        <v>9656</v>
      </c>
      <c r="NG10">
        <v>4.6399999999999997</v>
      </c>
      <c r="NH10">
        <v>2.754</v>
      </c>
      <c r="NI10">
        <v>2.19</v>
      </c>
      <c r="NJ10">
        <v>2.5</v>
      </c>
      <c r="NK10">
        <v>8.1999999999999993</v>
      </c>
      <c r="NL10">
        <v>0.43790000000000001</v>
      </c>
      <c r="NM10">
        <v>1.4694</v>
      </c>
      <c r="NN10">
        <v>0.2</v>
      </c>
      <c r="NO10">
        <v>0.49</v>
      </c>
      <c r="NP10">
        <v>0</v>
      </c>
      <c r="NQ10">
        <v>0</v>
      </c>
      <c r="NR10">
        <v>1.37</v>
      </c>
      <c r="NS10">
        <v>0.02</v>
      </c>
      <c r="NT10">
        <v>0.45</v>
      </c>
      <c r="NU10" s="574">
        <v>15.78</v>
      </c>
      <c r="NV10">
        <v>1.7649999999999999</v>
      </c>
      <c r="NW10">
        <v>0</v>
      </c>
      <c r="NX10">
        <v>1E-3</v>
      </c>
      <c r="NY10">
        <v>0.56699999999999995</v>
      </c>
      <c r="NZ10">
        <v>1E-3</v>
      </c>
      <c r="OA10">
        <v>0.50660000000000005</v>
      </c>
      <c r="OB10">
        <v>1.4458</v>
      </c>
      <c r="OC10">
        <v>6.0339999999999998</v>
      </c>
      <c r="OD10">
        <v>1.08</v>
      </c>
      <c r="OE10">
        <v>0.18529999999999999</v>
      </c>
      <c r="OF10" s="2">
        <v>2875.8539999999998</v>
      </c>
      <c r="OG10">
        <v>4.383</v>
      </c>
      <c r="OH10" s="574">
        <v>6.35</v>
      </c>
      <c r="OI10">
        <v>368</v>
      </c>
      <c r="OJ10">
        <v>157</v>
      </c>
      <c r="OK10" s="574">
        <v>23.49</v>
      </c>
      <c r="OL10" s="574">
        <v>1.36</v>
      </c>
      <c r="OM10" s="574">
        <v>0.81</v>
      </c>
      <c r="ON10">
        <v>0.28520000000000001</v>
      </c>
      <c r="OO10">
        <v>9.9900000000000003E-2</v>
      </c>
      <c r="OP10">
        <v>0.93920000000000003</v>
      </c>
      <c r="OQ10" s="574">
        <v>1.48</v>
      </c>
      <c r="OR10" s="574">
        <v>18.63</v>
      </c>
      <c r="OS10" s="574">
        <v>0.36</v>
      </c>
      <c r="OT10" s="574">
        <v>3.8</v>
      </c>
      <c r="OU10" s="574">
        <v>24.27</v>
      </c>
      <c r="OV10">
        <v>1</v>
      </c>
      <c r="OW10">
        <v>3</v>
      </c>
      <c r="OX10">
        <v>1.26</v>
      </c>
      <c r="OY10" s="1">
        <v>4717</v>
      </c>
      <c r="OZ10">
        <v>51.74</v>
      </c>
      <c r="PA10" s="1">
        <v>3751</v>
      </c>
      <c r="PB10">
        <v>10.34</v>
      </c>
      <c r="PC10">
        <v>65.06</v>
      </c>
      <c r="PD10">
        <v>0.2</v>
      </c>
      <c r="PE10">
        <v>750</v>
      </c>
      <c r="PF10">
        <v>0.64</v>
      </c>
      <c r="PG10" s="574">
        <v>0.62</v>
      </c>
      <c r="PH10">
        <v>0.81</v>
      </c>
      <c r="PI10">
        <v>4.2300000000000004</v>
      </c>
      <c r="PJ10">
        <v>13.96</v>
      </c>
      <c r="PK10" s="574">
        <v>10.73</v>
      </c>
      <c r="PL10">
        <v>12.08</v>
      </c>
      <c r="PM10" s="4">
        <v>55350</v>
      </c>
      <c r="PN10" s="4">
        <v>42080</v>
      </c>
      <c r="PO10">
        <v>0.1036</v>
      </c>
      <c r="PP10">
        <v>0.65129999999999999</v>
      </c>
      <c r="PQ10">
        <v>0.13020000000000001</v>
      </c>
      <c r="PR10">
        <v>3.6299999999999999E-2</v>
      </c>
      <c r="PS10">
        <v>0.22819999999999999</v>
      </c>
      <c r="PT10">
        <v>4.5600000000000002E-2</v>
      </c>
      <c r="PU10" s="3">
        <v>1</v>
      </c>
      <c r="PV10" s="3">
        <v>0.35039999999999999</v>
      </c>
      <c r="PW10" s="3">
        <v>0.64959999999999996</v>
      </c>
      <c r="PX10" s="3">
        <v>0.2397</v>
      </c>
      <c r="PY10" s="3">
        <v>0.76029999999999998</v>
      </c>
      <c r="PZ10" s="3">
        <v>5.8000000000000003E-2</v>
      </c>
      <c r="QA10" s="3">
        <v>1.15E-2</v>
      </c>
      <c r="QB10" s="3">
        <v>0.16109999999999999</v>
      </c>
      <c r="QC10" s="3">
        <v>1.21E-2</v>
      </c>
      <c r="QD10" s="3">
        <v>0.27010000000000001</v>
      </c>
      <c r="QE10" s="3">
        <v>3.44E-2</v>
      </c>
      <c r="QF10" s="3">
        <v>0.51080000000000003</v>
      </c>
      <c r="QG10" s="3">
        <v>0.67190000000000005</v>
      </c>
      <c r="QH10" s="3">
        <v>1.49E-2</v>
      </c>
      <c r="QI10" s="3">
        <v>0.76780000000000004</v>
      </c>
      <c r="QJ10" s="3">
        <v>0.1565</v>
      </c>
      <c r="QK10" s="3">
        <v>6.08E-2</v>
      </c>
      <c r="QL10" s="4">
        <v>13270</v>
      </c>
      <c r="QM10">
        <v>11.1</v>
      </c>
      <c r="QN10" s="1">
        <v>10008</v>
      </c>
      <c r="QO10" s="1">
        <v>10008</v>
      </c>
      <c r="QP10" s="1">
        <v>3507</v>
      </c>
      <c r="QQ10" s="3">
        <v>0.5927</v>
      </c>
      <c r="QR10" s="3">
        <v>0.19869999999999999</v>
      </c>
      <c r="QS10" s="3">
        <v>0.20860000000000001</v>
      </c>
      <c r="QT10" s="3">
        <v>0.35039999999999999</v>
      </c>
      <c r="QU10">
        <v>0.23</v>
      </c>
      <c r="QV10">
        <v>0.73</v>
      </c>
      <c r="QW10">
        <v>0.17</v>
      </c>
      <c r="QX10">
        <v>10</v>
      </c>
      <c r="QY10">
        <v>3.41</v>
      </c>
      <c r="QZ10">
        <v>10</v>
      </c>
      <c r="RA10">
        <v>2.02</v>
      </c>
      <c r="RB10">
        <v>0.12</v>
      </c>
      <c r="RC10">
        <v>0.11</v>
      </c>
    </row>
    <row r="11" spans="1:471" x14ac:dyDescent="0.25">
      <c r="A11" t="s">
        <v>470</v>
      </c>
      <c r="B11">
        <v>11657</v>
      </c>
      <c r="C11" t="s">
        <v>1754</v>
      </c>
      <c r="D11" t="s">
        <v>1754</v>
      </c>
      <c r="E11" t="s">
        <v>1754</v>
      </c>
      <c r="F11" t="s">
        <v>1755</v>
      </c>
      <c r="G11" t="s">
        <v>1755</v>
      </c>
      <c r="H11" t="s">
        <v>471</v>
      </c>
      <c r="I11" t="s">
        <v>342</v>
      </c>
      <c r="J11" t="s">
        <v>343</v>
      </c>
      <c r="K11" t="s">
        <v>344</v>
      </c>
      <c r="L11" t="s">
        <v>345</v>
      </c>
      <c r="M11" t="s">
        <v>346</v>
      </c>
      <c r="N11" t="s">
        <v>347</v>
      </c>
      <c r="O11" s="1">
        <v>123535</v>
      </c>
      <c r="P11" t="s">
        <v>472</v>
      </c>
      <c r="Q11">
        <v>675</v>
      </c>
      <c r="S11">
        <v>65</v>
      </c>
      <c r="T11">
        <v>0</v>
      </c>
      <c r="U11" s="1">
        <v>3173</v>
      </c>
      <c r="V11">
        <v>0</v>
      </c>
      <c r="W11" s="1">
        <v>27071</v>
      </c>
      <c r="Y11" s="1">
        <v>312160</v>
      </c>
      <c r="AC11" t="s">
        <v>473</v>
      </c>
      <c r="AD11" t="s">
        <v>474</v>
      </c>
      <c r="AE11">
        <v>28461</v>
      </c>
      <c r="AF11">
        <v>3827</v>
      </c>
      <c r="AG11" t="s">
        <v>473</v>
      </c>
      <c r="AH11" t="s">
        <v>474</v>
      </c>
      <c r="AI11">
        <v>28461</v>
      </c>
      <c r="AJ11">
        <v>3</v>
      </c>
      <c r="AK11" t="s">
        <v>475</v>
      </c>
      <c r="AM11" t="s">
        <v>0</v>
      </c>
      <c r="AN11" t="s">
        <v>476</v>
      </c>
      <c r="AO11" t="s">
        <v>477</v>
      </c>
      <c r="AP11">
        <v>9102784283</v>
      </c>
      <c r="AQ11" t="s">
        <v>479</v>
      </c>
      <c r="AR11" t="s">
        <v>480</v>
      </c>
      <c r="AS11" t="s">
        <v>477</v>
      </c>
      <c r="AT11" t="s">
        <v>376</v>
      </c>
      <c r="AU11" t="s">
        <v>478</v>
      </c>
      <c r="AV11" t="s">
        <v>479</v>
      </c>
      <c r="AW11" t="s">
        <v>480</v>
      </c>
      <c r="AX11" t="s">
        <v>481</v>
      </c>
      <c r="AY11">
        <v>0</v>
      </c>
      <c r="AZ11">
        <v>0</v>
      </c>
      <c r="BA11">
        <v>0</v>
      </c>
      <c r="BB11" s="573">
        <v>42186</v>
      </c>
      <c r="BC11" s="573">
        <v>42551</v>
      </c>
      <c r="BD11">
        <v>0</v>
      </c>
      <c r="BE11">
        <v>5</v>
      </c>
      <c r="BF11">
        <v>0</v>
      </c>
      <c r="BG11">
        <v>0</v>
      </c>
      <c r="BH11">
        <v>5</v>
      </c>
      <c r="BJ11" s="1">
        <v>11852</v>
      </c>
      <c r="BK11">
        <v>1</v>
      </c>
      <c r="BL11">
        <v>0</v>
      </c>
      <c r="BM11">
        <v>1</v>
      </c>
      <c r="BN11">
        <v>15</v>
      </c>
      <c r="BO11">
        <v>16</v>
      </c>
      <c r="BP11" s="3">
        <v>6.25E-2</v>
      </c>
      <c r="BQ11" s="1">
        <v>2835</v>
      </c>
      <c r="BR11" s="4">
        <v>107769</v>
      </c>
      <c r="DW11" s="4">
        <v>0</v>
      </c>
      <c r="DX11" s="4">
        <v>1124513</v>
      </c>
      <c r="DY11" s="4">
        <v>1124513</v>
      </c>
      <c r="DZ11" s="4">
        <v>139960</v>
      </c>
      <c r="EA11" s="4">
        <v>0</v>
      </c>
      <c r="EB11" s="4">
        <v>139960</v>
      </c>
      <c r="EC11" s="4">
        <v>0</v>
      </c>
      <c r="ED11" s="4">
        <v>0</v>
      </c>
      <c r="EE11" s="4">
        <v>0</v>
      </c>
      <c r="EF11" s="4">
        <v>0</v>
      </c>
      <c r="EG11" s="4">
        <v>1264473</v>
      </c>
      <c r="EH11" s="4">
        <v>671375</v>
      </c>
      <c r="EI11" s="4">
        <v>290953</v>
      </c>
      <c r="EJ11" s="4">
        <v>962328</v>
      </c>
      <c r="EK11" s="4">
        <v>66352</v>
      </c>
      <c r="EL11" s="4">
        <v>8000</v>
      </c>
      <c r="EM11" s="4">
        <v>9129</v>
      </c>
      <c r="EN11" s="4">
        <v>83481</v>
      </c>
      <c r="EO11" s="4">
        <v>169426</v>
      </c>
      <c r="EP11" s="4">
        <v>1215235</v>
      </c>
      <c r="EQ11" s="4">
        <v>49238</v>
      </c>
      <c r="ER11" s="3">
        <v>3.8899999999999997E-2</v>
      </c>
      <c r="ES11" s="4">
        <v>0</v>
      </c>
      <c r="ET11" s="4">
        <v>0</v>
      </c>
      <c r="EU11" s="4">
        <v>0</v>
      </c>
      <c r="EV11" s="4">
        <v>0</v>
      </c>
      <c r="EW11" s="4">
        <v>0</v>
      </c>
      <c r="EX11" s="4">
        <v>0</v>
      </c>
      <c r="EY11" s="1">
        <v>11559</v>
      </c>
      <c r="EZ11" s="1">
        <v>202247</v>
      </c>
      <c r="FA11" s="1">
        <v>49693</v>
      </c>
      <c r="FB11" s="1">
        <v>25007</v>
      </c>
      <c r="FC11" s="1">
        <v>30993</v>
      </c>
      <c r="FD11" s="1">
        <v>37139</v>
      </c>
      <c r="FE11">
        <v>0</v>
      </c>
      <c r="FF11" s="1">
        <v>11948</v>
      </c>
      <c r="FG11" s="1">
        <v>86832</v>
      </c>
      <c r="FH11" s="1">
        <v>25007</v>
      </c>
      <c r="FI11" s="1">
        <v>42941</v>
      </c>
      <c r="FJ11" s="1">
        <v>154780</v>
      </c>
      <c r="FK11" s="1">
        <v>5000</v>
      </c>
      <c r="FL11">
        <v>132</v>
      </c>
      <c r="FN11" s="1">
        <v>154780</v>
      </c>
      <c r="FO11" s="1">
        <v>3137</v>
      </c>
      <c r="FP11" s="1">
        <v>6398</v>
      </c>
      <c r="FQ11" s="1">
        <v>1202</v>
      </c>
      <c r="FR11">
        <v>0</v>
      </c>
      <c r="FS11">
        <v>74</v>
      </c>
      <c r="FT11">
        <v>74</v>
      </c>
      <c r="FU11" s="1">
        <v>26725</v>
      </c>
      <c r="FV11" s="1">
        <v>2022</v>
      </c>
      <c r="FW11">
        <v>0</v>
      </c>
      <c r="GK11" s="1">
        <v>2775</v>
      </c>
      <c r="GL11">
        <v>0</v>
      </c>
      <c r="GM11">
        <v>2</v>
      </c>
      <c r="GN11">
        <v>0</v>
      </c>
      <c r="GO11" s="1">
        <v>29500</v>
      </c>
      <c r="GP11" s="1">
        <v>2022</v>
      </c>
      <c r="GQ11">
        <v>2</v>
      </c>
      <c r="GR11">
        <v>0</v>
      </c>
      <c r="GS11">
        <v>51</v>
      </c>
      <c r="GU11" s="1">
        <v>189592</v>
      </c>
      <c r="GW11" s="1">
        <v>72957</v>
      </c>
      <c r="GX11" s="1">
        <v>38230</v>
      </c>
      <c r="GZ11" s="1">
        <v>11905</v>
      </c>
      <c r="HA11" s="1">
        <v>227822</v>
      </c>
      <c r="HC11" s="1">
        <v>84862</v>
      </c>
      <c r="HD11" s="1">
        <v>312684</v>
      </c>
      <c r="HE11">
        <v>750</v>
      </c>
      <c r="HF11" s="1">
        <v>313434</v>
      </c>
      <c r="HG11" s="1">
        <v>17041</v>
      </c>
      <c r="HH11" s="1">
        <v>36858</v>
      </c>
      <c r="HI11">
        <v>0</v>
      </c>
      <c r="HJ11">
        <v>0</v>
      </c>
      <c r="HK11" s="1">
        <v>53899</v>
      </c>
      <c r="HL11" s="1">
        <v>367333</v>
      </c>
      <c r="HM11">
        <v>114</v>
      </c>
      <c r="HN11" s="1">
        <v>12824</v>
      </c>
      <c r="HO11" s="1">
        <v>12938</v>
      </c>
      <c r="HP11" s="1">
        <v>1336</v>
      </c>
      <c r="HQ11">
        <v>0</v>
      </c>
      <c r="HR11" s="1">
        <v>1336</v>
      </c>
      <c r="HS11">
        <v>0</v>
      </c>
      <c r="HT11">
        <v>1</v>
      </c>
      <c r="HU11">
        <v>1</v>
      </c>
      <c r="HV11">
        <v>0</v>
      </c>
      <c r="HW11" s="1">
        <v>14275</v>
      </c>
      <c r="HX11" s="1">
        <v>29018</v>
      </c>
      <c r="HY11">
        <v>0</v>
      </c>
      <c r="HZ11" s="1">
        <v>29018</v>
      </c>
      <c r="IA11" s="1">
        <v>43293</v>
      </c>
      <c r="IB11" s="1">
        <v>18377</v>
      </c>
      <c r="IC11" s="1">
        <v>55236</v>
      </c>
      <c r="ID11" s="1">
        <v>381608</v>
      </c>
      <c r="IE11" s="1">
        <v>381608</v>
      </c>
      <c r="IF11" s="1">
        <v>410626</v>
      </c>
      <c r="IG11" s="1">
        <v>84862</v>
      </c>
      <c r="IH11">
        <v>-1</v>
      </c>
      <c r="IL11" s="3">
        <v>3.1600000000000003E-2</v>
      </c>
      <c r="IM11" s="3">
        <v>6.9999999999999999E-4</v>
      </c>
      <c r="IN11" s="3">
        <v>0.15590000000000001</v>
      </c>
      <c r="IO11" s="3">
        <v>0</v>
      </c>
      <c r="IP11" s="3">
        <v>0.1459</v>
      </c>
      <c r="IQ11" s="3">
        <v>4.0000000000000002E-4</v>
      </c>
      <c r="IR11" s="3">
        <v>0.76529999999999998</v>
      </c>
      <c r="IS11" s="3">
        <v>2.5499999999999998E-2</v>
      </c>
      <c r="IT11" s="3">
        <v>0.22239999999999999</v>
      </c>
      <c r="IU11" s="1">
        <v>46591</v>
      </c>
      <c r="IV11" s="1">
        <v>9750</v>
      </c>
      <c r="IW11" s="1">
        <v>56341</v>
      </c>
      <c r="IX11" s="3">
        <v>0.45610000000000001</v>
      </c>
      <c r="IY11" s="1">
        <v>262026</v>
      </c>
      <c r="JA11">
        <v>958</v>
      </c>
      <c r="JB11">
        <v>0</v>
      </c>
      <c r="JC11">
        <v>231</v>
      </c>
      <c r="JD11">
        <v>1</v>
      </c>
      <c r="JE11">
        <v>0</v>
      </c>
      <c r="JF11">
        <v>0</v>
      </c>
      <c r="JG11">
        <v>959</v>
      </c>
      <c r="JH11">
        <v>0</v>
      </c>
      <c r="JI11">
        <v>231</v>
      </c>
      <c r="JJ11" s="1">
        <v>1190</v>
      </c>
      <c r="JK11" s="1">
        <v>1189</v>
      </c>
      <c r="JL11">
        <v>1</v>
      </c>
      <c r="JM11" s="1">
        <v>15589</v>
      </c>
      <c r="JN11">
        <v>0</v>
      </c>
      <c r="JO11" s="1">
        <v>4505</v>
      </c>
      <c r="JP11">
        <v>38</v>
      </c>
      <c r="JQ11">
        <v>0</v>
      </c>
      <c r="JR11">
        <v>0</v>
      </c>
      <c r="JS11" s="1">
        <v>15627</v>
      </c>
      <c r="JT11">
        <v>0</v>
      </c>
      <c r="JU11" s="1">
        <v>4505</v>
      </c>
      <c r="JV11" s="1">
        <v>20132</v>
      </c>
      <c r="JW11" s="1">
        <v>20094</v>
      </c>
      <c r="JX11">
        <v>38</v>
      </c>
      <c r="JY11">
        <v>16.920000000000002</v>
      </c>
      <c r="JZ11">
        <v>16.3</v>
      </c>
      <c r="KA11">
        <v>19.5</v>
      </c>
      <c r="KB11">
        <v>0.78</v>
      </c>
      <c r="KC11">
        <v>0.22</v>
      </c>
      <c r="KD11">
        <v>0</v>
      </c>
      <c r="KE11">
        <v>0</v>
      </c>
      <c r="KF11">
        <v>27</v>
      </c>
      <c r="KG11">
        <v>197</v>
      </c>
      <c r="KN11" s="1">
        <v>57977</v>
      </c>
      <c r="KO11" s="1">
        <v>9768</v>
      </c>
      <c r="KP11" s="1">
        <v>2746</v>
      </c>
      <c r="KT11">
        <v>14</v>
      </c>
      <c r="KU11">
        <v>257</v>
      </c>
      <c r="KV11">
        <v>16</v>
      </c>
      <c r="KW11">
        <v>65</v>
      </c>
      <c r="KX11" s="1">
        <v>85650</v>
      </c>
      <c r="LA11" s="1">
        <v>12792</v>
      </c>
      <c r="LD11" t="s">
        <v>482</v>
      </c>
      <c r="LE11" t="s">
        <v>379</v>
      </c>
      <c r="LF11" t="s">
        <v>473</v>
      </c>
      <c r="LG11" t="s">
        <v>474</v>
      </c>
      <c r="LH11">
        <v>28461</v>
      </c>
      <c r="LI11">
        <v>3827</v>
      </c>
      <c r="LJ11" t="s">
        <v>473</v>
      </c>
      <c r="LK11" t="s">
        <v>474</v>
      </c>
      <c r="LL11">
        <v>28461</v>
      </c>
      <c r="LM11">
        <v>3827</v>
      </c>
      <c r="LN11" t="s">
        <v>476</v>
      </c>
      <c r="LO11">
        <v>9104576237</v>
      </c>
      <c r="LP11">
        <v>9104576977</v>
      </c>
      <c r="LQ11" s="1">
        <v>33856</v>
      </c>
      <c r="LR11">
        <v>16</v>
      </c>
      <c r="LT11" s="1">
        <v>11852</v>
      </c>
      <c r="LU11">
        <v>260</v>
      </c>
      <c r="LX11">
        <v>2</v>
      </c>
      <c r="LY11" t="s">
        <v>483</v>
      </c>
      <c r="LZ11">
        <v>0</v>
      </c>
      <c r="MA11" t="s">
        <v>408</v>
      </c>
      <c r="MB11">
        <v>1.76</v>
      </c>
      <c r="MC11">
        <v>13.21</v>
      </c>
      <c r="ME11" s="574">
        <v>3.18</v>
      </c>
      <c r="MF11" s="574">
        <v>2.52</v>
      </c>
      <c r="MG11" s="574">
        <v>0.22</v>
      </c>
      <c r="MH11" s="574">
        <v>21.57</v>
      </c>
      <c r="MI11" s="574">
        <v>17.079999999999998</v>
      </c>
      <c r="MJ11" s="574">
        <v>1.48</v>
      </c>
      <c r="MK11" s="574">
        <v>4.6399999999999997</v>
      </c>
      <c r="ML11" s="574">
        <v>3.67</v>
      </c>
      <c r="MM11" s="574">
        <v>0.32</v>
      </c>
      <c r="MN11" s="574">
        <v>20.96</v>
      </c>
      <c r="MO11" s="574">
        <v>16.600000000000001</v>
      </c>
      <c r="MP11" s="574">
        <v>1.44</v>
      </c>
      <c r="MQ11" s="574">
        <v>60.36</v>
      </c>
      <c r="MR11" s="574">
        <v>47.8</v>
      </c>
      <c r="MS11" s="574">
        <v>4.1500000000000004</v>
      </c>
      <c r="MT11" s="574">
        <v>14.32</v>
      </c>
      <c r="MU11" s="574">
        <v>11.34</v>
      </c>
      <c r="MV11" s="574">
        <v>0.98</v>
      </c>
      <c r="MW11" s="1">
        <v>3624</v>
      </c>
      <c r="MX11" s="1">
        <v>57977</v>
      </c>
      <c r="MY11" s="1">
        <v>57977</v>
      </c>
      <c r="MZ11" s="1">
        <v>16377</v>
      </c>
      <c r="NA11" s="1">
        <v>262026</v>
      </c>
      <c r="NB11" s="1">
        <v>262026</v>
      </c>
      <c r="NC11" s="1">
        <v>381608</v>
      </c>
      <c r="ND11" s="1">
        <v>381608</v>
      </c>
      <c r="NE11">
        <v>1.89</v>
      </c>
      <c r="NF11" s="1">
        <v>23851</v>
      </c>
      <c r="NG11">
        <v>11.47</v>
      </c>
      <c r="NH11">
        <v>3.089</v>
      </c>
      <c r="NI11">
        <v>2.12</v>
      </c>
      <c r="NJ11">
        <v>0.25</v>
      </c>
      <c r="NK11">
        <v>4.5599999999999996</v>
      </c>
      <c r="NL11">
        <v>0.46929999999999999</v>
      </c>
      <c r="NM11">
        <v>0.68700000000000006</v>
      </c>
      <c r="NN11">
        <v>0.46</v>
      </c>
      <c r="NO11">
        <v>0.16</v>
      </c>
      <c r="NP11">
        <v>0</v>
      </c>
      <c r="NQ11">
        <v>0</v>
      </c>
      <c r="NR11">
        <v>0.69</v>
      </c>
      <c r="NS11">
        <v>0.13</v>
      </c>
      <c r="NT11">
        <v>0.04</v>
      </c>
      <c r="NU11" s="574">
        <v>7.79</v>
      </c>
      <c r="NV11">
        <v>1.637</v>
      </c>
      <c r="NW11">
        <v>0</v>
      </c>
      <c r="NX11">
        <v>1E-3</v>
      </c>
      <c r="NY11">
        <v>0.23899999999999999</v>
      </c>
      <c r="NZ11">
        <v>1E-3</v>
      </c>
      <c r="OA11">
        <v>1.78E-2</v>
      </c>
      <c r="OB11">
        <v>0.28399999999999997</v>
      </c>
      <c r="OC11">
        <v>2.343</v>
      </c>
      <c r="OD11">
        <v>1.2529999999999999</v>
      </c>
      <c r="OE11">
        <v>0.12139999999999999</v>
      </c>
      <c r="OF11">
        <v>523.59699999999998</v>
      </c>
      <c r="OG11">
        <v>1.3129999999999999</v>
      </c>
      <c r="OH11" s="574">
        <v>1.37</v>
      </c>
      <c r="OI11">
        <v>92</v>
      </c>
      <c r="OJ11">
        <v>114</v>
      </c>
      <c r="OK11" s="574">
        <v>9.84</v>
      </c>
      <c r="OL11" s="574">
        <v>0.68</v>
      </c>
      <c r="OM11" s="574">
        <v>0.54</v>
      </c>
      <c r="ON11">
        <v>0.1295</v>
      </c>
      <c r="OO11">
        <v>8.0999999999999996E-3</v>
      </c>
      <c r="OP11">
        <v>0.26619999999999999</v>
      </c>
      <c r="OQ11" s="574">
        <v>1.1299999999999999</v>
      </c>
      <c r="OR11" s="574">
        <v>9.1</v>
      </c>
      <c r="OS11" s="574">
        <v>0</v>
      </c>
      <c r="OT11" s="574">
        <v>0</v>
      </c>
      <c r="OU11" s="574">
        <v>10.24</v>
      </c>
      <c r="OV11">
        <v>0</v>
      </c>
      <c r="OW11">
        <v>5</v>
      </c>
      <c r="OX11">
        <v>1.46</v>
      </c>
      <c r="OY11" s="1">
        <v>7339</v>
      </c>
      <c r="OZ11">
        <v>22.11</v>
      </c>
      <c r="PA11" s="1">
        <v>5039</v>
      </c>
      <c r="PB11">
        <v>4.8899999999999997</v>
      </c>
      <c r="PC11">
        <v>32.200000000000003</v>
      </c>
      <c r="PD11">
        <v>0.22</v>
      </c>
      <c r="PE11" s="1">
        <v>1115</v>
      </c>
      <c r="PF11">
        <v>0.53</v>
      </c>
      <c r="PG11" s="574">
        <v>0.32</v>
      </c>
      <c r="PH11">
        <v>0.77</v>
      </c>
      <c r="PI11">
        <v>9.59</v>
      </c>
      <c r="PJ11">
        <v>6.77</v>
      </c>
      <c r="PK11" s="574">
        <v>4.6399999999999997</v>
      </c>
      <c r="PL11">
        <v>45.58</v>
      </c>
      <c r="PM11" s="4">
        <v>60146</v>
      </c>
      <c r="PN11" s="4">
        <v>41961</v>
      </c>
      <c r="PO11">
        <v>4.19E-2</v>
      </c>
      <c r="PP11">
        <v>0.27600000000000002</v>
      </c>
      <c r="PQ11">
        <v>6.1100000000000002E-2</v>
      </c>
      <c r="PR11">
        <v>2.5999999999999999E-3</v>
      </c>
      <c r="PS11">
        <v>1.7299999999999999E-2</v>
      </c>
      <c r="PT11">
        <v>3.8E-3</v>
      </c>
      <c r="PU11" s="3">
        <v>1</v>
      </c>
      <c r="PV11" s="3">
        <v>6.25E-2</v>
      </c>
      <c r="PW11" s="3">
        <v>0.9375</v>
      </c>
      <c r="PX11" s="3">
        <v>0.30230000000000001</v>
      </c>
      <c r="PY11" s="3">
        <v>0.69769999999999999</v>
      </c>
      <c r="PZ11" s="3">
        <v>6.8699999999999997E-2</v>
      </c>
      <c r="QA11" s="3">
        <v>6.6E-3</v>
      </c>
      <c r="QB11" s="3">
        <v>0.2394</v>
      </c>
      <c r="QC11" s="3">
        <v>7.4999999999999997E-3</v>
      </c>
      <c r="QD11" s="3">
        <v>0.1394</v>
      </c>
      <c r="QE11" s="3">
        <v>5.4600000000000003E-2</v>
      </c>
      <c r="QF11" s="3">
        <v>0.55249999999999999</v>
      </c>
      <c r="QG11" s="3">
        <v>0.79190000000000005</v>
      </c>
      <c r="QH11" s="3">
        <v>0</v>
      </c>
      <c r="QI11" s="3">
        <v>0.88929999999999998</v>
      </c>
      <c r="QJ11" s="3">
        <v>0</v>
      </c>
      <c r="QK11" s="3">
        <v>0.11070000000000001</v>
      </c>
      <c r="QL11" s="4">
        <v>18185</v>
      </c>
      <c r="QM11">
        <v>4.6500000000000004</v>
      </c>
      <c r="QN11" s="1">
        <v>123535</v>
      </c>
      <c r="QO11" s="1">
        <v>123535</v>
      </c>
      <c r="QP11" s="1">
        <v>7721</v>
      </c>
      <c r="QQ11" s="3">
        <v>0.79479999999999995</v>
      </c>
      <c r="QR11" s="3">
        <v>9.5799999999999996E-2</v>
      </c>
      <c r="QS11" s="3">
        <v>0.1094</v>
      </c>
      <c r="QT11" s="3">
        <v>6.25E-2</v>
      </c>
      <c r="QU11">
        <v>0.56999999999999995</v>
      </c>
      <c r="QV11">
        <v>1.31</v>
      </c>
      <c r="QW11">
        <v>0.4</v>
      </c>
      <c r="QX11">
        <v>48</v>
      </c>
      <c r="QY11">
        <v>5.75</v>
      </c>
      <c r="QZ11">
        <v>42</v>
      </c>
      <c r="RA11">
        <v>4.57</v>
      </c>
      <c r="RB11">
        <v>0.31</v>
      </c>
      <c r="RC11">
        <v>0.3</v>
      </c>
    </row>
    <row r="12" spans="1:471" x14ac:dyDescent="0.25">
      <c r="A12" t="s">
        <v>484</v>
      </c>
      <c r="B12">
        <v>11658</v>
      </c>
      <c r="C12" t="s">
        <v>1754</v>
      </c>
      <c r="D12" t="s">
        <v>1754</v>
      </c>
      <c r="E12" t="s">
        <v>1754</v>
      </c>
      <c r="F12" t="s">
        <v>1755</v>
      </c>
      <c r="G12" t="s">
        <v>1755</v>
      </c>
      <c r="H12" t="s">
        <v>485</v>
      </c>
      <c r="I12" t="s">
        <v>342</v>
      </c>
      <c r="J12" t="s">
        <v>343</v>
      </c>
      <c r="K12" t="s">
        <v>344</v>
      </c>
      <c r="L12" t="s">
        <v>345</v>
      </c>
      <c r="M12" t="s">
        <v>346</v>
      </c>
      <c r="N12" t="s">
        <v>347</v>
      </c>
      <c r="O12" s="1">
        <v>254836</v>
      </c>
      <c r="P12" t="s">
        <v>348</v>
      </c>
      <c r="Q12" s="1">
        <v>6721</v>
      </c>
      <c r="R12">
        <v>329</v>
      </c>
      <c r="S12">
        <v>540</v>
      </c>
      <c r="T12">
        <v>25</v>
      </c>
      <c r="U12" s="1">
        <v>18671</v>
      </c>
      <c r="V12">
        <v>215</v>
      </c>
      <c r="W12" s="1">
        <v>146946</v>
      </c>
      <c r="X12" s="1">
        <v>13159</v>
      </c>
      <c r="Y12" s="1">
        <v>10805454</v>
      </c>
      <c r="Z12" s="1">
        <v>3603420</v>
      </c>
      <c r="AC12" t="s">
        <v>486</v>
      </c>
      <c r="AD12" t="s">
        <v>487</v>
      </c>
      <c r="AE12">
        <v>28801</v>
      </c>
      <c r="AF12">
        <v>2834</v>
      </c>
      <c r="AG12" t="s">
        <v>486</v>
      </c>
      <c r="AH12" t="s">
        <v>487</v>
      </c>
      <c r="AI12">
        <v>28801</v>
      </c>
      <c r="AJ12">
        <v>3</v>
      </c>
      <c r="AK12" t="s">
        <v>488</v>
      </c>
      <c r="AM12" t="s">
        <v>0</v>
      </c>
      <c r="AN12" t="s">
        <v>489</v>
      </c>
      <c r="AO12" t="s">
        <v>490</v>
      </c>
      <c r="AP12">
        <v>8282504714</v>
      </c>
      <c r="AR12" t="s">
        <v>492</v>
      </c>
      <c r="AS12" t="s">
        <v>493</v>
      </c>
      <c r="AT12" t="s">
        <v>1</v>
      </c>
      <c r="AU12" t="s">
        <v>491</v>
      </c>
      <c r="AW12" t="s">
        <v>492</v>
      </c>
      <c r="AX12" t="s">
        <v>494</v>
      </c>
      <c r="AY12">
        <v>0</v>
      </c>
      <c r="AZ12">
        <v>0</v>
      </c>
      <c r="BA12">
        <v>0</v>
      </c>
      <c r="BB12" s="573">
        <v>42186</v>
      </c>
      <c r="BC12" s="573">
        <v>42551</v>
      </c>
      <c r="BD12">
        <v>1</v>
      </c>
      <c r="BE12">
        <v>12</v>
      </c>
      <c r="BF12">
        <v>0</v>
      </c>
      <c r="BG12">
        <v>0</v>
      </c>
      <c r="BH12">
        <v>13</v>
      </c>
      <c r="BJ12" s="1">
        <v>32136</v>
      </c>
      <c r="BK12">
        <v>11</v>
      </c>
      <c r="BL12">
        <v>1</v>
      </c>
      <c r="BM12">
        <v>12</v>
      </c>
      <c r="BN12">
        <v>46</v>
      </c>
      <c r="BO12">
        <v>58</v>
      </c>
      <c r="BP12" s="3">
        <v>0.18970000000000001</v>
      </c>
      <c r="BQ12" s="1">
        <v>16244</v>
      </c>
      <c r="BR12" s="4">
        <v>99500</v>
      </c>
      <c r="DW12" s="4">
        <v>0</v>
      </c>
      <c r="DX12" s="4">
        <v>4469407</v>
      </c>
      <c r="DY12" s="4">
        <v>4469407</v>
      </c>
      <c r="DZ12" s="4">
        <v>224470</v>
      </c>
      <c r="EA12" s="4">
        <v>0</v>
      </c>
      <c r="EB12" s="4">
        <v>224470</v>
      </c>
      <c r="EC12" s="4">
        <v>37491</v>
      </c>
      <c r="ED12" s="4">
        <v>0</v>
      </c>
      <c r="EE12" s="4">
        <v>37491</v>
      </c>
      <c r="EF12" s="4">
        <v>234889</v>
      </c>
      <c r="EG12" s="4">
        <v>4966257</v>
      </c>
      <c r="EH12" s="4">
        <v>2450785</v>
      </c>
      <c r="EI12" s="4">
        <v>1195365</v>
      </c>
      <c r="EJ12" s="4">
        <v>3646150</v>
      </c>
      <c r="EK12" s="4">
        <v>577685</v>
      </c>
      <c r="EL12" s="4">
        <v>96268</v>
      </c>
      <c r="EM12" s="4">
        <v>0</v>
      </c>
      <c r="EN12" s="4">
        <v>673953</v>
      </c>
      <c r="EO12" s="4">
        <v>609412</v>
      </c>
      <c r="EP12" s="4">
        <v>4929515</v>
      </c>
      <c r="EQ12" s="4">
        <v>36742</v>
      </c>
      <c r="ER12" s="3">
        <v>7.4000000000000003E-3</v>
      </c>
      <c r="ES12" s="4">
        <v>0</v>
      </c>
      <c r="ET12" s="4">
        <v>0</v>
      </c>
      <c r="EU12" s="4">
        <v>0</v>
      </c>
      <c r="EV12" s="4">
        <v>0</v>
      </c>
      <c r="EW12" s="4">
        <v>0</v>
      </c>
      <c r="EX12" s="4">
        <v>0</v>
      </c>
      <c r="EY12" s="1">
        <v>79527</v>
      </c>
      <c r="EZ12" s="1">
        <v>644792</v>
      </c>
      <c r="FA12" s="1">
        <v>152988</v>
      </c>
      <c r="FB12" s="1">
        <v>18525</v>
      </c>
      <c r="FC12" s="1">
        <v>122714</v>
      </c>
      <c r="FD12" s="1">
        <v>143465</v>
      </c>
      <c r="FE12" s="1">
        <v>7136</v>
      </c>
      <c r="FF12" s="1">
        <v>54618</v>
      </c>
      <c r="FG12" s="1">
        <v>296453</v>
      </c>
      <c r="FH12" s="1">
        <v>25661</v>
      </c>
      <c r="FI12" s="1">
        <v>177332</v>
      </c>
      <c r="FJ12" s="1">
        <v>499446</v>
      </c>
      <c r="FK12" s="1">
        <v>2634</v>
      </c>
      <c r="FL12">
        <v>614</v>
      </c>
      <c r="FN12" s="1">
        <v>499446</v>
      </c>
      <c r="FO12" s="1">
        <v>43502</v>
      </c>
      <c r="FP12" s="1">
        <v>19280</v>
      </c>
      <c r="FQ12">
        <v>449</v>
      </c>
      <c r="FR12">
        <v>8</v>
      </c>
      <c r="FS12">
        <v>74</v>
      </c>
      <c r="FT12">
        <v>82</v>
      </c>
      <c r="FU12" s="1">
        <v>26725</v>
      </c>
      <c r="FV12" s="1">
        <v>2022</v>
      </c>
      <c r="FW12">
        <v>0</v>
      </c>
      <c r="GG12" s="1">
        <v>34298</v>
      </c>
      <c r="GH12" s="1">
        <v>13913</v>
      </c>
      <c r="GI12">
        <v>370</v>
      </c>
      <c r="GJ12">
        <v>87</v>
      </c>
      <c r="GK12">
        <v>872</v>
      </c>
      <c r="GL12">
        <v>439</v>
      </c>
      <c r="GM12">
        <v>1</v>
      </c>
      <c r="GN12">
        <v>58</v>
      </c>
      <c r="GO12" s="1">
        <v>61895</v>
      </c>
      <c r="GP12" s="1">
        <v>16374</v>
      </c>
      <c r="GQ12">
        <v>371</v>
      </c>
      <c r="GR12">
        <v>145</v>
      </c>
      <c r="GS12">
        <v>170</v>
      </c>
      <c r="GU12" s="1">
        <v>408712</v>
      </c>
      <c r="GV12" s="1">
        <v>28931</v>
      </c>
      <c r="GW12" s="1">
        <v>409769</v>
      </c>
      <c r="GX12" s="1">
        <v>188534</v>
      </c>
      <c r="GY12" s="1">
        <v>12895</v>
      </c>
      <c r="GZ12" s="1">
        <v>101672</v>
      </c>
      <c r="HA12" s="1">
        <v>597246</v>
      </c>
      <c r="HB12" s="1">
        <v>41826</v>
      </c>
      <c r="HC12" s="1">
        <v>511441</v>
      </c>
      <c r="HD12" s="1">
        <v>1150513</v>
      </c>
      <c r="HE12">
        <v>3</v>
      </c>
      <c r="HF12" s="1">
        <v>1153203</v>
      </c>
      <c r="HG12" s="1">
        <v>178713</v>
      </c>
      <c r="HH12" s="1">
        <v>163378</v>
      </c>
      <c r="HI12" s="1">
        <v>2687</v>
      </c>
      <c r="HJ12" s="1">
        <v>1534</v>
      </c>
      <c r="HK12" s="1">
        <v>343625</v>
      </c>
      <c r="HL12" s="1">
        <v>1496828</v>
      </c>
      <c r="HM12">
        <v>171</v>
      </c>
      <c r="HN12" s="1">
        <v>148190</v>
      </c>
      <c r="HO12" s="1">
        <v>148361</v>
      </c>
      <c r="HP12">
        <v>790</v>
      </c>
      <c r="HQ12" s="1">
        <v>99429</v>
      </c>
      <c r="HR12" s="1">
        <v>100219</v>
      </c>
      <c r="HS12">
        <v>0</v>
      </c>
      <c r="HT12" s="1">
        <v>2650</v>
      </c>
      <c r="HU12" s="1">
        <v>2650</v>
      </c>
      <c r="HV12" s="1">
        <v>9099</v>
      </c>
      <c r="HW12" s="1">
        <v>260329</v>
      </c>
      <c r="HX12" s="1">
        <v>155708</v>
      </c>
      <c r="HY12">
        <v>676</v>
      </c>
      <c r="HZ12" s="1">
        <v>156384</v>
      </c>
      <c r="IA12" s="1">
        <v>416713</v>
      </c>
      <c r="IB12" s="1">
        <v>278932</v>
      </c>
      <c r="IC12" s="1">
        <v>444960</v>
      </c>
      <c r="ID12" s="1">
        <v>1757157</v>
      </c>
      <c r="IE12" s="1">
        <v>1757157</v>
      </c>
      <c r="IF12" s="1">
        <v>1913541</v>
      </c>
      <c r="IG12" s="1">
        <v>553267</v>
      </c>
      <c r="IH12" s="1">
        <v>1487</v>
      </c>
      <c r="IK12">
        <v>1</v>
      </c>
      <c r="IL12" s="3">
        <v>3.0499999999999999E-2</v>
      </c>
      <c r="IM12" s="3">
        <v>1E-3</v>
      </c>
      <c r="IN12" s="3">
        <v>0.1222</v>
      </c>
      <c r="IO12" s="3">
        <v>0</v>
      </c>
      <c r="IP12" s="3">
        <v>9.6000000000000002E-2</v>
      </c>
      <c r="IQ12" s="3">
        <v>1E-4</v>
      </c>
      <c r="IR12" s="3">
        <v>0.77459999999999996</v>
      </c>
      <c r="IS12" s="3">
        <v>9.2899999999999996E-2</v>
      </c>
      <c r="IT12" s="3">
        <v>0.31490000000000001</v>
      </c>
      <c r="IU12" s="1">
        <v>138400</v>
      </c>
      <c r="IV12" s="1">
        <v>25897</v>
      </c>
      <c r="IW12" s="1">
        <v>164297</v>
      </c>
      <c r="IX12" s="3">
        <v>0.64470000000000005</v>
      </c>
      <c r="IY12" s="1">
        <v>2108588</v>
      </c>
      <c r="JA12">
        <v>788</v>
      </c>
      <c r="JB12">
        <v>50</v>
      </c>
      <c r="JC12" s="1">
        <v>2135</v>
      </c>
      <c r="JD12">
        <v>6</v>
      </c>
      <c r="JE12">
        <v>0</v>
      </c>
      <c r="JF12" s="1">
        <v>2229</v>
      </c>
      <c r="JG12">
        <v>794</v>
      </c>
      <c r="JH12">
        <v>50</v>
      </c>
      <c r="JI12" s="1">
        <v>4364</v>
      </c>
      <c r="JJ12" s="1">
        <v>5208</v>
      </c>
      <c r="JK12" s="1">
        <v>2973</v>
      </c>
      <c r="JL12" s="1">
        <v>2235</v>
      </c>
      <c r="JM12" s="1">
        <v>6871</v>
      </c>
      <c r="JN12">
        <v>458</v>
      </c>
      <c r="JO12" s="1">
        <v>59578</v>
      </c>
      <c r="JP12">
        <v>0</v>
      </c>
      <c r="JQ12">
        <v>0</v>
      </c>
      <c r="JR12" s="1">
        <v>37155</v>
      </c>
      <c r="JS12" s="1">
        <v>6871</v>
      </c>
      <c r="JT12">
        <v>458</v>
      </c>
      <c r="JU12" s="1">
        <v>96733</v>
      </c>
      <c r="JV12" s="1">
        <v>104062</v>
      </c>
      <c r="JW12" s="1">
        <v>66907</v>
      </c>
      <c r="JX12" s="1">
        <v>37155</v>
      </c>
      <c r="JY12">
        <v>19.98</v>
      </c>
      <c r="JZ12">
        <v>8.65</v>
      </c>
      <c r="KA12">
        <v>22.17</v>
      </c>
      <c r="KB12">
        <v>7.0000000000000007E-2</v>
      </c>
      <c r="KC12">
        <v>0.93</v>
      </c>
      <c r="KD12">
        <v>2</v>
      </c>
      <c r="KE12">
        <v>120</v>
      </c>
      <c r="KF12">
        <v>149</v>
      </c>
      <c r="KG12">
        <v>619</v>
      </c>
      <c r="KN12" s="1">
        <v>89398</v>
      </c>
      <c r="KO12" s="1">
        <v>14596</v>
      </c>
      <c r="KP12" s="1">
        <v>3209</v>
      </c>
      <c r="KR12" s="1">
        <v>1527</v>
      </c>
      <c r="KS12" s="1">
        <v>25507</v>
      </c>
      <c r="KT12" s="1">
        <v>67620</v>
      </c>
      <c r="KU12" s="1">
        <v>68360</v>
      </c>
      <c r="KV12">
        <v>82</v>
      </c>
      <c r="KW12">
        <v>162</v>
      </c>
      <c r="KX12" s="1">
        <v>120401</v>
      </c>
      <c r="KZ12" s="1">
        <v>200520</v>
      </c>
      <c r="LD12" t="s">
        <v>495</v>
      </c>
      <c r="LE12" t="s">
        <v>379</v>
      </c>
      <c r="LF12" t="s">
        <v>486</v>
      </c>
      <c r="LG12" t="s">
        <v>487</v>
      </c>
      <c r="LH12">
        <v>28801</v>
      </c>
      <c r="LI12">
        <v>2834</v>
      </c>
      <c r="LJ12" t="s">
        <v>486</v>
      </c>
      <c r="LK12" t="s">
        <v>487</v>
      </c>
      <c r="LL12">
        <v>28801</v>
      </c>
      <c r="LM12">
        <v>2834</v>
      </c>
      <c r="LN12" t="s">
        <v>489</v>
      </c>
      <c r="LO12">
        <v>8282504700</v>
      </c>
      <c r="LQ12" s="1">
        <v>118803</v>
      </c>
      <c r="LR12">
        <v>58</v>
      </c>
      <c r="LT12" s="1">
        <v>32136</v>
      </c>
      <c r="LU12">
        <v>676</v>
      </c>
      <c r="LX12">
        <v>2</v>
      </c>
      <c r="LY12" t="s">
        <v>496</v>
      </c>
      <c r="LZ12">
        <v>0</v>
      </c>
      <c r="MA12" t="s">
        <v>363</v>
      </c>
      <c r="MB12">
        <v>95.55</v>
      </c>
      <c r="MC12">
        <v>92.9</v>
      </c>
      <c r="ME12" s="574">
        <v>2.81</v>
      </c>
      <c r="MF12" s="574">
        <v>2.08</v>
      </c>
      <c r="MG12" s="574">
        <v>0.38</v>
      </c>
      <c r="MH12" s="574">
        <v>30</v>
      </c>
      <c r="MI12" s="574">
        <v>22.19</v>
      </c>
      <c r="MJ12" s="574">
        <v>4.0999999999999996</v>
      </c>
      <c r="MK12" s="574">
        <v>2.34</v>
      </c>
      <c r="ML12" s="574">
        <v>1.73</v>
      </c>
      <c r="MM12" s="574">
        <v>0.32</v>
      </c>
      <c r="MN12" s="574">
        <v>55.14</v>
      </c>
      <c r="MO12" s="574">
        <v>40.79</v>
      </c>
      <c r="MP12" s="574">
        <v>7.54</v>
      </c>
      <c r="MQ12" s="574">
        <v>47.37</v>
      </c>
      <c r="MR12" s="574">
        <v>35.04</v>
      </c>
      <c r="MS12" s="574">
        <v>6.48</v>
      </c>
      <c r="MT12" s="574">
        <v>8.91</v>
      </c>
      <c r="MU12" s="574">
        <v>6.59</v>
      </c>
      <c r="MV12" s="574">
        <v>1.22</v>
      </c>
      <c r="MW12" s="1">
        <v>1541</v>
      </c>
      <c r="MX12" s="1">
        <v>8127</v>
      </c>
      <c r="MY12" s="1">
        <v>7450</v>
      </c>
      <c r="MZ12" s="1">
        <v>36355</v>
      </c>
      <c r="NA12" s="1">
        <v>191690</v>
      </c>
      <c r="NB12" s="1">
        <v>175716</v>
      </c>
      <c r="NC12" s="1">
        <v>146430</v>
      </c>
      <c r="ND12" s="1">
        <v>159742</v>
      </c>
      <c r="NE12">
        <v>2.73</v>
      </c>
      <c r="NF12" s="1">
        <v>30296</v>
      </c>
      <c r="NG12">
        <v>14.57</v>
      </c>
      <c r="NH12">
        <v>6.8949999999999996</v>
      </c>
      <c r="NI12">
        <v>8.27</v>
      </c>
      <c r="NJ12">
        <v>411.57</v>
      </c>
      <c r="NK12">
        <v>416.08</v>
      </c>
      <c r="NL12">
        <v>0.3508</v>
      </c>
      <c r="NM12">
        <v>2.1711</v>
      </c>
      <c r="NN12">
        <v>0.64</v>
      </c>
      <c r="NO12">
        <v>0.41</v>
      </c>
      <c r="NP12">
        <v>0.27</v>
      </c>
      <c r="NQ12">
        <v>0.27</v>
      </c>
      <c r="NR12">
        <v>0.47</v>
      </c>
      <c r="NS12">
        <v>0.03</v>
      </c>
      <c r="NT12">
        <v>0.38</v>
      </c>
      <c r="NU12" s="574">
        <v>14.31</v>
      </c>
      <c r="NV12">
        <v>2.5299999999999998</v>
      </c>
      <c r="NW12">
        <v>0</v>
      </c>
      <c r="NX12">
        <v>2E-3</v>
      </c>
      <c r="NY12">
        <v>0.24299999999999999</v>
      </c>
      <c r="NZ12">
        <v>0</v>
      </c>
      <c r="OA12">
        <v>6.7000000000000004E-2</v>
      </c>
      <c r="OB12">
        <v>0.35299999999999998</v>
      </c>
      <c r="OC12">
        <v>3.7370000000000001</v>
      </c>
      <c r="OD12">
        <v>1.96</v>
      </c>
      <c r="OE12">
        <v>0.18049999999999999</v>
      </c>
      <c r="OF12">
        <v>376.726</v>
      </c>
      <c r="OG12">
        <v>0.499</v>
      </c>
      <c r="OH12" s="574">
        <v>2.39</v>
      </c>
      <c r="OI12">
        <v>364</v>
      </c>
      <c r="OJ12">
        <v>120</v>
      </c>
      <c r="OK12" s="574">
        <v>19.34</v>
      </c>
      <c r="OL12" s="574">
        <v>2.64</v>
      </c>
      <c r="OM12" s="574">
        <v>2.27</v>
      </c>
      <c r="ON12">
        <v>0.2276</v>
      </c>
      <c r="OO12">
        <v>4.3200000000000002E-2</v>
      </c>
      <c r="OP12">
        <v>0.28000000000000003</v>
      </c>
      <c r="OQ12" s="574">
        <v>0.88</v>
      </c>
      <c r="OR12" s="574">
        <v>17.54</v>
      </c>
      <c r="OS12" s="574">
        <v>0.15</v>
      </c>
      <c r="OT12" s="574">
        <v>0.92</v>
      </c>
      <c r="OU12" s="574">
        <v>19.489999999999998</v>
      </c>
      <c r="OV12" s="1">
        <v>1300</v>
      </c>
      <c r="OW12" s="1">
        <v>1315</v>
      </c>
      <c r="OX12">
        <v>0.83</v>
      </c>
      <c r="OY12" s="1">
        <v>33791</v>
      </c>
      <c r="OZ12">
        <v>65.61</v>
      </c>
      <c r="PA12" s="1">
        <v>40550</v>
      </c>
      <c r="PB12">
        <v>2.78</v>
      </c>
      <c r="PC12">
        <v>54.68</v>
      </c>
      <c r="PD12">
        <v>0.04</v>
      </c>
      <c r="PE12" s="1">
        <v>1719</v>
      </c>
      <c r="PF12">
        <v>0.37</v>
      </c>
      <c r="PG12" s="574">
        <v>0.32</v>
      </c>
      <c r="PH12">
        <v>0.31</v>
      </c>
      <c r="PI12">
        <v>12.61</v>
      </c>
      <c r="PJ12">
        <v>10.7</v>
      </c>
      <c r="PK12" s="574">
        <v>2.34</v>
      </c>
      <c r="PL12">
        <v>47.54</v>
      </c>
      <c r="PM12" s="4">
        <v>62865</v>
      </c>
      <c r="PN12" s="4">
        <v>42255</v>
      </c>
      <c r="PO12">
        <v>3.3000000000000002E-2</v>
      </c>
      <c r="PP12">
        <v>0.64880000000000004</v>
      </c>
      <c r="PQ12">
        <v>2.75E-2</v>
      </c>
      <c r="PR12">
        <v>6.3E-3</v>
      </c>
      <c r="PS12">
        <v>0.1231</v>
      </c>
      <c r="PT12">
        <v>5.1999999999999998E-3</v>
      </c>
      <c r="PU12" s="3">
        <v>0.91669999999999996</v>
      </c>
      <c r="PV12" s="3">
        <v>0.2069</v>
      </c>
      <c r="PW12" s="3">
        <v>0.79310000000000003</v>
      </c>
      <c r="PX12" s="3">
        <v>0.32779999999999998</v>
      </c>
      <c r="PY12" s="3">
        <v>0.67220000000000002</v>
      </c>
      <c r="PZ12" s="3">
        <v>0.13669999999999999</v>
      </c>
      <c r="QA12" s="3">
        <v>1.95E-2</v>
      </c>
      <c r="QB12" s="3">
        <v>0.24249999999999999</v>
      </c>
      <c r="QC12" s="3">
        <v>0</v>
      </c>
      <c r="QD12" s="3">
        <v>0.1236</v>
      </c>
      <c r="QE12" s="3">
        <v>0.1172</v>
      </c>
      <c r="QF12" s="3">
        <v>0.49719999999999998</v>
      </c>
      <c r="QG12" s="3">
        <v>0.73970000000000002</v>
      </c>
      <c r="QH12" s="3">
        <v>7.4999999999999997E-3</v>
      </c>
      <c r="QI12" s="3">
        <v>0.9</v>
      </c>
      <c r="QJ12" s="3">
        <v>4.7300000000000002E-2</v>
      </c>
      <c r="QK12" s="3">
        <v>4.5199999999999997E-2</v>
      </c>
      <c r="QL12" s="4">
        <v>20610</v>
      </c>
      <c r="QM12">
        <v>12.83</v>
      </c>
      <c r="QN12" s="1">
        <v>21236</v>
      </c>
      <c r="QO12" s="1">
        <v>23167</v>
      </c>
      <c r="QP12" s="1">
        <v>4394</v>
      </c>
      <c r="QQ12" s="3">
        <v>0.85719999999999996</v>
      </c>
      <c r="QR12" s="3">
        <v>0.14280000000000001</v>
      </c>
      <c r="QS12" s="3">
        <v>0</v>
      </c>
      <c r="QT12" s="3">
        <v>0.18970000000000001</v>
      </c>
      <c r="QU12">
        <v>0.72</v>
      </c>
      <c r="QV12">
        <v>1.47</v>
      </c>
      <c r="QW12">
        <v>0.48</v>
      </c>
      <c r="QX12">
        <v>18</v>
      </c>
      <c r="QY12">
        <v>3.04</v>
      </c>
      <c r="QZ12">
        <v>0</v>
      </c>
      <c r="RA12">
        <v>2.61</v>
      </c>
      <c r="RB12">
        <v>0.36</v>
      </c>
      <c r="RC12">
        <v>0.35</v>
      </c>
    </row>
    <row r="13" spans="1:471" x14ac:dyDescent="0.25">
      <c r="A13" t="s">
        <v>497</v>
      </c>
      <c r="B13">
        <v>11659</v>
      </c>
      <c r="C13" t="s">
        <v>1754</v>
      </c>
      <c r="D13" t="s">
        <v>1754</v>
      </c>
      <c r="E13" t="s">
        <v>1754</v>
      </c>
      <c r="F13" t="s">
        <v>1755</v>
      </c>
      <c r="G13" t="s">
        <v>1755</v>
      </c>
      <c r="H13" t="s">
        <v>498</v>
      </c>
      <c r="I13" t="s">
        <v>342</v>
      </c>
      <c r="J13" t="s">
        <v>343</v>
      </c>
      <c r="K13" t="s">
        <v>344</v>
      </c>
      <c r="L13" t="s">
        <v>345</v>
      </c>
      <c r="M13" t="s">
        <v>346</v>
      </c>
      <c r="N13" t="s">
        <v>347</v>
      </c>
      <c r="O13" s="1">
        <v>89114</v>
      </c>
      <c r="P13" t="s">
        <v>348</v>
      </c>
      <c r="Q13">
        <v>606</v>
      </c>
      <c r="R13">
        <v>194</v>
      </c>
      <c r="S13">
        <v>193</v>
      </c>
      <c r="T13">
        <v>29</v>
      </c>
      <c r="U13" s="1">
        <v>4338</v>
      </c>
      <c r="V13" s="1">
        <v>2108</v>
      </c>
      <c r="W13" s="1">
        <v>14129</v>
      </c>
      <c r="X13" s="1">
        <v>2942</v>
      </c>
      <c r="Y13" s="1">
        <v>175214</v>
      </c>
      <c r="AC13" t="s">
        <v>499</v>
      </c>
      <c r="AD13" t="s">
        <v>500</v>
      </c>
      <c r="AE13">
        <v>28655</v>
      </c>
      <c r="AF13">
        <v>3535</v>
      </c>
      <c r="AG13" t="s">
        <v>499</v>
      </c>
      <c r="AH13" t="s">
        <v>500</v>
      </c>
      <c r="AI13">
        <v>28655</v>
      </c>
      <c r="AJ13">
        <v>2</v>
      </c>
      <c r="AK13" t="s">
        <v>501</v>
      </c>
      <c r="AM13" t="s">
        <v>0</v>
      </c>
      <c r="AN13" t="s">
        <v>502</v>
      </c>
      <c r="AO13" t="s">
        <v>503</v>
      </c>
      <c r="AP13">
        <v>8287649276</v>
      </c>
      <c r="AQ13" t="s">
        <v>505</v>
      </c>
      <c r="AR13" t="s">
        <v>506</v>
      </c>
      <c r="AS13" t="s">
        <v>503</v>
      </c>
      <c r="AT13" t="s">
        <v>376</v>
      </c>
      <c r="AU13" t="s">
        <v>504</v>
      </c>
      <c r="AV13" t="s">
        <v>505</v>
      </c>
      <c r="AW13" t="s">
        <v>506</v>
      </c>
      <c r="AX13" t="s">
        <v>507</v>
      </c>
      <c r="AY13">
        <v>0</v>
      </c>
      <c r="AZ13">
        <v>0</v>
      </c>
      <c r="BA13">
        <v>0</v>
      </c>
      <c r="BB13" s="573">
        <v>42186</v>
      </c>
      <c r="BC13" s="573">
        <v>42551</v>
      </c>
      <c r="BD13">
        <v>1</v>
      </c>
      <c r="BE13">
        <v>2</v>
      </c>
      <c r="BF13">
        <v>0</v>
      </c>
      <c r="BG13">
        <v>1</v>
      </c>
      <c r="BH13">
        <v>4</v>
      </c>
      <c r="BJ13" s="1">
        <v>7332</v>
      </c>
      <c r="BK13">
        <v>2</v>
      </c>
      <c r="BL13">
        <v>2</v>
      </c>
      <c r="BM13">
        <v>4</v>
      </c>
      <c r="BN13">
        <v>17.05</v>
      </c>
      <c r="BO13">
        <v>21.05</v>
      </c>
      <c r="BP13" s="3">
        <v>9.5000000000000001E-2</v>
      </c>
      <c r="BQ13" s="1">
        <v>3800</v>
      </c>
      <c r="BR13" s="4">
        <v>66300</v>
      </c>
      <c r="DW13" s="4">
        <v>268500</v>
      </c>
      <c r="DX13" s="4">
        <v>810360</v>
      </c>
      <c r="DY13" s="4">
        <v>1078860</v>
      </c>
      <c r="DZ13" s="4">
        <v>142287</v>
      </c>
      <c r="EA13" s="4">
        <v>0</v>
      </c>
      <c r="EB13" s="4">
        <v>142287</v>
      </c>
      <c r="EC13" s="4">
        <v>21250</v>
      </c>
      <c r="ED13" s="4">
        <v>11855</v>
      </c>
      <c r="EE13" s="4">
        <v>33105</v>
      </c>
      <c r="EF13" s="4">
        <v>40387</v>
      </c>
      <c r="EG13" s="4">
        <v>1294639</v>
      </c>
      <c r="EH13" s="4">
        <v>688612</v>
      </c>
      <c r="EI13" s="4">
        <v>250700</v>
      </c>
      <c r="EJ13" s="4">
        <v>939312</v>
      </c>
      <c r="EK13" s="4">
        <v>111627</v>
      </c>
      <c r="EL13" s="4">
        <v>15996</v>
      </c>
      <c r="EM13" s="4">
        <v>3934</v>
      </c>
      <c r="EN13" s="4">
        <v>131557</v>
      </c>
      <c r="EO13" s="4">
        <v>202895</v>
      </c>
      <c r="EP13" s="4">
        <v>1273764</v>
      </c>
      <c r="EQ13" s="4">
        <v>20875</v>
      </c>
      <c r="ER13" s="3">
        <v>1.61E-2</v>
      </c>
      <c r="ES13" s="4">
        <v>70000</v>
      </c>
      <c r="ET13" s="4">
        <v>0</v>
      </c>
      <c r="EU13" s="4">
        <v>0</v>
      </c>
      <c r="EV13" s="4">
        <v>0</v>
      </c>
      <c r="EW13" s="4">
        <v>70000</v>
      </c>
      <c r="EX13" s="4">
        <v>0</v>
      </c>
      <c r="EY13" s="1">
        <v>8525</v>
      </c>
      <c r="EZ13" s="1">
        <v>182059</v>
      </c>
      <c r="FA13" s="1">
        <v>34541</v>
      </c>
      <c r="FB13" s="1">
        <v>6530</v>
      </c>
      <c r="FC13" s="1">
        <v>27368</v>
      </c>
      <c r="FD13" s="1">
        <v>35916</v>
      </c>
      <c r="FE13" s="1">
        <v>2007</v>
      </c>
      <c r="FF13" s="1">
        <v>13459</v>
      </c>
      <c r="FG13" s="1">
        <v>70457</v>
      </c>
      <c r="FH13" s="1">
        <v>8537</v>
      </c>
      <c r="FI13" s="1">
        <v>40827</v>
      </c>
      <c r="FJ13" s="1">
        <v>119821</v>
      </c>
      <c r="FK13" s="1">
        <v>1675</v>
      </c>
      <c r="FL13">
        <v>90</v>
      </c>
      <c r="FN13" s="1">
        <v>119821</v>
      </c>
      <c r="FO13" s="1">
        <v>3791</v>
      </c>
      <c r="FP13" s="1">
        <v>1493</v>
      </c>
      <c r="FQ13">
        <v>628</v>
      </c>
      <c r="FR13">
        <v>0</v>
      </c>
      <c r="FS13">
        <v>74</v>
      </c>
      <c r="FT13">
        <v>74</v>
      </c>
      <c r="FU13" s="1">
        <v>26725</v>
      </c>
      <c r="FV13" s="1">
        <v>2022</v>
      </c>
      <c r="FW13">
        <v>0</v>
      </c>
      <c r="GC13" s="1">
        <v>23798</v>
      </c>
      <c r="GD13" s="1">
        <v>1183</v>
      </c>
      <c r="GE13">
        <v>205</v>
      </c>
      <c r="GK13">
        <v>518</v>
      </c>
      <c r="GL13">
        <v>9</v>
      </c>
      <c r="GM13">
        <v>27</v>
      </c>
      <c r="GN13">
        <v>0</v>
      </c>
      <c r="GO13" s="1">
        <v>51041</v>
      </c>
      <c r="GP13" s="1">
        <v>3214</v>
      </c>
      <c r="GQ13">
        <v>232</v>
      </c>
      <c r="GR13">
        <v>0</v>
      </c>
      <c r="GS13">
        <v>52</v>
      </c>
      <c r="GU13" s="1">
        <v>60924</v>
      </c>
      <c r="GV13" s="1">
        <v>10167</v>
      </c>
      <c r="GW13" s="1">
        <v>50167</v>
      </c>
      <c r="GX13" s="1">
        <v>22543</v>
      </c>
      <c r="GY13" s="1">
        <v>2110</v>
      </c>
      <c r="GZ13" s="1">
        <v>11189</v>
      </c>
      <c r="HA13" s="1">
        <v>83467</v>
      </c>
      <c r="HB13" s="1">
        <v>12277</v>
      </c>
      <c r="HC13" s="1">
        <v>61356</v>
      </c>
      <c r="HD13" s="1">
        <v>157100</v>
      </c>
      <c r="HE13">
        <v>219</v>
      </c>
      <c r="HF13" s="1">
        <v>157342</v>
      </c>
      <c r="HG13" s="1">
        <v>5694</v>
      </c>
      <c r="HH13" s="1">
        <v>1349</v>
      </c>
      <c r="HI13">
        <v>23</v>
      </c>
      <c r="HJ13" s="1">
        <v>6200</v>
      </c>
      <c r="HK13" s="1">
        <v>13243</v>
      </c>
      <c r="HL13" s="1">
        <v>170585</v>
      </c>
      <c r="HM13">
        <v>40</v>
      </c>
      <c r="HN13" s="1">
        <v>15545</v>
      </c>
      <c r="HO13" s="1">
        <v>15585</v>
      </c>
      <c r="HP13">
        <v>448</v>
      </c>
      <c r="HQ13" s="1">
        <v>2109</v>
      </c>
      <c r="HR13" s="1">
        <v>2557</v>
      </c>
      <c r="HS13">
        <v>0</v>
      </c>
      <c r="HT13">
        <v>72</v>
      </c>
      <c r="HU13">
        <v>72</v>
      </c>
      <c r="HV13">
        <v>0</v>
      </c>
      <c r="HW13" s="1">
        <v>18214</v>
      </c>
      <c r="HX13" s="1">
        <v>11910</v>
      </c>
      <c r="HY13" s="1">
        <v>6969</v>
      </c>
      <c r="HZ13" s="1">
        <v>18879</v>
      </c>
      <c r="IA13" s="1">
        <v>37093</v>
      </c>
      <c r="IB13" s="1">
        <v>8251</v>
      </c>
      <c r="IC13" s="1">
        <v>9672</v>
      </c>
      <c r="ID13" s="1">
        <v>188799</v>
      </c>
      <c r="IE13" s="1">
        <v>188799</v>
      </c>
      <c r="IF13" s="1">
        <v>207678</v>
      </c>
      <c r="IG13" s="1">
        <v>74997</v>
      </c>
      <c r="IH13">
        <v>0</v>
      </c>
      <c r="IL13" s="3">
        <v>9.4999999999999998E-3</v>
      </c>
      <c r="IM13" s="3">
        <v>5.0000000000000001E-4</v>
      </c>
      <c r="IN13" s="3">
        <v>0.29930000000000001</v>
      </c>
      <c r="IO13" s="3">
        <v>0</v>
      </c>
      <c r="IP13" s="3">
        <v>0.28039999999999998</v>
      </c>
      <c r="IQ13" s="3">
        <v>4.0000000000000002E-4</v>
      </c>
      <c r="IR13" s="3">
        <v>0.65810000000000002</v>
      </c>
      <c r="IS13" s="3">
        <v>3.85E-2</v>
      </c>
      <c r="IT13" s="3">
        <v>0.3972</v>
      </c>
      <c r="IU13" s="1">
        <v>45659</v>
      </c>
      <c r="IV13" s="1">
        <v>17262</v>
      </c>
      <c r="IW13" s="1">
        <v>62921</v>
      </c>
      <c r="IX13" s="3">
        <v>0.70609999999999995</v>
      </c>
      <c r="IY13" s="1">
        <v>127855</v>
      </c>
      <c r="JA13">
        <v>167</v>
      </c>
      <c r="JB13">
        <v>111</v>
      </c>
      <c r="JC13">
        <v>756</v>
      </c>
      <c r="JD13">
        <v>29</v>
      </c>
      <c r="JE13">
        <v>32</v>
      </c>
      <c r="JF13">
        <v>163</v>
      </c>
      <c r="JG13">
        <v>196</v>
      </c>
      <c r="JH13">
        <v>143</v>
      </c>
      <c r="JI13">
        <v>919</v>
      </c>
      <c r="JJ13" s="1">
        <v>1258</v>
      </c>
      <c r="JK13" s="1">
        <v>1034</v>
      </c>
      <c r="JL13">
        <v>224</v>
      </c>
      <c r="JM13" s="1">
        <v>2045</v>
      </c>
      <c r="JN13" s="1">
        <v>1827</v>
      </c>
      <c r="JO13" s="1">
        <v>15860</v>
      </c>
      <c r="JP13" s="1">
        <v>1883</v>
      </c>
      <c r="JQ13" s="1">
        <v>1883</v>
      </c>
      <c r="JR13" s="1">
        <v>3821</v>
      </c>
      <c r="JS13" s="1">
        <v>3928</v>
      </c>
      <c r="JT13" s="1">
        <v>3710</v>
      </c>
      <c r="JU13" s="1">
        <v>19681</v>
      </c>
      <c r="JV13" s="1">
        <v>27319</v>
      </c>
      <c r="JW13" s="1">
        <v>19732</v>
      </c>
      <c r="JX13" s="1">
        <v>7587</v>
      </c>
      <c r="JY13">
        <v>21.72</v>
      </c>
      <c r="JZ13">
        <v>20.04</v>
      </c>
      <c r="KA13">
        <v>21.42</v>
      </c>
      <c r="KB13">
        <v>0.14000000000000001</v>
      </c>
      <c r="KC13">
        <v>0.72</v>
      </c>
      <c r="KD13">
        <v>14</v>
      </c>
      <c r="KE13">
        <v>337</v>
      </c>
      <c r="KF13">
        <v>22</v>
      </c>
      <c r="KG13">
        <v>253</v>
      </c>
      <c r="KN13" s="1">
        <v>25688</v>
      </c>
      <c r="KO13" s="1">
        <v>7644</v>
      </c>
      <c r="KP13" s="1">
        <v>2340</v>
      </c>
      <c r="KR13">
        <v>97</v>
      </c>
      <c r="KS13">
        <v>918</v>
      </c>
      <c r="KT13">
        <v>103</v>
      </c>
      <c r="KU13">
        <v>355</v>
      </c>
      <c r="KV13">
        <v>35</v>
      </c>
      <c r="KW13">
        <v>37</v>
      </c>
      <c r="KX13" s="1">
        <v>30170</v>
      </c>
      <c r="KZ13" s="1">
        <v>132639</v>
      </c>
      <c r="LD13" t="s">
        <v>501</v>
      </c>
      <c r="LE13" t="s">
        <v>379</v>
      </c>
      <c r="LF13" t="s">
        <v>499</v>
      </c>
      <c r="LG13" t="s">
        <v>500</v>
      </c>
      <c r="LH13">
        <v>28655</v>
      </c>
      <c r="LI13">
        <v>3535</v>
      </c>
      <c r="LJ13" t="s">
        <v>499</v>
      </c>
      <c r="LK13" t="s">
        <v>500</v>
      </c>
      <c r="LL13">
        <v>28655</v>
      </c>
      <c r="LM13">
        <v>3535</v>
      </c>
      <c r="LN13" t="s">
        <v>502</v>
      </c>
      <c r="LO13">
        <v>8287649260</v>
      </c>
      <c r="LP13">
        <v>8284331914</v>
      </c>
      <c r="LQ13" s="1">
        <v>26200</v>
      </c>
      <c r="LR13">
        <v>21.05</v>
      </c>
      <c r="LT13" s="1">
        <v>7332</v>
      </c>
      <c r="LU13">
        <v>156</v>
      </c>
      <c r="LX13">
        <v>2</v>
      </c>
      <c r="LY13" t="s">
        <v>508</v>
      </c>
      <c r="LZ13">
        <v>0</v>
      </c>
      <c r="MA13" t="s">
        <v>363</v>
      </c>
      <c r="MB13">
        <v>9.5500000000000007</v>
      </c>
      <c r="MC13">
        <v>48.08</v>
      </c>
      <c r="ME13" s="574">
        <v>6.75</v>
      </c>
      <c r="MF13" s="574">
        <v>4.9800000000000004</v>
      </c>
      <c r="MG13" s="574">
        <v>0.7</v>
      </c>
      <c r="MH13" s="574">
        <v>20.239999999999998</v>
      </c>
      <c r="MI13" s="574">
        <v>14.93</v>
      </c>
      <c r="MJ13" s="574">
        <v>2.09</v>
      </c>
      <c r="MK13" s="574">
        <v>9.9600000000000009</v>
      </c>
      <c r="ML13" s="574">
        <v>7.35</v>
      </c>
      <c r="MM13" s="574">
        <v>1.03</v>
      </c>
      <c r="MN13" s="574">
        <v>49.59</v>
      </c>
      <c r="MO13" s="574">
        <v>36.57</v>
      </c>
      <c r="MP13" s="574">
        <v>5.12</v>
      </c>
      <c r="MQ13" s="574">
        <v>46.63</v>
      </c>
      <c r="MR13" s="574">
        <v>34.380000000000003</v>
      </c>
      <c r="MS13" s="574">
        <v>4.82</v>
      </c>
      <c r="MT13" s="574">
        <v>16.98</v>
      </c>
      <c r="MU13" s="574">
        <v>12.52</v>
      </c>
      <c r="MV13" s="574">
        <v>1.75</v>
      </c>
      <c r="MW13" s="1">
        <v>1220</v>
      </c>
      <c r="MX13" s="1">
        <v>12844</v>
      </c>
      <c r="MY13" s="1">
        <v>6422</v>
      </c>
      <c r="MZ13" s="1">
        <v>6074</v>
      </c>
      <c r="NA13" s="1">
        <v>63928</v>
      </c>
      <c r="NB13" s="1">
        <v>31964</v>
      </c>
      <c r="NC13" s="1">
        <v>47200</v>
      </c>
      <c r="ND13" s="1">
        <v>94400</v>
      </c>
      <c r="NE13">
        <v>1.04</v>
      </c>
      <c r="NF13" s="1">
        <v>8969</v>
      </c>
      <c r="NG13">
        <v>4.3099999999999996</v>
      </c>
      <c r="NH13">
        <v>2.1190000000000002</v>
      </c>
      <c r="NI13">
        <v>1.43</v>
      </c>
      <c r="NJ13">
        <v>1.64</v>
      </c>
      <c r="NK13">
        <v>5.64</v>
      </c>
      <c r="NL13">
        <v>0.2883</v>
      </c>
      <c r="NM13">
        <v>0.84160000000000001</v>
      </c>
      <c r="NN13">
        <v>0.71</v>
      </c>
      <c r="NO13">
        <v>0.31</v>
      </c>
      <c r="NP13">
        <v>0</v>
      </c>
      <c r="NQ13">
        <v>0</v>
      </c>
      <c r="NR13">
        <v>0.34</v>
      </c>
      <c r="NS13">
        <v>0.04</v>
      </c>
      <c r="NT13">
        <v>0.22</v>
      </c>
      <c r="NU13" s="574">
        <v>10.54</v>
      </c>
      <c r="NV13">
        <v>2.0430000000000001</v>
      </c>
      <c r="NW13">
        <v>0</v>
      </c>
      <c r="NX13">
        <v>1E-3</v>
      </c>
      <c r="NY13">
        <v>0.57299999999999995</v>
      </c>
      <c r="NZ13">
        <v>1E-3</v>
      </c>
      <c r="OA13">
        <v>3.1800000000000002E-2</v>
      </c>
      <c r="OB13">
        <v>0.33460000000000001</v>
      </c>
      <c r="OC13">
        <v>1.43</v>
      </c>
      <c r="OD13">
        <v>1.345</v>
      </c>
      <c r="OE13">
        <v>0.1913</v>
      </c>
      <c r="OF13">
        <v>811.19200000000001</v>
      </c>
      <c r="OG13">
        <v>1.1759999999999999</v>
      </c>
      <c r="OH13" s="574">
        <v>2.2799999999999998</v>
      </c>
      <c r="OI13">
        <v>111</v>
      </c>
      <c r="OJ13">
        <v>27</v>
      </c>
      <c r="OK13" s="574">
        <v>14.29</v>
      </c>
      <c r="OL13" s="574">
        <v>1.48</v>
      </c>
      <c r="OM13" s="574">
        <v>1.25</v>
      </c>
      <c r="ON13">
        <v>0.23619999999999999</v>
      </c>
      <c r="OO13">
        <v>2.24E-2</v>
      </c>
      <c r="OP13">
        <v>0.27100000000000002</v>
      </c>
      <c r="OQ13" s="574">
        <v>1.6</v>
      </c>
      <c r="OR13" s="574">
        <v>12.11</v>
      </c>
      <c r="OS13" s="574">
        <v>0.37</v>
      </c>
      <c r="OT13" s="574">
        <v>0.45</v>
      </c>
      <c r="OU13" s="574">
        <v>14.53</v>
      </c>
      <c r="OV13">
        <v>2</v>
      </c>
      <c r="OW13">
        <v>7</v>
      </c>
      <c r="OX13">
        <v>1.48</v>
      </c>
      <c r="OY13" s="1">
        <v>3631</v>
      </c>
      <c r="OZ13">
        <v>17.440000000000001</v>
      </c>
      <c r="PA13" s="1">
        <v>2459</v>
      </c>
      <c r="PB13">
        <v>3.5</v>
      </c>
      <c r="PC13">
        <v>25.75</v>
      </c>
      <c r="PD13">
        <v>0.2</v>
      </c>
      <c r="PE13">
        <v>494</v>
      </c>
      <c r="PF13">
        <v>0.96</v>
      </c>
      <c r="PG13" s="574">
        <v>1.03</v>
      </c>
      <c r="PH13">
        <v>1.42</v>
      </c>
      <c r="PI13">
        <v>8.23</v>
      </c>
      <c r="PJ13">
        <v>3</v>
      </c>
      <c r="PK13" s="574">
        <v>9.9600000000000009</v>
      </c>
      <c r="PL13">
        <v>35.25</v>
      </c>
      <c r="PM13" s="4">
        <v>44623</v>
      </c>
      <c r="PN13" s="4">
        <v>32713</v>
      </c>
      <c r="PO13">
        <v>0.1115</v>
      </c>
      <c r="PP13">
        <v>0.81950000000000001</v>
      </c>
      <c r="PQ13">
        <v>0.1646</v>
      </c>
      <c r="PR13">
        <v>1.06E-2</v>
      </c>
      <c r="PS13">
        <v>7.7899999999999997E-2</v>
      </c>
      <c r="PT13">
        <v>1.5599999999999999E-2</v>
      </c>
      <c r="PU13" s="3">
        <v>0.5</v>
      </c>
      <c r="PV13" s="3">
        <v>0.19</v>
      </c>
      <c r="PW13" s="3">
        <v>0.81</v>
      </c>
      <c r="PX13" s="3">
        <v>0.26690000000000003</v>
      </c>
      <c r="PY13" s="3">
        <v>0.73309999999999997</v>
      </c>
      <c r="PZ13" s="3">
        <v>0.1033</v>
      </c>
      <c r="QA13" s="3">
        <v>1.26E-2</v>
      </c>
      <c r="QB13" s="3">
        <v>0.1968</v>
      </c>
      <c r="QC13" s="3">
        <v>3.0999999999999999E-3</v>
      </c>
      <c r="QD13" s="3">
        <v>0.1593</v>
      </c>
      <c r="QE13" s="3">
        <v>8.7599999999999997E-2</v>
      </c>
      <c r="QF13" s="3">
        <v>0.54059999999999997</v>
      </c>
      <c r="QG13" s="3">
        <v>0.73740000000000006</v>
      </c>
      <c r="QH13" s="3">
        <v>2.5600000000000001E-2</v>
      </c>
      <c r="QI13" s="3">
        <v>0.83330000000000004</v>
      </c>
      <c r="QJ13" s="3">
        <v>3.1199999999999999E-2</v>
      </c>
      <c r="QK13" s="3">
        <v>0.1099</v>
      </c>
      <c r="QL13" s="4">
        <v>11910</v>
      </c>
      <c r="QM13">
        <v>2.0299999999999998</v>
      </c>
      <c r="QN13" s="1">
        <v>22279</v>
      </c>
      <c r="QO13" s="1">
        <v>44557</v>
      </c>
      <c r="QP13" s="1">
        <v>4233</v>
      </c>
      <c r="QQ13" s="3">
        <v>0.84850000000000003</v>
      </c>
      <c r="QR13" s="3">
        <v>0.1216</v>
      </c>
      <c r="QS13" s="3">
        <v>2.9899999999999999E-2</v>
      </c>
      <c r="QT13" s="3">
        <v>9.5000000000000001E-2</v>
      </c>
      <c r="QU13">
        <v>0.27</v>
      </c>
      <c r="QV13">
        <v>0.75</v>
      </c>
      <c r="QW13">
        <v>0.2</v>
      </c>
      <c r="QX13">
        <v>12</v>
      </c>
      <c r="QY13">
        <v>1.69</v>
      </c>
      <c r="QZ13">
        <v>48</v>
      </c>
      <c r="RA13">
        <v>1.44</v>
      </c>
      <c r="RB13">
        <v>0.15</v>
      </c>
      <c r="RC13">
        <v>0.15</v>
      </c>
    </row>
    <row r="14" spans="1:471" x14ac:dyDescent="0.25">
      <c r="A14" t="s">
        <v>509</v>
      </c>
      <c r="B14">
        <v>11660</v>
      </c>
      <c r="C14" t="s">
        <v>1754</v>
      </c>
      <c r="D14" t="s">
        <v>1754</v>
      </c>
      <c r="E14" t="s">
        <v>1754</v>
      </c>
      <c r="F14" t="s">
        <v>1755</v>
      </c>
      <c r="G14" t="s">
        <v>1755</v>
      </c>
      <c r="H14" t="s">
        <v>510</v>
      </c>
      <c r="I14" t="s">
        <v>342</v>
      </c>
      <c r="J14" t="s">
        <v>343</v>
      </c>
      <c r="K14" t="s">
        <v>344</v>
      </c>
      <c r="L14" t="s">
        <v>345</v>
      </c>
      <c r="M14" t="s">
        <v>346</v>
      </c>
      <c r="N14" t="s">
        <v>347</v>
      </c>
      <c r="O14" s="1">
        <v>195714</v>
      </c>
      <c r="P14" t="s">
        <v>348</v>
      </c>
      <c r="Q14" s="1">
        <v>3774</v>
      </c>
      <c r="R14">
        <v>704</v>
      </c>
      <c r="S14">
        <v>381</v>
      </c>
      <c r="T14">
        <v>135</v>
      </c>
      <c r="U14" s="1">
        <v>10223</v>
      </c>
      <c r="V14" s="1">
        <v>2993</v>
      </c>
      <c r="W14" s="1">
        <v>106272</v>
      </c>
      <c r="X14" s="1">
        <v>10458</v>
      </c>
      <c r="AC14" t="s">
        <v>511</v>
      </c>
      <c r="AD14" t="s">
        <v>512</v>
      </c>
      <c r="AE14">
        <v>28025</v>
      </c>
      <c r="AF14">
        <v>4793</v>
      </c>
      <c r="AG14" t="s">
        <v>511</v>
      </c>
      <c r="AH14" t="s">
        <v>512</v>
      </c>
      <c r="AI14">
        <v>28025</v>
      </c>
      <c r="AJ14">
        <v>3</v>
      </c>
      <c r="AK14" t="s">
        <v>513</v>
      </c>
      <c r="AM14" t="s">
        <v>0</v>
      </c>
      <c r="AN14" t="s">
        <v>514</v>
      </c>
      <c r="AO14" t="s">
        <v>515</v>
      </c>
      <c r="AP14">
        <v>7049202063</v>
      </c>
      <c r="AQ14" t="s">
        <v>517</v>
      </c>
      <c r="AR14" t="s">
        <v>518</v>
      </c>
      <c r="AS14" t="s">
        <v>515</v>
      </c>
      <c r="AT14" t="s">
        <v>1</v>
      </c>
      <c r="AU14" t="s">
        <v>516</v>
      </c>
      <c r="AW14" t="s">
        <v>518</v>
      </c>
      <c r="AX14" t="s">
        <v>519</v>
      </c>
      <c r="AY14">
        <v>0</v>
      </c>
      <c r="AZ14">
        <v>0</v>
      </c>
      <c r="BA14">
        <v>0</v>
      </c>
      <c r="BB14" s="573">
        <v>42186</v>
      </c>
      <c r="BC14" s="573">
        <v>42551</v>
      </c>
      <c r="BD14">
        <v>1</v>
      </c>
      <c r="BE14">
        <v>3</v>
      </c>
      <c r="BF14">
        <v>0</v>
      </c>
      <c r="BG14">
        <v>1</v>
      </c>
      <c r="BH14">
        <v>5</v>
      </c>
      <c r="BJ14" s="1">
        <v>12480</v>
      </c>
      <c r="BK14">
        <v>9</v>
      </c>
      <c r="BL14">
        <v>0</v>
      </c>
      <c r="BM14">
        <v>9</v>
      </c>
      <c r="BN14">
        <v>39.5</v>
      </c>
      <c r="BO14">
        <v>48.5</v>
      </c>
      <c r="BP14" s="3">
        <v>0.18559999999999999</v>
      </c>
      <c r="BQ14" s="1">
        <v>5962</v>
      </c>
      <c r="BR14" s="4">
        <v>79035</v>
      </c>
      <c r="DW14" s="4">
        <v>0</v>
      </c>
      <c r="DX14" s="4">
        <v>3098094</v>
      </c>
      <c r="DY14" s="4">
        <v>3098094</v>
      </c>
      <c r="DZ14" s="4">
        <v>195223</v>
      </c>
      <c r="EA14" s="4">
        <v>0</v>
      </c>
      <c r="EB14" s="4">
        <v>195223</v>
      </c>
      <c r="EC14" s="4">
        <v>0</v>
      </c>
      <c r="ED14" s="4">
        <v>0</v>
      </c>
      <c r="EE14" s="4">
        <v>0</v>
      </c>
      <c r="EF14" s="4">
        <v>0</v>
      </c>
      <c r="EG14" s="4">
        <v>3293317</v>
      </c>
      <c r="EH14" s="4">
        <v>1727478</v>
      </c>
      <c r="EI14" s="4">
        <v>640331</v>
      </c>
      <c r="EJ14" s="4">
        <v>2367809</v>
      </c>
      <c r="EK14" s="4">
        <v>253789</v>
      </c>
      <c r="EL14" s="4">
        <v>134512</v>
      </c>
      <c r="EM14" s="4">
        <v>51060</v>
      </c>
      <c r="EN14" s="4">
        <v>439361</v>
      </c>
      <c r="EO14" s="4">
        <v>394543</v>
      </c>
      <c r="EP14" s="4">
        <v>3201713</v>
      </c>
      <c r="EQ14" s="4">
        <v>91604</v>
      </c>
      <c r="ER14" s="3">
        <v>2.7799999999999998E-2</v>
      </c>
      <c r="ES14" s="4">
        <v>0</v>
      </c>
      <c r="ET14" s="4">
        <v>0</v>
      </c>
      <c r="EU14" s="4">
        <v>0</v>
      </c>
      <c r="EV14" s="4">
        <v>0</v>
      </c>
      <c r="EW14" s="4">
        <v>0</v>
      </c>
      <c r="EX14" s="4">
        <v>0</v>
      </c>
      <c r="EY14" s="1">
        <v>22098</v>
      </c>
      <c r="EZ14" s="1">
        <v>248671</v>
      </c>
      <c r="FA14" s="1">
        <v>57693</v>
      </c>
      <c r="FB14" s="1">
        <v>9356</v>
      </c>
      <c r="FC14" s="1">
        <v>54074</v>
      </c>
      <c r="FD14" s="1">
        <v>46430</v>
      </c>
      <c r="FF14" s="1">
        <v>25002</v>
      </c>
      <c r="FG14" s="1">
        <v>104123</v>
      </c>
      <c r="FH14" s="1">
        <v>9356</v>
      </c>
      <c r="FI14" s="1">
        <v>79076</v>
      </c>
      <c r="FJ14" s="1">
        <v>192555</v>
      </c>
      <c r="FK14" s="1">
        <v>2297</v>
      </c>
      <c r="FL14">
        <v>150</v>
      </c>
      <c r="FN14" s="1">
        <v>192555</v>
      </c>
      <c r="FO14" s="1">
        <v>7392</v>
      </c>
      <c r="FP14" s="1">
        <v>7469</v>
      </c>
      <c r="FQ14" s="1">
        <v>1039</v>
      </c>
      <c r="FR14">
        <v>8</v>
      </c>
      <c r="FS14">
        <v>74</v>
      </c>
      <c r="FT14">
        <v>82</v>
      </c>
      <c r="FU14" s="1">
        <v>26725</v>
      </c>
      <c r="FV14" s="1">
        <v>2022</v>
      </c>
      <c r="FW14">
        <v>0</v>
      </c>
      <c r="GK14" s="1">
        <v>3658</v>
      </c>
      <c r="GL14" s="1">
        <v>5215</v>
      </c>
      <c r="GM14">
        <v>0</v>
      </c>
      <c r="GN14">
        <v>67</v>
      </c>
      <c r="GO14" s="1">
        <v>30383</v>
      </c>
      <c r="GP14" s="1">
        <v>7237</v>
      </c>
      <c r="GQ14">
        <v>0</v>
      </c>
      <c r="GR14">
        <v>67</v>
      </c>
      <c r="GS14">
        <v>60</v>
      </c>
      <c r="GU14" s="1">
        <v>191624</v>
      </c>
      <c r="GV14" s="1">
        <v>19457</v>
      </c>
      <c r="GW14" s="1">
        <v>292408</v>
      </c>
      <c r="GX14" s="1">
        <v>61752</v>
      </c>
      <c r="GZ14" s="1">
        <v>66378</v>
      </c>
      <c r="HA14" s="1">
        <v>253376</v>
      </c>
      <c r="HB14" s="1">
        <v>19457</v>
      </c>
      <c r="HC14" s="1">
        <v>358786</v>
      </c>
      <c r="HD14" s="1">
        <v>631619</v>
      </c>
      <c r="HE14" s="1">
        <v>1004</v>
      </c>
      <c r="HF14" s="1">
        <v>632623</v>
      </c>
      <c r="HG14" s="1">
        <v>26751</v>
      </c>
      <c r="HH14" s="1">
        <v>52854</v>
      </c>
      <c r="HJ14" s="1">
        <v>23333</v>
      </c>
      <c r="HK14" s="1">
        <v>102938</v>
      </c>
      <c r="HL14" s="1">
        <v>735561</v>
      </c>
      <c r="HM14">
        <v>976</v>
      </c>
      <c r="HN14" s="1">
        <v>10445</v>
      </c>
      <c r="HO14" s="1">
        <v>11421</v>
      </c>
      <c r="HP14" s="1">
        <v>1981</v>
      </c>
      <c r="HQ14" s="1">
        <v>12641</v>
      </c>
      <c r="HR14" s="1">
        <v>14622</v>
      </c>
      <c r="HS14">
        <v>0</v>
      </c>
      <c r="HT14">
        <v>0</v>
      </c>
      <c r="HU14">
        <v>0</v>
      </c>
      <c r="HV14" s="1">
        <v>3970</v>
      </c>
      <c r="HW14" s="1">
        <v>30013</v>
      </c>
      <c r="HX14" s="1">
        <v>50391</v>
      </c>
      <c r="HZ14" s="1">
        <v>50391</v>
      </c>
      <c r="IA14" s="1">
        <v>80404</v>
      </c>
      <c r="IB14" s="1">
        <v>41373</v>
      </c>
      <c r="IC14" s="1">
        <v>94227</v>
      </c>
      <c r="ID14" s="1">
        <v>765574</v>
      </c>
      <c r="IE14" s="1">
        <v>765574</v>
      </c>
      <c r="IF14" s="1">
        <v>815965</v>
      </c>
      <c r="IG14" s="1">
        <v>378243</v>
      </c>
      <c r="IH14">
        <v>0</v>
      </c>
      <c r="IL14" s="3">
        <v>0.03</v>
      </c>
      <c r="IM14" s="3">
        <v>5.9999999999999995E-4</v>
      </c>
      <c r="IN14" s="3">
        <v>0.15160000000000001</v>
      </c>
      <c r="IO14" s="3">
        <v>0</v>
      </c>
      <c r="IP14" s="3">
        <v>0.1222</v>
      </c>
      <c r="IQ14" s="3">
        <v>2.9999999999999997E-4</v>
      </c>
      <c r="IR14" s="3">
        <v>0.77429999999999999</v>
      </c>
      <c r="IS14" s="3">
        <v>5.8799999999999998E-2</v>
      </c>
      <c r="IT14" s="3">
        <v>0.49409999999999998</v>
      </c>
      <c r="IU14" s="1">
        <v>58307</v>
      </c>
      <c r="IV14" s="1">
        <v>14720</v>
      </c>
      <c r="IW14" s="1">
        <v>73027</v>
      </c>
      <c r="IX14" s="3">
        <v>0.37309999999999999</v>
      </c>
      <c r="IY14" s="1">
        <v>440041</v>
      </c>
      <c r="JA14">
        <v>578</v>
      </c>
      <c r="JB14">
        <v>472</v>
      </c>
      <c r="JC14" s="1">
        <v>1867</v>
      </c>
      <c r="JD14">
        <v>90</v>
      </c>
      <c r="JE14">
        <v>31</v>
      </c>
      <c r="JF14">
        <v>89</v>
      </c>
      <c r="JG14">
        <v>668</v>
      </c>
      <c r="JH14">
        <v>503</v>
      </c>
      <c r="JI14" s="1">
        <v>1956</v>
      </c>
      <c r="JJ14" s="1">
        <v>3127</v>
      </c>
      <c r="JK14" s="1">
        <v>2917</v>
      </c>
      <c r="JL14">
        <v>210</v>
      </c>
      <c r="JM14" s="1">
        <v>4412</v>
      </c>
      <c r="JN14" s="1">
        <v>6518</v>
      </c>
      <c r="JO14" s="1">
        <v>43355</v>
      </c>
      <c r="JP14" s="1">
        <v>1714</v>
      </c>
      <c r="JQ14">
        <v>928</v>
      </c>
      <c r="JR14" s="1">
        <v>8007</v>
      </c>
      <c r="JS14" s="1">
        <v>6126</v>
      </c>
      <c r="JT14" s="1">
        <v>7446</v>
      </c>
      <c r="JU14" s="1">
        <v>51362</v>
      </c>
      <c r="JV14" s="1">
        <v>64934</v>
      </c>
      <c r="JW14" s="1">
        <v>54285</v>
      </c>
      <c r="JX14" s="1">
        <v>10649</v>
      </c>
      <c r="JY14">
        <v>20.77</v>
      </c>
      <c r="JZ14">
        <v>9.17</v>
      </c>
      <c r="KA14">
        <v>26.26</v>
      </c>
      <c r="KB14">
        <v>0.09</v>
      </c>
      <c r="KC14">
        <v>0.79</v>
      </c>
      <c r="KD14">
        <v>46</v>
      </c>
      <c r="KE14">
        <v>326</v>
      </c>
      <c r="KF14">
        <v>536</v>
      </c>
      <c r="KG14" s="1">
        <v>8592</v>
      </c>
      <c r="KN14" s="1">
        <v>77891</v>
      </c>
      <c r="KO14" s="1">
        <v>30863</v>
      </c>
      <c r="KP14" s="1">
        <v>4905</v>
      </c>
      <c r="KR14">
        <v>361</v>
      </c>
      <c r="KS14" s="1">
        <v>5754</v>
      </c>
      <c r="KT14">
        <v>357</v>
      </c>
      <c r="KU14">
        <v>341</v>
      </c>
      <c r="KV14">
        <v>54</v>
      </c>
      <c r="KW14">
        <v>62</v>
      </c>
      <c r="KX14" s="1">
        <v>65333</v>
      </c>
      <c r="LD14" t="s">
        <v>513</v>
      </c>
      <c r="LE14" t="s">
        <v>379</v>
      </c>
      <c r="LF14" t="s">
        <v>511</v>
      </c>
      <c r="LG14" t="s">
        <v>512</v>
      </c>
      <c r="LH14">
        <v>28025</v>
      </c>
      <c r="LI14">
        <v>4793</v>
      </c>
      <c r="LJ14" t="s">
        <v>511</v>
      </c>
      <c r="LK14" t="s">
        <v>512</v>
      </c>
      <c r="LL14">
        <v>28025</v>
      </c>
      <c r="LM14">
        <v>4793</v>
      </c>
      <c r="LN14" t="s">
        <v>514</v>
      </c>
      <c r="LO14">
        <v>7049202050</v>
      </c>
      <c r="LP14">
        <v>7047843822</v>
      </c>
      <c r="LQ14" s="1">
        <v>55060</v>
      </c>
      <c r="LR14">
        <v>48.5</v>
      </c>
      <c r="LT14" s="1">
        <v>12480</v>
      </c>
      <c r="LU14">
        <v>208</v>
      </c>
      <c r="LX14">
        <v>2</v>
      </c>
      <c r="LY14" t="s">
        <v>520</v>
      </c>
      <c r="LZ14">
        <v>0</v>
      </c>
      <c r="MA14" t="s">
        <v>363</v>
      </c>
      <c r="MB14">
        <v>46.91</v>
      </c>
      <c r="MC14">
        <v>88.77</v>
      </c>
      <c r="ME14" s="574">
        <v>4.18</v>
      </c>
      <c r="MF14" s="574">
        <v>3.09</v>
      </c>
      <c r="MG14" s="574">
        <v>0.56999999999999995</v>
      </c>
      <c r="MH14" s="574">
        <v>43.84</v>
      </c>
      <c r="MI14" s="574">
        <v>32.42</v>
      </c>
      <c r="MJ14" s="574">
        <v>6.02</v>
      </c>
      <c r="MK14" s="574">
        <v>7.28</v>
      </c>
      <c r="ML14" s="574">
        <v>5.38</v>
      </c>
      <c r="MM14" s="574">
        <v>1</v>
      </c>
      <c r="MN14" s="574">
        <v>41.11</v>
      </c>
      <c r="MO14" s="574">
        <v>30.4</v>
      </c>
      <c r="MP14" s="574">
        <v>5.64</v>
      </c>
      <c r="MQ14" s="574">
        <v>49.31</v>
      </c>
      <c r="MR14" s="574">
        <v>36.46</v>
      </c>
      <c r="MS14" s="574">
        <v>6.77</v>
      </c>
      <c r="MT14" s="574">
        <v>8.4600000000000009</v>
      </c>
      <c r="MU14" s="574">
        <v>6.26</v>
      </c>
      <c r="MV14" s="574">
        <v>1.1599999999999999</v>
      </c>
      <c r="MW14" s="1">
        <v>1606</v>
      </c>
      <c r="MX14" s="1">
        <v>8655</v>
      </c>
      <c r="MY14" s="1">
        <v>8655</v>
      </c>
      <c r="MZ14" s="1">
        <v>9073</v>
      </c>
      <c r="NA14" s="1">
        <v>48893</v>
      </c>
      <c r="NB14" s="1">
        <v>48893</v>
      </c>
      <c r="NC14" s="1">
        <v>85064</v>
      </c>
      <c r="ND14" s="1">
        <v>85064</v>
      </c>
      <c r="NE14">
        <v>3.08</v>
      </c>
      <c r="NF14" s="1">
        <v>15785</v>
      </c>
      <c r="NG14">
        <v>7.59</v>
      </c>
      <c r="NH14">
        <v>3.9119999999999999</v>
      </c>
      <c r="NI14">
        <v>2.25</v>
      </c>
      <c r="NJ14">
        <v>4.8899999999999997</v>
      </c>
      <c r="NK14">
        <v>4.67</v>
      </c>
      <c r="NL14">
        <v>0.39800000000000002</v>
      </c>
      <c r="NM14">
        <v>1.9326000000000001</v>
      </c>
      <c r="NN14">
        <v>0.37</v>
      </c>
      <c r="NO14">
        <v>0.33</v>
      </c>
      <c r="NP14">
        <v>0</v>
      </c>
      <c r="NQ14">
        <v>0</v>
      </c>
      <c r="NR14">
        <v>0.33</v>
      </c>
      <c r="NS14">
        <v>0.03</v>
      </c>
      <c r="NT14">
        <v>0.26</v>
      </c>
      <c r="NU14" s="574">
        <v>12.1</v>
      </c>
      <c r="NV14">
        <v>1.2709999999999999</v>
      </c>
      <c r="NW14">
        <v>0</v>
      </c>
      <c r="NX14">
        <v>1E-3</v>
      </c>
      <c r="NY14">
        <v>0.155</v>
      </c>
      <c r="NZ14">
        <v>0</v>
      </c>
      <c r="OA14">
        <v>0.1232</v>
      </c>
      <c r="OB14">
        <v>0.66410000000000002</v>
      </c>
      <c r="OC14">
        <v>2.0539999999999998</v>
      </c>
      <c r="OD14">
        <v>0.98399999999999999</v>
      </c>
      <c r="OE14">
        <v>0.20180000000000001</v>
      </c>
      <c r="OF14">
        <v>416.05200000000002</v>
      </c>
      <c r="OG14">
        <v>1.123</v>
      </c>
      <c r="OH14" s="574">
        <v>2.02</v>
      </c>
      <c r="OI14">
        <v>200</v>
      </c>
      <c r="OJ14">
        <v>102</v>
      </c>
      <c r="OK14" s="574">
        <v>16.36</v>
      </c>
      <c r="OL14" s="574">
        <v>2.2400000000000002</v>
      </c>
      <c r="OM14" s="574">
        <v>1.3</v>
      </c>
      <c r="ON14">
        <v>0.24779999999999999</v>
      </c>
      <c r="OO14">
        <v>4.5999999999999999E-2</v>
      </c>
      <c r="OP14">
        <v>0.54090000000000005</v>
      </c>
      <c r="OQ14" s="574">
        <v>1</v>
      </c>
      <c r="OR14" s="574">
        <v>15.83</v>
      </c>
      <c r="OS14" s="574">
        <v>0</v>
      </c>
      <c r="OT14" s="574">
        <v>0</v>
      </c>
      <c r="OU14" s="574">
        <v>16.829999999999998</v>
      </c>
      <c r="OV14">
        <v>7</v>
      </c>
      <c r="OW14">
        <v>7</v>
      </c>
      <c r="OX14">
        <v>1.74</v>
      </c>
      <c r="OY14" s="1">
        <v>14723</v>
      </c>
      <c r="OZ14">
        <v>35.26</v>
      </c>
      <c r="PA14" s="1">
        <v>8462</v>
      </c>
      <c r="PB14">
        <v>6.24</v>
      </c>
      <c r="PC14">
        <v>61.34</v>
      </c>
      <c r="PD14">
        <v>0.18</v>
      </c>
      <c r="PE14" s="1">
        <v>1498</v>
      </c>
      <c r="PF14">
        <v>0.32</v>
      </c>
      <c r="PG14" s="574">
        <v>1</v>
      </c>
      <c r="PH14">
        <v>0.56999999999999995</v>
      </c>
      <c r="PI14">
        <v>6.38</v>
      </c>
      <c r="PJ14">
        <v>10.48</v>
      </c>
      <c r="PK14" s="574">
        <v>7.28</v>
      </c>
      <c r="PL14">
        <v>48</v>
      </c>
      <c r="PM14" s="4">
        <v>48821</v>
      </c>
      <c r="PN14" s="4">
        <v>35618</v>
      </c>
      <c r="PO14">
        <v>6.3399999999999998E-2</v>
      </c>
      <c r="PP14">
        <v>0.62270000000000003</v>
      </c>
      <c r="PQ14">
        <v>0.11020000000000001</v>
      </c>
      <c r="PR14">
        <v>1.18E-2</v>
      </c>
      <c r="PS14">
        <v>0.11559999999999999</v>
      </c>
      <c r="PT14">
        <v>2.0500000000000001E-2</v>
      </c>
      <c r="PU14" s="3">
        <v>1</v>
      </c>
      <c r="PV14" s="3">
        <v>0.18559999999999999</v>
      </c>
      <c r="PW14" s="3">
        <v>0.81440000000000001</v>
      </c>
      <c r="PX14" s="3">
        <v>0.27039999999999997</v>
      </c>
      <c r="PY14" s="3">
        <v>0.72960000000000003</v>
      </c>
      <c r="PZ14" s="3">
        <v>0.13719999999999999</v>
      </c>
      <c r="QA14" s="3">
        <v>4.2000000000000003E-2</v>
      </c>
      <c r="QB14" s="3">
        <v>0.2</v>
      </c>
      <c r="QC14" s="3">
        <v>1.5900000000000001E-2</v>
      </c>
      <c r="QD14" s="3">
        <v>0.1232</v>
      </c>
      <c r="QE14" s="3">
        <v>7.9299999999999995E-2</v>
      </c>
      <c r="QF14" s="3">
        <v>0.53949999999999998</v>
      </c>
      <c r="QG14" s="3">
        <v>0.73950000000000005</v>
      </c>
      <c r="QH14" s="3">
        <v>0</v>
      </c>
      <c r="QI14" s="3">
        <v>0.94069999999999998</v>
      </c>
      <c r="QJ14" s="3">
        <v>0</v>
      </c>
      <c r="QK14" s="3">
        <v>5.9299999999999999E-2</v>
      </c>
      <c r="QL14" s="4">
        <v>13203</v>
      </c>
      <c r="QM14">
        <v>6.03</v>
      </c>
      <c r="QN14" s="1">
        <v>21746</v>
      </c>
      <c r="QO14" s="1">
        <v>21746</v>
      </c>
      <c r="QP14" s="1">
        <v>4035</v>
      </c>
      <c r="QQ14" s="3">
        <v>0.5776</v>
      </c>
      <c r="QR14" s="3">
        <v>0.30620000000000003</v>
      </c>
      <c r="QS14" s="3">
        <v>0.1162</v>
      </c>
      <c r="QT14" s="3">
        <v>0.18559999999999999</v>
      </c>
      <c r="QU14">
        <v>0.44</v>
      </c>
      <c r="QV14">
        <v>1.2</v>
      </c>
      <c r="QW14">
        <v>0.32</v>
      </c>
      <c r="QX14">
        <v>6</v>
      </c>
      <c r="QY14">
        <v>3.02</v>
      </c>
      <c r="QZ14">
        <v>15</v>
      </c>
      <c r="RA14">
        <v>1.74</v>
      </c>
      <c r="RB14">
        <v>0.24</v>
      </c>
      <c r="RC14">
        <v>0.23</v>
      </c>
    </row>
    <row r="15" spans="1:471" x14ac:dyDescent="0.25">
      <c r="A15" t="s">
        <v>521</v>
      </c>
      <c r="B15">
        <v>11661</v>
      </c>
      <c r="C15" t="s">
        <v>1754</v>
      </c>
      <c r="D15" t="s">
        <v>1754</v>
      </c>
      <c r="E15" t="s">
        <v>1754</v>
      </c>
      <c r="F15" t="s">
        <v>1755</v>
      </c>
      <c r="G15" t="s">
        <v>1755</v>
      </c>
      <c r="H15" t="s">
        <v>522</v>
      </c>
      <c r="I15" t="s">
        <v>342</v>
      </c>
      <c r="J15" t="s">
        <v>343</v>
      </c>
      <c r="K15" t="s">
        <v>344</v>
      </c>
      <c r="L15" t="s">
        <v>345</v>
      </c>
      <c r="M15" t="s">
        <v>346</v>
      </c>
      <c r="N15" t="s">
        <v>347</v>
      </c>
      <c r="O15" s="1">
        <v>82577</v>
      </c>
      <c r="P15" t="s">
        <v>472</v>
      </c>
      <c r="Q15">
        <v>658</v>
      </c>
      <c r="R15">
        <v>226</v>
      </c>
      <c r="S15">
        <v>65</v>
      </c>
      <c r="T15">
        <v>8</v>
      </c>
      <c r="U15" s="1">
        <v>2658</v>
      </c>
      <c r="V15">
        <v>82</v>
      </c>
      <c r="W15" s="1">
        <v>27628</v>
      </c>
      <c r="X15" s="1">
        <v>4251</v>
      </c>
      <c r="Y15" s="1">
        <v>310800</v>
      </c>
      <c r="Z15" s="1">
        <v>161580</v>
      </c>
      <c r="AC15" t="s">
        <v>523</v>
      </c>
      <c r="AD15" t="s">
        <v>524</v>
      </c>
      <c r="AE15">
        <v>28645</v>
      </c>
      <c r="AF15">
        <v>4454</v>
      </c>
      <c r="AG15" t="s">
        <v>523</v>
      </c>
      <c r="AH15" t="s">
        <v>524</v>
      </c>
      <c r="AI15">
        <v>28645</v>
      </c>
      <c r="AJ15">
        <v>1</v>
      </c>
      <c r="AK15" t="s">
        <v>525</v>
      </c>
      <c r="AM15" t="s">
        <v>0</v>
      </c>
      <c r="AN15" t="s">
        <v>526</v>
      </c>
      <c r="AO15" t="s">
        <v>1898</v>
      </c>
      <c r="AP15">
        <v>8287571288</v>
      </c>
      <c r="AQ15" t="s">
        <v>528</v>
      </c>
      <c r="AR15" t="s">
        <v>1899</v>
      </c>
      <c r="AS15" t="s">
        <v>1898</v>
      </c>
      <c r="AT15" t="s">
        <v>695</v>
      </c>
      <c r="AU15" t="s">
        <v>527</v>
      </c>
      <c r="AV15" t="s">
        <v>528</v>
      </c>
      <c r="AW15" t="s">
        <v>1899</v>
      </c>
      <c r="AX15" t="s">
        <v>529</v>
      </c>
      <c r="AY15">
        <v>0</v>
      </c>
      <c r="AZ15">
        <v>0</v>
      </c>
      <c r="BA15">
        <v>0</v>
      </c>
      <c r="BB15" s="573">
        <v>42186</v>
      </c>
      <c r="BC15" s="573">
        <v>42551</v>
      </c>
      <c r="BD15">
        <v>1</v>
      </c>
      <c r="BE15">
        <v>2</v>
      </c>
      <c r="BF15">
        <v>0</v>
      </c>
      <c r="BG15">
        <v>0</v>
      </c>
      <c r="BH15">
        <v>3</v>
      </c>
      <c r="BJ15" s="1">
        <v>7280</v>
      </c>
      <c r="BK15">
        <v>4</v>
      </c>
      <c r="BL15">
        <v>1</v>
      </c>
      <c r="BM15">
        <v>5</v>
      </c>
      <c r="BN15">
        <v>14</v>
      </c>
      <c r="BO15">
        <v>19</v>
      </c>
      <c r="BP15" s="3">
        <v>0.21049999999999999</v>
      </c>
      <c r="BQ15">
        <v>58</v>
      </c>
      <c r="BR15" s="4">
        <v>48687</v>
      </c>
      <c r="DW15" s="4">
        <v>0</v>
      </c>
      <c r="DX15" s="4">
        <v>837223</v>
      </c>
      <c r="DY15" s="4">
        <v>837223</v>
      </c>
      <c r="DZ15" s="4">
        <v>138156</v>
      </c>
      <c r="EA15" s="4">
        <v>0</v>
      </c>
      <c r="EB15" s="4">
        <v>138156</v>
      </c>
      <c r="EC15" s="4">
        <v>750</v>
      </c>
      <c r="ED15" s="4">
        <v>0</v>
      </c>
      <c r="EE15" s="4">
        <v>750</v>
      </c>
      <c r="EF15" s="4">
        <v>32902</v>
      </c>
      <c r="EG15" s="4">
        <v>1009031</v>
      </c>
      <c r="EH15" s="4">
        <v>613058</v>
      </c>
      <c r="EI15" s="4">
        <v>197214</v>
      </c>
      <c r="EJ15" s="4">
        <v>810272</v>
      </c>
      <c r="EK15" s="4">
        <v>77898</v>
      </c>
      <c r="EL15" s="4">
        <v>22135</v>
      </c>
      <c r="EM15" s="4">
        <v>19498</v>
      </c>
      <c r="EN15" s="4">
        <v>119531</v>
      </c>
      <c r="EO15" s="4">
        <v>46326</v>
      </c>
      <c r="EP15" s="4">
        <v>976129</v>
      </c>
      <c r="EQ15" s="4">
        <v>32902</v>
      </c>
      <c r="ER15" s="3">
        <v>3.2599999999999997E-2</v>
      </c>
      <c r="ES15" s="4">
        <v>0</v>
      </c>
      <c r="ET15" s="4">
        <v>0</v>
      </c>
      <c r="EU15" s="4">
        <v>0</v>
      </c>
      <c r="EV15" s="4">
        <v>0</v>
      </c>
      <c r="EW15" s="4">
        <v>0</v>
      </c>
      <c r="EX15" s="4">
        <v>0</v>
      </c>
      <c r="EY15" s="1">
        <v>34336</v>
      </c>
      <c r="EZ15" s="1">
        <v>221288</v>
      </c>
      <c r="FA15" s="1">
        <v>41062</v>
      </c>
      <c r="FB15" s="1">
        <v>6910</v>
      </c>
      <c r="FC15" s="1">
        <v>24236</v>
      </c>
      <c r="FD15" s="1">
        <v>41730</v>
      </c>
      <c r="FE15">
        <v>0</v>
      </c>
      <c r="FF15" s="1">
        <v>10952</v>
      </c>
      <c r="FG15" s="1">
        <v>82792</v>
      </c>
      <c r="FH15" s="1">
        <v>6910</v>
      </c>
      <c r="FI15" s="1">
        <v>35188</v>
      </c>
      <c r="FJ15" s="1">
        <v>124890</v>
      </c>
      <c r="FK15">
        <v>649</v>
      </c>
      <c r="FL15">
        <v>205</v>
      </c>
      <c r="FN15" s="1">
        <v>124890</v>
      </c>
      <c r="FO15" s="1">
        <v>6769</v>
      </c>
      <c r="FP15" s="1">
        <v>11262</v>
      </c>
      <c r="FQ15">
        <v>0</v>
      </c>
      <c r="FR15">
        <v>4</v>
      </c>
      <c r="FS15">
        <v>74</v>
      </c>
      <c r="FT15">
        <v>78</v>
      </c>
      <c r="FU15" s="1">
        <v>26725</v>
      </c>
      <c r="FV15" s="1">
        <v>2022</v>
      </c>
      <c r="FW15">
        <v>0</v>
      </c>
      <c r="GG15" s="1">
        <v>34298</v>
      </c>
      <c r="GH15" s="1">
        <v>13913</v>
      </c>
      <c r="GI15">
        <v>370</v>
      </c>
      <c r="GJ15">
        <v>87</v>
      </c>
      <c r="GK15">
        <v>0</v>
      </c>
      <c r="GL15">
        <v>0</v>
      </c>
      <c r="GM15">
        <v>0</v>
      </c>
      <c r="GN15">
        <v>20</v>
      </c>
      <c r="GO15" s="1">
        <v>61023</v>
      </c>
      <c r="GP15" s="1">
        <v>15935</v>
      </c>
      <c r="GQ15">
        <v>370</v>
      </c>
      <c r="GR15">
        <v>107</v>
      </c>
      <c r="GS15">
        <v>7</v>
      </c>
      <c r="GU15" s="1">
        <v>73410</v>
      </c>
      <c r="GV15" s="1">
        <v>10958</v>
      </c>
      <c r="GW15" s="1">
        <v>53479</v>
      </c>
      <c r="GX15" s="1">
        <v>23770</v>
      </c>
      <c r="GY15">
        <v>13</v>
      </c>
      <c r="GZ15" s="1">
        <v>9625</v>
      </c>
      <c r="HA15" s="1">
        <v>97180</v>
      </c>
      <c r="HB15" s="1">
        <v>10971</v>
      </c>
      <c r="HC15" s="1">
        <v>63104</v>
      </c>
      <c r="HD15" s="1">
        <v>171255</v>
      </c>
      <c r="HE15" s="1">
        <v>3830</v>
      </c>
      <c r="HF15" s="1">
        <v>175293</v>
      </c>
      <c r="HG15" s="1">
        <v>9467</v>
      </c>
      <c r="HH15" s="1">
        <v>53250</v>
      </c>
      <c r="HI15">
        <v>208</v>
      </c>
      <c r="HJ15">
        <v>2</v>
      </c>
      <c r="HK15" s="1">
        <v>62719</v>
      </c>
      <c r="HL15" s="1">
        <v>238012</v>
      </c>
      <c r="HM15">
        <v>132</v>
      </c>
      <c r="HN15" s="1">
        <v>15954</v>
      </c>
      <c r="HO15" s="1">
        <v>16086</v>
      </c>
      <c r="HP15">
        <v>103</v>
      </c>
      <c r="HQ15" s="1">
        <v>9736</v>
      </c>
      <c r="HR15" s="1">
        <v>9839</v>
      </c>
      <c r="HS15">
        <v>0</v>
      </c>
      <c r="HT15">
        <v>98</v>
      </c>
      <c r="HU15">
        <v>98</v>
      </c>
      <c r="HV15">
        <v>425</v>
      </c>
      <c r="HW15" s="1">
        <v>26448</v>
      </c>
      <c r="HX15" s="1">
        <v>7461</v>
      </c>
      <c r="HY15" s="1">
        <v>14788</v>
      </c>
      <c r="HZ15" s="1">
        <v>22249</v>
      </c>
      <c r="IA15" s="1">
        <v>48697</v>
      </c>
      <c r="IB15" s="1">
        <v>19306</v>
      </c>
      <c r="IC15" s="1">
        <v>72654</v>
      </c>
      <c r="ID15" s="1">
        <v>264460</v>
      </c>
      <c r="IE15" s="1">
        <v>264460</v>
      </c>
      <c r="IF15" s="1">
        <v>286709</v>
      </c>
      <c r="IG15" s="1">
        <v>97859</v>
      </c>
      <c r="IH15">
        <v>0</v>
      </c>
      <c r="IL15" s="3">
        <v>5.2600000000000001E-2</v>
      </c>
      <c r="IM15" s="3">
        <v>8.9999999999999998E-4</v>
      </c>
      <c r="IN15" s="3">
        <v>0.34989999999999999</v>
      </c>
      <c r="IO15" s="3">
        <v>0</v>
      </c>
      <c r="IP15" s="3">
        <v>0.27579999999999999</v>
      </c>
      <c r="IQ15" s="3">
        <v>4.0000000000000002E-4</v>
      </c>
      <c r="IR15" s="3">
        <v>0.56440000000000001</v>
      </c>
      <c r="IS15" s="3">
        <v>0.1026</v>
      </c>
      <c r="IT15" s="3">
        <v>0.37</v>
      </c>
      <c r="IU15" s="1">
        <v>31892</v>
      </c>
      <c r="IV15" s="1">
        <v>8190</v>
      </c>
      <c r="IW15" s="1">
        <v>40082</v>
      </c>
      <c r="IX15" s="3">
        <v>0.4854</v>
      </c>
      <c r="IY15" s="1">
        <v>297928</v>
      </c>
      <c r="JA15">
        <v>72</v>
      </c>
      <c r="JB15">
        <v>16</v>
      </c>
      <c r="JC15">
        <v>261</v>
      </c>
      <c r="JD15">
        <v>28</v>
      </c>
      <c r="JE15">
        <v>0</v>
      </c>
      <c r="JF15">
        <v>0</v>
      </c>
      <c r="JG15">
        <v>100</v>
      </c>
      <c r="JH15">
        <v>16</v>
      </c>
      <c r="JI15">
        <v>261</v>
      </c>
      <c r="JJ15">
        <v>377</v>
      </c>
      <c r="JK15">
        <v>349</v>
      </c>
      <c r="JL15">
        <v>28</v>
      </c>
      <c r="JM15">
        <v>429</v>
      </c>
      <c r="JN15">
        <v>140</v>
      </c>
      <c r="JO15" s="1">
        <v>6547</v>
      </c>
      <c r="JP15">
        <v>103</v>
      </c>
      <c r="JQ15">
        <v>0</v>
      </c>
      <c r="JR15">
        <v>0</v>
      </c>
      <c r="JS15">
        <v>532</v>
      </c>
      <c r="JT15">
        <v>140</v>
      </c>
      <c r="JU15" s="1">
        <v>6547</v>
      </c>
      <c r="JV15" s="1">
        <v>7219</v>
      </c>
      <c r="JW15" s="1">
        <v>7116</v>
      </c>
      <c r="JX15">
        <v>103</v>
      </c>
      <c r="JY15">
        <v>19.149999999999999</v>
      </c>
      <c r="JZ15">
        <v>5.32</v>
      </c>
      <c r="KA15">
        <v>25.08</v>
      </c>
      <c r="KB15">
        <v>7.0000000000000007E-2</v>
      </c>
      <c r="KC15">
        <v>0.91</v>
      </c>
      <c r="KD15">
        <v>5</v>
      </c>
      <c r="KE15">
        <v>15</v>
      </c>
      <c r="KF15">
        <v>48</v>
      </c>
      <c r="KG15">
        <v>222</v>
      </c>
      <c r="KN15" s="1">
        <v>50856</v>
      </c>
      <c r="KO15" s="1">
        <v>10140</v>
      </c>
      <c r="KP15">
        <v>780</v>
      </c>
      <c r="KR15" s="1">
        <v>1235</v>
      </c>
      <c r="KS15" s="1">
        <v>22730</v>
      </c>
      <c r="KT15" s="1">
        <v>15592</v>
      </c>
      <c r="KU15" s="1">
        <v>15659</v>
      </c>
      <c r="KV15">
        <v>33</v>
      </c>
      <c r="KW15">
        <v>43</v>
      </c>
      <c r="KX15" s="1">
        <v>43223</v>
      </c>
      <c r="LD15" t="s">
        <v>525</v>
      </c>
      <c r="LE15" t="s">
        <v>379</v>
      </c>
      <c r="LF15" t="s">
        <v>523</v>
      </c>
      <c r="LG15" t="s">
        <v>524</v>
      </c>
      <c r="LH15">
        <v>28645</v>
      </c>
      <c r="LI15">
        <v>4454</v>
      </c>
      <c r="LJ15" t="s">
        <v>523</v>
      </c>
      <c r="LK15" t="s">
        <v>524</v>
      </c>
      <c r="LL15">
        <v>28645</v>
      </c>
      <c r="LM15">
        <v>4454</v>
      </c>
      <c r="LN15" t="s">
        <v>526</v>
      </c>
      <c r="LO15">
        <v>8287571270</v>
      </c>
      <c r="LP15">
        <v>8287571413</v>
      </c>
      <c r="LQ15" s="1">
        <v>58314</v>
      </c>
      <c r="LR15">
        <v>19</v>
      </c>
      <c r="LT15" s="1">
        <v>7280</v>
      </c>
      <c r="LU15">
        <v>156</v>
      </c>
      <c r="LX15">
        <v>2</v>
      </c>
      <c r="LY15" t="s">
        <v>530</v>
      </c>
      <c r="LZ15">
        <v>0</v>
      </c>
      <c r="MA15" t="s">
        <v>363</v>
      </c>
      <c r="MB15">
        <v>63.13</v>
      </c>
      <c r="MC15">
        <v>4.1900000000000004</v>
      </c>
      <c r="ME15" s="574">
        <v>3.69</v>
      </c>
      <c r="MF15" s="574">
        <v>3.06</v>
      </c>
      <c r="MG15" s="574">
        <v>0.45</v>
      </c>
      <c r="MH15" s="574">
        <v>24.35</v>
      </c>
      <c r="MI15" s="574">
        <v>20.22</v>
      </c>
      <c r="MJ15" s="574">
        <v>2.98</v>
      </c>
      <c r="MK15" s="574">
        <v>3.28</v>
      </c>
      <c r="ML15" s="574">
        <v>2.72</v>
      </c>
      <c r="MM15" s="574">
        <v>0.4</v>
      </c>
      <c r="MN15" s="574">
        <v>19.190000000000001</v>
      </c>
      <c r="MO15" s="574">
        <v>15.93</v>
      </c>
      <c r="MP15" s="574">
        <v>2.35</v>
      </c>
      <c r="MQ15" s="574">
        <v>135.22</v>
      </c>
      <c r="MR15" s="574">
        <v>112.24</v>
      </c>
      <c r="MS15" s="574">
        <v>16.559999999999999</v>
      </c>
      <c r="MT15" s="574">
        <v>9.9700000000000006</v>
      </c>
      <c r="MU15" s="574">
        <v>8.2799999999999994</v>
      </c>
      <c r="MV15" s="574">
        <v>1.22</v>
      </c>
      <c r="MW15" s="1">
        <v>2677</v>
      </c>
      <c r="MX15" s="1">
        <v>12714</v>
      </c>
      <c r="MY15" s="1">
        <v>10171</v>
      </c>
      <c r="MZ15" s="1">
        <v>15680</v>
      </c>
      <c r="NA15" s="1">
        <v>74482</v>
      </c>
      <c r="NB15" s="1">
        <v>59586</v>
      </c>
      <c r="NC15" s="1">
        <v>52892</v>
      </c>
      <c r="ND15" s="1">
        <v>66115</v>
      </c>
      <c r="NE15">
        <v>1.2</v>
      </c>
      <c r="NF15" s="1">
        <v>13919</v>
      </c>
      <c r="NG15">
        <v>6.69</v>
      </c>
      <c r="NH15">
        <v>3.2029999999999998</v>
      </c>
      <c r="NI15">
        <v>3.61</v>
      </c>
      <c r="NJ15">
        <v>389</v>
      </c>
      <c r="NK15">
        <v>390.67</v>
      </c>
      <c r="NL15">
        <v>0.6159</v>
      </c>
      <c r="NM15">
        <v>1.1851</v>
      </c>
      <c r="NN15">
        <v>0.49</v>
      </c>
      <c r="NO15">
        <v>0.09</v>
      </c>
      <c r="NP15">
        <v>0.19</v>
      </c>
      <c r="NQ15">
        <v>0.19</v>
      </c>
      <c r="NR15">
        <v>0.52</v>
      </c>
      <c r="NS15">
        <v>0.01</v>
      </c>
      <c r="NT15">
        <v>0.08</v>
      </c>
      <c r="NU15" s="574">
        <v>9.81</v>
      </c>
      <c r="NV15">
        <v>2.68</v>
      </c>
      <c r="NW15">
        <v>0</v>
      </c>
      <c r="NX15">
        <v>2E-3</v>
      </c>
      <c r="NY15">
        <v>0.73899999999999999</v>
      </c>
      <c r="NZ15">
        <v>1E-3</v>
      </c>
      <c r="OA15">
        <v>9.98E-2</v>
      </c>
      <c r="OB15">
        <v>0.47399999999999998</v>
      </c>
      <c r="OC15">
        <v>5.1150000000000002</v>
      </c>
      <c r="OD15">
        <v>1.512</v>
      </c>
      <c r="OE15">
        <v>0.16950000000000001</v>
      </c>
      <c r="OF15" s="2">
        <v>1522.454</v>
      </c>
      <c r="OG15">
        <v>1.946</v>
      </c>
      <c r="OH15" s="574">
        <v>0.56000000000000005</v>
      </c>
      <c r="OI15">
        <v>566</v>
      </c>
      <c r="OJ15">
        <v>290</v>
      </c>
      <c r="OK15" s="574">
        <v>11.82</v>
      </c>
      <c r="OL15" s="574">
        <v>1.45</v>
      </c>
      <c r="OM15" s="574">
        <v>0.94</v>
      </c>
      <c r="ON15">
        <v>0.2301</v>
      </c>
      <c r="OO15">
        <v>4.8399999999999999E-2</v>
      </c>
      <c r="OP15">
        <v>0.3493</v>
      </c>
      <c r="OQ15" s="574">
        <v>1.67</v>
      </c>
      <c r="OR15" s="574">
        <v>10.14</v>
      </c>
      <c r="OS15" s="574">
        <v>0.01</v>
      </c>
      <c r="OT15" s="574">
        <v>0.4</v>
      </c>
      <c r="OU15" s="574">
        <v>12.22</v>
      </c>
      <c r="OV15">
        <v>300</v>
      </c>
      <c r="OW15">
        <v>301</v>
      </c>
      <c r="OX15">
        <v>0.89</v>
      </c>
      <c r="OY15" s="1">
        <v>5086</v>
      </c>
      <c r="OZ15">
        <v>40.92</v>
      </c>
      <c r="PA15" s="1">
        <v>5729</v>
      </c>
      <c r="PB15">
        <v>6.99</v>
      </c>
      <c r="PC15">
        <v>36.33</v>
      </c>
      <c r="PD15">
        <v>0.17</v>
      </c>
      <c r="PE15">
        <v>978</v>
      </c>
      <c r="PF15">
        <v>0.84</v>
      </c>
      <c r="PG15" s="574">
        <v>0.4</v>
      </c>
      <c r="PH15">
        <v>0.74</v>
      </c>
      <c r="PI15">
        <v>8.82</v>
      </c>
      <c r="PJ15">
        <v>6.6</v>
      </c>
      <c r="PK15" s="574">
        <v>3.28</v>
      </c>
      <c r="PL15">
        <v>46.67</v>
      </c>
      <c r="PM15" s="4">
        <v>42646</v>
      </c>
      <c r="PN15" s="4">
        <v>32266</v>
      </c>
      <c r="PO15">
        <v>7.1800000000000003E-2</v>
      </c>
      <c r="PP15">
        <v>0.37359999999999999</v>
      </c>
      <c r="PQ15">
        <v>6.3799999999999996E-2</v>
      </c>
      <c r="PR15">
        <v>1.5100000000000001E-2</v>
      </c>
      <c r="PS15">
        <v>7.8700000000000006E-2</v>
      </c>
      <c r="PT15">
        <v>1.34E-2</v>
      </c>
      <c r="PU15" s="3">
        <v>0.8</v>
      </c>
      <c r="PV15" s="3">
        <v>0.26319999999999999</v>
      </c>
      <c r="PW15" s="3">
        <v>0.73680000000000001</v>
      </c>
      <c r="PX15" s="3">
        <v>0.24340000000000001</v>
      </c>
      <c r="PY15" s="3">
        <v>0.75660000000000005</v>
      </c>
      <c r="PZ15" s="3">
        <v>0.1225</v>
      </c>
      <c r="QA15" s="3">
        <v>2.2700000000000001E-2</v>
      </c>
      <c r="QB15" s="3">
        <v>0.20200000000000001</v>
      </c>
      <c r="QC15" s="3">
        <v>0.02</v>
      </c>
      <c r="QD15" s="3">
        <v>4.7500000000000001E-2</v>
      </c>
      <c r="QE15" s="3">
        <v>7.9799999999999996E-2</v>
      </c>
      <c r="QF15" s="3">
        <v>0.62809999999999999</v>
      </c>
      <c r="QG15" s="3">
        <v>0.83009999999999995</v>
      </c>
      <c r="QH15" s="3">
        <v>6.9999999999999999E-4</v>
      </c>
      <c r="QI15" s="3">
        <v>0.82969999999999999</v>
      </c>
      <c r="QJ15" s="3">
        <v>3.2599999999999997E-2</v>
      </c>
      <c r="QK15" s="3">
        <v>0.13689999999999999</v>
      </c>
      <c r="QL15" s="4">
        <v>10380</v>
      </c>
      <c r="QM15">
        <v>7.43</v>
      </c>
      <c r="QN15" s="1">
        <v>16515</v>
      </c>
      <c r="QO15" s="1">
        <v>20644</v>
      </c>
      <c r="QP15" s="1">
        <v>4346</v>
      </c>
      <c r="QQ15" s="3">
        <v>0.65169999999999995</v>
      </c>
      <c r="QR15" s="3">
        <v>0.1852</v>
      </c>
      <c r="QS15" s="3">
        <v>0.16309999999999999</v>
      </c>
      <c r="QT15" s="3">
        <v>0.21049999999999999</v>
      </c>
      <c r="QU15">
        <v>0.43</v>
      </c>
      <c r="QV15">
        <v>1.34</v>
      </c>
      <c r="QW15">
        <v>0.33</v>
      </c>
      <c r="QX15">
        <v>12</v>
      </c>
      <c r="QY15">
        <v>3.39</v>
      </c>
      <c r="QZ15">
        <v>14</v>
      </c>
      <c r="RA15">
        <v>2.21</v>
      </c>
      <c r="RB15">
        <v>0.27</v>
      </c>
      <c r="RC15">
        <v>0.26</v>
      </c>
    </row>
    <row r="16" spans="1:471" x14ac:dyDescent="0.25">
      <c r="A16" t="s">
        <v>531</v>
      </c>
      <c r="B16">
        <v>154237</v>
      </c>
      <c r="C16" t="s">
        <v>1754</v>
      </c>
      <c r="D16" t="s">
        <v>1754</v>
      </c>
      <c r="E16" t="s">
        <v>1754</v>
      </c>
      <c r="F16" t="s">
        <v>1755</v>
      </c>
      <c r="G16" t="s">
        <v>1755</v>
      </c>
      <c r="H16" t="s">
        <v>532</v>
      </c>
      <c r="I16" t="s">
        <v>342</v>
      </c>
      <c r="J16" t="s">
        <v>343</v>
      </c>
      <c r="K16" t="s">
        <v>533</v>
      </c>
      <c r="L16" t="s">
        <v>345</v>
      </c>
      <c r="M16" t="s">
        <v>346</v>
      </c>
      <c r="N16" t="s">
        <v>347</v>
      </c>
      <c r="O16" s="1">
        <v>23606</v>
      </c>
      <c r="P16" t="s">
        <v>348</v>
      </c>
      <c r="Q16">
        <v>368</v>
      </c>
      <c r="R16">
        <v>31</v>
      </c>
      <c r="S16">
        <v>16</v>
      </c>
      <c r="T16">
        <v>2</v>
      </c>
      <c r="U16">
        <v>836</v>
      </c>
      <c r="V16">
        <v>11</v>
      </c>
      <c r="W16" s="1">
        <v>5052</v>
      </c>
      <c r="X16">
        <v>983</v>
      </c>
      <c r="Y16" s="1">
        <v>51809</v>
      </c>
      <c r="AC16" t="s">
        <v>534</v>
      </c>
      <c r="AD16" t="s">
        <v>535</v>
      </c>
      <c r="AE16">
        <v>27379</v>
      </c>
      <c r="AG16" t="s">
        <v>534</v>
      </c>
      <c r="AH16" t="s">
        <v>535</v>
      </c>
      <c r="AI16">
        <v>27379</v>
      </c>
      <c r="AJ16">
        <v>1</v>
      </c>
      <c r="AK16" t="s">
        <v>536</v>
      </c>
      <c r="AM16" t="s">
        <v>0</v>
      </c>
      <c r="AN16" t="s">
        <v>537</v>
      </c>
      <c r="AO16" t="s">
        <v>538</v>
      </c>
      <c r="AP16">
        <v>3366946241</v>
      </c>
      <c r="AQ16" t="s">
        <v>540</v>
      </c>
      <c r="AR16" t="s">
        <v>541</v>
      </c>
      <c r="AS16" t="s">
        <v>538</v>
      </c>
      <c r="AT16" t="s">
        <v>1</v>
      </c>
      <c r="AU16" t="s">
        <v>539</v>
      </c>
      <c r="AV16" t="s">
        <v>540</v>
      </c>
      <c r="AW16" t="s">
        <v>541</v>
      </c>
      <c r="AX16" t="s">
        <v>542</v>
      </c>
      <c r="AY16">
        <v>0</v>
      </c>
      <c r="AZ16">
        <v>0</v>
      </c>
      <c r="BA16">
        <v>0</v>
      </c>
      <c r="BB16" s="573">
        <v>42186</v>
      </c>
      <c r="BC16" s="573">
        <v>42551</v>
      </c>
      <c r="BD16">
        <v>1</v>
      </c>
      <c r="BE16">
        <v>0</v>
      </c>
      <c r="BF16">
        <v>0</v>
      </c>
      <c r="BG16">
        <v>1</v>
      </c>
      <c r="BH16">
        <v>2</v>
      </c>
      <c r="BJ16" s="1">
        <v>2387</v>
      </c>
      <c r="BK16">
        <v>1</v>
      </c>
      <c r="BL16">
        <v>0</v>
      </c>
      <c r="BM16">
        <v>1</v>
      </c>
      <c r="BN16">
        <v>6.02</v>
      </c>
      <c r="BO16">
        <v>7.02</v>
      </c>
      <c r="BP16" s="3">
        <v>0.14249999999999999</v>
      </c>
      <c r="BQ16">
        <v>488</v>
      </c>
      <c r="BR16" s="4">
        <v>52890</v>
      </c>
      <c r="DW16" s="4">
        <v>0</v>
      </c>
      <c r="DX16" s="4">
        <v>175409</v>
      </c>
      <c r="DY16" s="4">
        <v>175409</v>
      </c>
      <c r="DZ16" s="4">
        <v>86436</v>
      </c>
      <c r="EA16" s="4">
        <v>0</v>
      </c>
      <c r="EB16" s="4">
        <v>86436</v>
      </c>
      <c r="EC16" s="4">
        <v>39814</v>
      </c>
      <c r="ED16" s="4">
        <v>0</v>
      </c>
      <c r="EE16" s="4">
        <v>39814</v>
      </c>
      <c r="EF16" s="4">
        <v>24890</v>
      </c>
      <c r="EG16" s="4">
        <v>326549</v>
      </c>
      <c r="EH16" s="4">
        <v>173852</v>
      </c>
      <c r="EI16" s="4">
        <v>48745</v>
      </c>
      <c r="EJ16" s="4">
        <v>222597</v>
      </c>
      <c r="EK16" s="4">
        <v>21614</v>
      </c>
      <c r="EL16" s="4">
        <v>3000</v>
      </c>
      <c r="EM16" s="4">
        <v>2774</v>
      </c>
      <c r="EN16" s="4">
        <v>27388</v>
      </c>
      <c r="EO16" s="4">
        <v>72370</v>
      </c>
      <c r="EP16" s="4">
        <v>322355</v>
      </c>
      <c r="EQ16" s="4">
        <v>4194</v>
      </c>
      <c r="ER16" s="3">
        <v>1.2800000000000001E-2</v>
      </c>
      <c r="ES16" s="4">
        <v>0</v>
      </c>
      <c r="ET16" s="4">
        <v>0</v>
      </c>
      <c r="EU16" s="4">
        <v>0</v>
      </c>
      <c r="EV16" s="4">
        <v>0</v>
      </c>
      <c r="EW16" s="4">
        <v>0</v>
      </c>
      <c r="EX16" s="4">
        <v>0</v>
      </c>
      <c r="EY16" s="1">
        <v>6027</v>
      </c>
      <c r="EZ16" s="1">
        <v>96449</v>
      </c>
      <c r="FA16" s="1">
        <v>13340</v>
      </c>
      <c r="FB16" s="1">
        <v>1336</v>
      </c>
      <c r="FC16" s="1">
        <v>9149</v>
      </c>
      <c r="FD16" s="1">
        <v>9364</v>
      </c>
      <c r="FE16">
        <v>590</v>
      </c>
      <c r="FF16" s="1">
        <v>4522</v>
      </c>
      <c r="FG16" s="1">
        <v>22704</v>
      </c>
      <c r="FH16" s="1">
        <v>1926</v>
      </c>
      <c r="FI16" s="1">
        <v>13671</v>
      </c>
      <c r="FJ16" s="1">
        <v>38301</v>
      </c>
      <c r="FK16" s="1">
        <v>1279</v>
      </c>
      <c r="FL16">
        <v>31</v>
      </c>
      <c r="FN16" s="1">
        <v>38301</v>
      </c>
      <c r="FO16">
        <v>879</v>
      </c>
      <c r="FP16" s="1">
        <v>1945</v>
      </c>
      <c r="FQ16">
        <v>9</v>
      </c>
      <c r="FR16">
        <v>2</v>
      </c>
      <c r="FS16">
        <v>74</v>
      </c>
      <c r="FT16">
        <v>76</v>
      </c>
      <c r="FU16" s="1">
        <v>26725</v>
      </c>
      <c r="FV16" s="1">
        <v>2022</v>
      </c>
      <c r="FW16">
        <v>0</v>
      </c>
      <c r="GC16" s="1">
        <v>23798</v>
      </c>
      <c r="GD16" s="1">
        <v>1183</v>
      </c>
      <c r="GE16">
        <v>205</v>
      </c>
      <c r="GK16">
        <v>-1</v>
      </c>
      <c r="GL16">
        <v>-1</v>
      </c>
      <c r="GM16">
        <v>-1</v>
      </c>
      <c r="GN16">
        <v>-1</v>
      </c>
      <c r="GO16" s="1">
        <v>50522</v>
      </c>
      <c r="GP16" s="1">
        <v>3204</v>
      </c>
      <c r="GQ16">
        <v>204</v>
      </c>
      <c r="GR16">
        <v>-1</v>
      </c>
      <c r="GS16">
        <v>36</v>
      </c>
      <c r="GU16" s="1">
        <v>14077</v>
      </c>
      <c r="GV16" s="1">
        <v>2666</v>
      </c>
      <c r="GW16" s="1">
        <v>12209</v>
      </c>
      <c r="GX16" s="1">
        <v>3458</v>
      </c>
      <c r="GY16" s="1">
        <v>1183</v>
      </c>
      <c r="GZ16" s="1">
        <v>3880</v>
      </c>
      <c r="HA16" s="1">
        <v>17535</v>
      </c>
      <c r="HB16" s="1">
        <v>3849</v>
      </c>
      <c r="HC16" s="1">
        <v>16089</v>
      </c>
      <c r="HD16" s="1">
        <v>37473</v>
      </c>
      <c r="HE16">
        <v>600</v>
      </c>
      <c r="HF16" s="1">
        <v>41578</v>
      </c>
      <c r="HG16" s="1">
        <v>1223</v>
      </c>
      <c r="HH16" s="1">
        <v>8922</v>
      </c>
      <c r="HI16" s="1">
        <v>3505</v>
      </c>
      <c r="HJ16">
        <v>2</v>
      </c>
      <c r="HK16" s="1">
        <v>10147</v>
      </c>
      <c r="HL16" s="1">
        <v>51725</v>
      </c>
      <c r="HM16">
        <v>65</v>
      </c>
      <c r="HN16" s="1">
        <v>1898</v>
      </c>
      <c r="HO16" s="1">
        <v>1963</v>
      </c>
      <c r="HP16">
        <v>1</v>
      </c>
      <c r="HQ16">
        <v>423</v>
      </c>
      <c r="HR16">
        <v>424</v>
      </c>
      <c r="HS16">
        <v>0</v>
      </c>
      <c r="HT16">
        <v>3</v>
      </c>
      <c r="HU16">
        <v>3</v>
      </c>
      <c r="HV16">
        <v>-1</v>
      </c>
      <c r="HW16" s="1">
        <v>2389</v>
      </c>
      <c r="HX16">
        <v>77</v>
      </c>
      <c r="HY16">
        <v>-1</v>
      </c>
      <c r="HZ16">
        <v>76</v>
      </c>
      <c r="IA16" s="1">
        <v>2465</v>
      </c>
      <c r="IB16" s="1">
        <v>1647</v>
      </c>
      <c r="IC16" s="1">
        <v>10572</v>
      </c>
      <c r="ID16" s="1">
        <v>54114</v>
      </c>
      <c r="IE16" s="1">
        <v>54114</v>
      </c>
      <c r="IF16" s="1">
        <v>54190</v>
      </c>
      <c r="IG16" s="1">
        <v>19938</v>
      </c>
      <c r="IH16" s="1">
        <v>1238</v>
      </c>
      <c r="IK16">
        <v>2</v>
      </c>
      <c r="IL16" s="3">
        <v>2.23E-2</v>
      </c>
      <c r="IM16" s="3">
        <v>2.9999999999999997E-4</v>
      </c>
      <c r="IN16" s="3">
        <v>0.55910000000000004</v>
      </c>
      <c r="IO16" s="3">
        <v>0</v>
      </c>
      <c r="IP16" s="3">
        <v>0.52380000000000004</v>
      </c>
      <c r="IQ16" s="3">
        <v>8.0000000000000004E-4</v>
      </c>
      <c r="IR16" s="3">
        <v>0.39710000000000001</v>
      </c>
      <c r="IS16" s="3">
        <v>4.2299999999999997E-2</v>
      </c>
      <c r="IT16" s="3">
        <v>0.36840000000000001</v>
      </c>
      <c r="IU16" s="1">
        <v>8183</v>
      </c>
      <c r="IV16" s="1">
        <v>2738</v>
      </c>
      <c r="IW16" s="1">
        <v>10921</v>
      </c>
      <c r="IX16" s="3">
        <v>0.46260000000000001</v>
      </c>
      <c r="IY16" s="1">
        <v>76884</v>
      </c>
      <c r="JA16">
        <v>50</v>
      </c>
      <c r="JB16">
        <v>58</v>
      </c>
      <c r="JC16">
        <v>115</v>
      </c>
      <c r="JD16">
        <v>71</v>
      </c>
      <c r="JE16">
        <v>0</v>
      </c>
      <c r="JF16">
        <v>2</v>
      </c>
      <c r="JG16">
        <v>121</v>
      </c>
      <c r="JH16">
        <v>58</v>
      </c>
      <c r="JI16">
        <v>117</v>
      </c>
      <c r="JJ16">
        <v>296</v>
      </c>
      <c r="JK16">
        <v>223</v>
      </c>
      <c r="JL16">
        <v>73</v>
      </c>
      <c r="JM16">
        <v>615</v>
      </c>
      <c r="JN16">
        <v>399</v>
      </c>
      <c r="JO16" s="1">
        <v>3631</v>
      </c>
      <c r="JP16">
        <v>484</v>
      </c>
      <c r="JQ16">
        <v>-1</v>
      </c>
      <c r="JR16">
        <v>55</v>
      </c>
      <c r="JS16" s="1">
        <v>1099</v>
      </c>
      <c r="JT16">
        <v>398</v>
      </c>
      <c r="JU16" s="1">
        <v>3686</v>
      </c>
      <c r="JV16" s="1">
        <v>5183</v>
      </c>
      <c r="JW16" s="1">
        <v>4645</v>
      </c>
      <c r="JX16">
        <v>538</v>
      </c>
      <c r="JY16">
        <v>17.510000000000002</v>
      </c>
      <c r="JZ16">
        <v>9.08</v>
      </c>
      <c r="KA16">
        <v>31.5</v>
      </c>
      <c r="KB16">
        <v>0.21</v>
      </c>
      <c r="KC16">
        <v>0.71</v>
      </c>
      <c r="KD16">
        <v>8</v>
      </c>
      <c r="KE16">
        <v>42</v>
      </c>
      <c r="KF16">
        <v>11</v>
      </c>
      <c r="KG16">
        <v>104</v>
      </c>
      <c r="KN16" s="1">
        <v>8539</v>
      </c>
      <c r="KO16" s="1">
        <v>5836</v>
      </c>
      <c r="KP16">
        <v>924</v>
      </c>
      <c r="KR16">
        <v>83</v>
      </c>
      <c r="KS16">
        <v>495</v>
      </c>
      <c r="KT16" s="1">
        <v>3823</v>
      </c>
      <c r="KU16" s="1">
        <v>3822</v>
      </c>
      <c r="KV16">
        <v>9</v>
      </c>
      <c r="KW16">
        <v>32</v>
      </c>
      <c r="KX16" s="1">
        <v>12774</v>
      </c>
      <c r="LA16" s="1">
        <v>1016</v>
      </c>
      <c r="LD16" t="s">
        <v>543</v>
      </c>
      <c r="LF16" t="s">
        <v>534</v>
      </c>
      <c r="LG16" t="s">
        <v>535</v>
      </c>
      <c r="LH16">
        <v>27379</v>
      </c>
      <c r="LJ16" t="s">
        <v>534</v>
      </c>
      <c r="LK16" t="s">
        <v>535</v>
      </c>
      <c r="LL16">
        <v>27379</v>
      </c>
      <c r="LN16" t="s">
        <v>537</v>
      </c>
      <c r="LO16">
        <v>3366946241</v>
      </c>
      <c r="LP16">
        <v>3366949846</v>
      </c>
      <c r="LQ16" s="1">
        <v>7584</v>
      </c>
      <c r="LR16">
        <v>6.02</v>
      </c>
      <c r="LT16" s="1">
        <v>2387</v>
      </c>
      <c r="LU16">
        <v>52</v>
      </c>
      <c r="LX16">
        <v>1</v>
      </c>
      <c r="LY16" t="s">
        <v>532</v>
      </c>
      <c r="LZ16">
        <v>0</v>
      </c>
      <c r="MA16" t="s">
        <v>363</v>
      </c>
      <c r="MB16">
        <v>0.31</v>
      </c>
      <c r="MC16">
        <v>4.7</v>
      </c>
      <c r="ME16" s="574">
        <v>5.96</v>
      </c>
      <c r="MF16" s="574">
        <v>4.1100000000000003</v>
      </c>
      <c r="MG16" s="574">
        <v>0.51</v>
      </c>
      <c r="MH16" s="574">
        <v>29.52</v>
      </c>
      <c r="MI16" s="574">
        <v>20.38</v>
      </c>
      <c r="MJ16" s="574">
        <v>2.5099999999999998</v>
      </c>
      <c r="MK16" s="574">
        <v>4.1900000000000004</v>
      </c>
      <c r="ML16" s="574">
        <v>2.9</v>
      </c>
      <c r="MM16" s="574">
        <v>0.36</v>
      </c>
      <c r="MN16" s="574">
        <v>37.75</v>
      </c>
      <c r="MO16" s="574">
        <v>26.07</v>
      </c>
      <c r="MP16" s="574">
        <v>3.21</v>
      </c>
      <c r="MQ16" s="574">
        <v>62.19</v>
      </c>
      <c r="MR16" s="574">
        <v>42.95</v>
      </c>
      <c r="MS16" s="574">
        <v>5.28</v>
      </c>
      <c r="MT16" s="574">
        <v>16.170000000000002</v>
      </c>
      <c r="MU16" s="574">
        <v>11.16</v>
      </c>
      <c r="MV16" s="574">
        <v>1.37</v>
      </c>
      <c r="MW16" s="1">
        <v>1216</v>
      </c>
      <c r="MX16" s="1">
        <v>8539</v>
      </c>
      <c r="MY16" s="1">
        <v>8539</v>
      </c>
      <c r="MZ16" s="1">
        <v>10952</v>
      </c>
      <c r="NA16" s="1">
        <v>76884</v>
      </c>
      <c r="NB16" s="1">
        <v>76884</v>
      </c>
      <c r="NC16" s="1">
        <v>54114</v>
      </c>
      <c r="ND16" s="1">
        <v>54114</v>
      </c>
      <c r="NE16">
        <v>0.56000000000000005</v>
      </c>
      <c r="NF16" s="1">
        <v>7709</v>
      </c>
      <c r="NG16">
        <v>3.71</v>
      </c>
      <c r="NH16">
        <v>2.2919999999999998</v>
      </c>
      <c r="NI16">
        <v>3.26</v>
      </c>
      <c r="NJ16">
        <v>350.06</v>
      </c>
      <c r="NK16">
        <v>349.97</v>
      </c>
      <c r="NL16">
        <v>0.36170000000000002</v>
      </c>
      <c r="NM16">
        <v>0.84460000000000002</v>
      </c>
      <c r="NN16">
        <v>0.46</v>
      </c>
      <c r="NO16">
        <v>0.22</v>
      </c>
      <c r="NP16">
        <v>0.16</v>
      </c>
      <c r="NQ16">
        <v>0.16</v>
      </c>
      <c r="NR16">
        <v>0.54</v>
      </c>
      <c r="NS16">
        <v>0.05</v>
      </c>
      <c r="NT16">
        <v>0.16</v>
      </c>
      <c r="NU16" s="574">
        <v>9.43</v>
      </c>
      <c r="NV16">
        <v>4.0860000000000003</v>
      </c>
      <c r="NW16">
        <v>0</v>
      </c>
      <c r="NX16">
        <v>1E-3</v>
      </c>
      <c r="NY16">
        <v>2.14</v>
      </c>
      <c r="NZ16">
        <v>3.0000000000000001E-3</v>
      </c>
      <c r="OA16">
        <v>9.1600000000000001E-2</v>
      </c>
      <c r="OB16">
        <v>0.64280000000000004</v>
      </c>
      <c r="OC16">
        <v>2.839</v>
      </c>
      <c r="OD16">
        <v>1.623</v>
      </c>
      <c r="OE16">
        <v>0.255</v>
      </c>
      <c r="OF16" s="2">
        <v>4626.1329999999998</v>
      </c>
      <c r="OG16">
        <v>6.9589999999999996</v>
      </c>
      <c r="OH16" s="574">
        <v>3.07</v>
      </c>
      <c r="OI16">
        <v>374</v>
      </c>
      <c r="OJ16">
        <v>197</v>
      </c>
      <c r="OK16" s="574">
        <v>13.66</v>
      </c>
      <c r="OL16" s="574">
        <v>1.1599999999999999</v>
      </c>
      <c r="OM16" s="574">
        <v>0.92</v>
      </c>
      <c r="ON16">
        <v>0.2974</v>
      </c>
      <c r="OO16">
        <v>4.24E-2</v>
      </c>
      <c r="OP16">
        <v>0.55120000000000002</v>
      </c>
      <c r="OQ16" s="574">
        <v>3.66</v>
      </c>
      <c r="OR16" s="574">
        <v>7.43</v>
      </c>
      <c r="OS16" s="574">
        <v>1.69</v>
      </c>
      <c r="OT16" s="574">
        <v>1.05</v>
      </c>
      <c r="OU16" s="574">
        <v>13.83</v>
      </c>
      <c r="OV16">
        <v>74</v>
      </c>
      <c r="OW16">
        <v>74</v>
      </c>
      <c r="OX16">
        <v>0.7</v>
      </c>
      <c r="OY16" s="1">
        <v>1041</v>
      </c>
      <c r="OZ16">
        <v>32.21</v>
      </c>
      <c r="PA16" s="1">
        <v>1479</v>
      </c>
      <c r="PB16">
        <v>3.58</v>
      </c>
      <c r="PC16">
        <v>22.67</v>
      </c>
      <c r="PD16">
        <v>0.11</v>
      </c>
      <c r="PE16">
        <v>164</v>
      </c>
      <c r="PF16">
        <v>1.78</v>
      </c>
      <c r="PG16" s="574">
        <v>0.36</v>
      </c>
      <c r="PH16">
        <v>1.25</v>
      </c>
      <c r="PI16">
        <v>10.11</v>
      </c>
      <c r="PJ16">
        <v>4.96</v>
      </c>
      <c r="PK16" s="574">
        <v>4.1900000000000004</v>
      </c>
      <c r="PL16">
        <v>22.95</v>
      </c>
      <c r="PM16" s="4">
        <v>31709</v>
      </c>
      <c r="PN16" s="4">
        <v>24765</v>
      </c>
      <c r="PO16">
        <v>0.12970000000000001</v>
      </c>
      <c r="PP16">
        <v>0.82210000000000005</v>
      </c>
      <c r="PQ16">
        <v>9.1300000000000006E-2</v>
      </c>
      <c r="PR16">
        <v>1.8499999999999999E-2</v>
      </c>
      <c r="PS16">
        <v>0.1171</v>
      </c>
      <c r="PT16">
        <v>1.2999999999999999E-2</v>
      </c>
      <c r="PU16" s="3">
        <v>1</v>
      </c>
      <c r="PV16" s="3">
        <v>0.14249999999999999</v>
      </c>
      <c r="PW16" s="3">
        <v>0.85750000000000004</v>
      </c>
      <c r="PX16" s="3">
        <v>0.219</v>
      </c>
      <c r="PY16" s="3">
        <v>0.78100000000000003</v>
      </c>
      <c r="PZ16" s="3">
        <v>8.5000000000000006E-2</v>
      </c>
      <c r="QA16" s="3">
        <v>9.2999999999999992E-3</v>
      </c>
      <c r="QB16" s="3">
        <v>0.1512</v>
      </c>
      <c r="QC16" s="3">
        <v>8.6E-3</v>
      </c>
      <c r="QD16" s="3">
        <v>0.22450000000000001</v>
      </c>
      <c r="QE16" s="3">
        <v>6.7100000000000007E-2</v>
      </c>
      <c r="QF16" s="3">
        <v>0.5393</v>
      </c>
      <c r="QG16" s="3">
        <v>0.6905</v>
      </c>
      <c r="QH16" s="3">
        <v>0.12189999999999999</v>
      </c>
      <c r="QI16" s="3">
        <v>0.53720000000000001</v>
      </c>
      <c r="QJ16" s="3">
        <v>7.6200000000000004E-2</v>
      </c>
      <c r="QK16" s="3">
        <v>0.26469999999999999</v>
      </c>
      <c r="QL16" s="4">
        <v>6944</v>
      </c>
      <c r="QM16">
        <v>7.04</v>
      </c>
      <c r="QN16" s="1">
        <v>23606</v>
      </c>
      <c r="QO16" s="1">
        <v>23606</v>
      </c>
      <c r="QP16" s="1">
        <v>3363</v>
      </c>
      <c r="QQ16" s="3">
        <v>0.78920000000000001</v>
      </c>
      <c r="QR16" s="3">
        <v>0.1095</v>
      </c>
      <c r="QS16" s="3">
        <v>0.1013</v>
      </c>
      <c r="QT16" s="3">
        <v>0.14249999999999999</v>
      </c>
      <c r="QU16">
        <v>0.31</v>
      </c>
      <c r="QV16">
        <v>1.1100000000000001</v>
      </c>
      <c r="QW16">
        <v>0.24</v>
      </c>
      <c r="QX16">
        <v>18</v>
      </c>
      <c r="QY16">
        <v>2.5</v>
      </c>
      <c r="QZ16">
        <v>20</v>
      </c>
      <c r="RA16">
        <v>1.98</v>
      </c>
      <c r="RB16">
        <v>0.17</v>
      </c>
      <c r="RC16">
        <v>0.17</v>
      </c>
    </row>
    <row r="17" spans="1:471" x14ac:dyDescent="0.25">
      <c r="A17" t="s">
        <v>544</v>
      </c>
      <c r="B17">
        <v>11662</v>
      </c>
      <c r="C17" t="s">
        <v>1754</v>
      </c>
      <c r="D17" t="s">
        <v>1754</v>
      </c>
      <c r="E17" t="s">
        <v>1754</v>
      </c>
      <c r="F17" t="s">
        <v>1755</v>
      </c>
      <c r="G17" t="s">
        <v>1755</v>
      </c>
      <c r="H17" t="s">
        <v>545</v>
      </c>
      <c r="I17" t="s">
        <v>342</v>
      </c>
      <c r="J17" t="s">
        <v>343</v>
      </c>
      <c r="K17" t="s">
        <v>344</v>
      </c>
      <c r="L17" t="s">
        <v>345</v>
      </c>
      <c r="M17" t="s">
        <v>457</v>
      </c>
      <c r="N17" t="s">
        <v>347</v>
      </c>
      <c r="O17" s="1">
        <v>115477</v>
      </c>
      <c r="P17" t="s">
        <v>348</v>
      </c>
      <c r="Q17" s="1">
        <v>1334</v>
      </c>
      <c r="R17">
        <v>372</v>
      </c>
      <c r="S17">
        <v>167</v>
      </c>
      <c r="T17">
        <v>12</v>
      </c>
      <c r="U17" s="1">
        <v>3525</v>
      </c>
      <c r="V17">
        <v>150</v>
      </c>
      <c r="W17" s="1">
        <v>32875</v>
      </c>
      <c r="X17" s="1">
        <v>5565</v>
      </c>
      <c r="Y17" s="1">
        <v>247707</v>
      </c>
      <c r="Z17" s="1">
        <v>50110</v>
      </c>
      <c r="AC17" t="s">
        <v>546</v>
      </c>
      <c r="AD17" t="s">
        <v>547</v>
      </c>
      <c r="AE17">
        <v>28658</v>
      </c>
      <c r="AF17">
        <v>3397</v>
      </c>
      <c r="AG17" t="s">
        <v>546</v>
      </c>
      <c r="AH17" t="s">
        <v>547</v>
      </c>
      <c r="AI17">
        <v>28658</v>
      </c>
      <c r="AJ17">
        <v>2</v>
      </c>
      <c r="AK17" t="s">
        <v>548</v>
      </c>
      <c r="AM17" t="s">
        <v>0</v>
      </c>
      <c r="AN17" t="s">
        <v>549</v>
      </c>
      <c r="AO17" t="s">
        <v>550</v>
      </c>
      <c r="AP17">
        <v>8284658660</v>
      </c>
      <c r="AQ17" t="s">
        <v>552</v>
      </c>
      <c r="AR17" t="s">
        <v>553</v>
      </c>
      <c r="AS17" t="s">
        <v>1900</v>
      </c>
      <c r="AT17" t="s">
        <v>1</v>
      </c>
      <c r="AU17" t="s">
        <v>551</v>
      </c>
      <c r="AV17" t="s">
        <v>552</v>
      </c>
      <c r="AW17" t="s">
        <v>553</v>
      </c>
      <c r="AX17" t="s">
        <v>555</v>
      </c>
      <c r="AY17">
        <v>0</v>
      </c>
      <c r="AZ17">
        <v>0</v>
      </c>
      <c r="BA17">
        <v>0</v>
      </c>
      <c r="BB17" s="573">
        <v>42186</v>
      </c>
      <c r="BC17" s="573">
        <v>42551</v>
      </c>
      <c r="BD17">
        <v>1</v>
      </c>
      <c r="BE17">
        <v>6</v>
      </c>
      <c r="BF17">
        <v>0</v>
      </c>
      <c r="BG17">
        <v>0</v>
      </c>
      <c r="BH17">
        <v>7</v>
      </c>
      <c r="BJ17" s="1">
        <v>16796</v>
      </c>
      <c r="BK17">
        <v>9</v>
      </c>
      <c r="BL17">
        <v>2</v>
      </c>
      <c r="BM17">
        <v>11</v>
      </c>
      <c r="BN17">
        <v>23.8</v>
      </c>
      <c r="BO17">
        <v>34.799999999999997</v>
      </c>
      <c r="BP17" s="3">
        <v>0.2586</v>
      </c>
      <c r="BQ17" s="1">
        <v>3770</v>
      </c>
      <c r="BR17" s="4">
        <v>81824</v>
      </c>
      <c r="DW17" s="4">
        <v>59024</v>
      </c>
      <c r="DX17" s="4">
        <v>2546325</v>
      </c>
      <c r="DY17" s="4">
        <v>2605349</v>
      </c>
      <c r="DZ17" s="4">
        <v>150133</v>
      </c>
      <c r="EA17" s="4">
        <v>0</v>
      </c>
      <c r="EB17" s="4">
        <v>150133</v>
      </c>
      <c r="EC17" s="4">
        <v>100208</v>
      </c>
      <c r="ED17" s="4">
        <v>19800</v>
      </c>
      <c r="EE17" s="4">
        <v>120008</v>
      </c>
      <c r="EF17" s="4">
        <v>68693</v>
      </c>
      <c r="EG17" s="4">
        <v>2944183</v>
      </c>
      <c r="EH17" s="4">
        <v>1400853</v>
      </c>
      <c r="EI17" s="4">
        <v>394358</v>
      </c>
      <c r="EJ17" s="4">
        <v>1795211</v>
      </c>
      <c r="EK17" s="4">
        <v>315801</v>
      </c>
      <c r="EL17" s="4">
        <v>36779</v>
      </c>
      <c r="EM17" s="4">
        <v>79687</v>
      </c>
      <c r="EN17" s="4">
        <v>432267</v>
      </c>
      <c r="EO17" s="4">
        <v>716705</v>
      </c>
      <c r="EP17" s="4">
        <v>2944183</v>
      </c>
      <c r="EQ17" s="4">
        <v>0</v>
      </c>
      <c r="ER17" s="3">
        <v>0</v>
      </c>
      <c r="ES17" s="4">
        <v>0</v>
      </c>
      <c r="ET17" s="4">
        <v>0</v>
      </c>
      <c r="EU17" s="4">
        <v>0</v>
      </c>
      <c r="EV17" s="4">
        <v>0</v>
      </c>
      <c r="EW17" s="4">
        <v>0</v>
      </c>
      <c r="EX17" s="4">
        <v>0</v>
      </c>
      <c r="EY17" s="1">
        <v>45586</v>
      </c>
      <c r="EZ17" s="1">
        <v>267541</v>
      </c>
      <c r="FA17" s="1">
        <v>43891</v>
      </c>
      <c r="FB17" s="1">
        <v>8938</v>
      </c>
      <c r="FC17" s="1">
        <v>46063</v>
      </c>
      <c r="FD17" s="1">
        <v>36499</v>
      </c>
      <c r="FE17" s="1">
        <v>2327</v>
      </c>
      <c r="FF17" s="1">
        <v>15234</v>
      </c>
      <c r="FG17" s="1">
        <v>80390</v>
      </c>
      <c r="FH17" s="1">
        <v>11265</v>
      </c>
      <c r="FI17" s="1">
        <v>61297</v>
      </c>
      <c r="FJ17" s="1">
        <v>152952</v>
      </c>
      <c r="FK17">
        <v>0</v>
      </c>
      <c r="FL17">
        <v>277</v>
      </c>
      <c r="FN17" s="1">
        <v>152952</v>
      </c>
      <c r="FO17" s="1">
        <v>9365</v>
      </c>
      <c r="FP17" s="1">
        <v>19917</v>
      </c>
      <c r="FQ17" s="1">
        <v>7513</v>
      </c>
      <c r="FR17">
        <v>9</v>
      </c>
      <c r="FS17">
        <v>74</v>
      </c>
      <c r="FT17">
        <v>83</v>
      </c>
      <c r="FU17" s="1">
        <v>26725</v>
      </c>
      <c r="FV17" s="1">
        <v>2022</v>
      </c>
      <c r="FW17">
        <v>0</v>
      </c>
      <c r="GG17" s="1">
        <v>34298</v>
      </c>
      <c r="GH17" s="1">
        <v>13913</v>
      </c>
      <c r="GI17">
        <v>370</v>
      </c>
      <c r="GJ17">
        <v>87</v>
      </c>
      <c r="GK17">
        <v>20</v>
      </c>
      <c r="GL17">
        <v>-1</v>
      </c>
      <c r="GM17">
        <v>0</v>
      </c>
      <c r="GN17">
        <v>0</v>
      </c>
      <c r="GO17" s="1">
        <v>61043</v>
      </c>
      <c r="GP17" s="1">
        <v>15934</v>
      </c>
      <c r="GQ17">
        <v>370</v>
      </c>
      <c r="GR17">
        <v>87</v>
      </c>
      <c r="GS17">
        <v>95</v>
      </c>
      <c r="GU17" s="1">
        <v>125557</v>
      </c>
      <c r="GV17" s="1">
        <v>18128</v>
      </c>
      <c r="GW17" s="1">
        <v>120720</v>
      </c>
      <c r="GX17" s="1">
        <v>30763</v>
      </c>
      <c r="GY17" s="1">
        <v>1798</v>
      </c>
      <c r="GZ17" s="1">
        <v>18662</v>
      </c>
      <c r="HA17" s="1">
        <v>156320</v>
      </c>
      <c r="HB17" s="1">
        <v>19926</v>
      </c>
      <c r="HC17" s="1">
        <v>139382</v>
      </c>
      <c r="HD17" s="1">
        <v>315628</v>
      </c>
      <c r="HE17" s="1">
        <v>5014</v>
      </c>
      <c r="HF17" s="1">
        <v>320642</v>
      </c>
      <c r="HG17" s="1">
        <v>20763</v>
      </c>
      <c r="HH17" s="1">
        <v>163148</v>
      </c>
      <c r="HI17">
        <v>0</v>
      </c>
      <c r="HJ17">
        <v>0</v>
      </c>
      <c r="HK17" s="1">
        <v>183911</v>
      </c>
      <c r="HL17" s="1">
        <v>504553</v>
      </c>
      <c r="HM17">
        <v>72</v>
      </c>
      <c r="HN17" s="1">
        <v>23721</v>
      </c>
      <c r="HO17" s="1">
        <v>23793</v>
      </c>
      <c r="HP17">
        <v>17</v>
      </c>
      <c r="HQ17" s="1">
        <v>24284</v>
      </c>
      <c r="HR17" s="1">
        <v>24301</v>
      </c>
      <c r="HS17">
        <v>0</v>
      </c>
      <c r="HT17" s="1">
        <v>1689</v>
      </c>
      <c r="HU17" s="1">
        <v>1689</v>
      </c>
      <c r="HV17">
        <v>518</v>
      </c>
      <c r="HW17" s="1">
        <v>50301</v>
      </c>
      <c r="HX17" s="1">
        <v>20257</v>
      </c>
      <c r="HY17" s="1">
        <v>90875</v>
      </c>
      <c r="HZ17" s="1">
        <v>111132</v>
      </c>
      <c r="IA17" s="1">
        <v>161433</v>
      </c>
      <c r="IB17" s="1">
        <v>45064</v>
      </c>
      <c r="IC17" s="1">
        <v>209901</v>
      </c>
      <c r="ID17" s="1">
        <v>554854</v>
      </c>
      <c r="IE17" s="1">
        <v>554854</v>
      </c>
      <c r="IF17" s="1">
        <v>665986</v>
      </c>
      <c r="IG17" s="1">
        <v>149308</v>
      </c>
      <c r="IH17">
        <v>7</v>
      </c>
      <c r="IK17">
        <v>1</v>
      </c>
      <c r="IL17" s="3">
        <v>7.5800000000000006E-2</v>
      </c>
      <c r="IM17" s="3">
        <v>1E-3</v>
      </c>
      <c r="IN17" s="3">
        <v>0.28939999999999999</v>
      </c>
      <c r="IO17" s="3">
        <v>0</v>
      </c>
      <c r="IP17" s="3">
        <v>0.22819999999999999</v>
      </c>
      <c r="IQ17" s="3">
        <v>2.9999999999999997E-4</v>
      </c>
      <c r="IR17" s="3">
        <v>0.57169999999999999</v>
      </c>
      <c r="IS17" s="3">
        <v>9.4600000000000004E-2</v>
      </c>
      <c r="IT17" s="3">
        <v>0.26910000000000001</v>
      </c>
      <c r="IU17" s="1">
        <v>69521</v>
      </c>
      <c r="IV17" s="1">
        <v>14672</v>
      </c>
      <c r="IW17" s="1">
        <v>84193</v>
      </c>
      <c r="IX17" s="3">
        <v>0.72909999999999997</v>
      </c>
      <c r="IY17" s="1">
        <v>408275</v>
      </c>
      <c r="JA17">
        <v>444</v>
      </c>
      <c r="JB17">
        <v>20</v>
      </c>
      <c r="JC17" s="1">
        <v>1131</v>
      </c>
      <c r="JD17">
        <v>37</v>
      </c>
      <c r="JE17">
        <v>2</v>
      </c>
      <c r="JF17">
        <v>75</v>
      </c>
      <c r="JG17">
        <v>481</v>
      </c>
      <c r="JH17">
        <v>22</v>
      </c>
      <c r="JI17" s="1">
        <v>1206</v>
      </c>
      <c r="JJ17" s="1">
        <v>1709</v>
      </c>
      <c r="JK17" s="1">
        <v>1595</v>
      </c>
      <c r="JL17">
        <v>114</v>
      </c>
      <c r="JM17" s="1">
        <v>4224</v>
      </c>
      <c r="JN17">
        <v>248</v>
      </c>
      <c r="JO17" s="1">
        <v>17624</v>
      </c>
      <c r="JP17" s="1">
        <v>2301</v>
      </c>
      <c r="JQ17">
        <v>360</v>
      </c>
      <c r="JR17" s="1">
        <v>5052</v>
      </c>
      <c r="JS17" s="1">
        <v>6525</v>
      </c>
      <c r="JT17">
        <v>608</v>
      </c>
      <c r="JU17" s="1">
        <v>22676</v>
      </c>
      <c r="JV17" s="1">
        <v>29809</v>
      </c>
      <c r="JW17" s="1">
        <v>22096</v>
      </c>
      <c r="JX17" s="1">
        <v>7713</v>
      </c>
      <c r="JY17">
        <v>17.440000000000001</v>
      </c>
      <c r="JZ17">
        <v>13.57</v>
      </c>
      <c r="KA17">
        <v>18.8</v>
      </c>
      <c r="KB17">
        <v>0.22</v>
      </c>
      <c r="KC17">
        <v>0.76</v>
      </c>
      <c r="KD17">
        <v>35</v>
      </c>
      <c r="KE17">
        <v>332</v>
      </c>
      <c r="KF17">
        <v>171</v>
      </c>
      <c r="KG17">
        <v>326</v>
      </c>
      <c r="KN17" s="1">
        <v>30805</v>
      </c>
      <c r="KO17" s="1">
        <v>23210</v>
      </c>
      <c r="KP17" s="1">
        <v>4309</v>
      </c>
      <c r="KR17">
        <v>380</v>
      </c>
      <c r="KS17" s="1">
        <v>14333</v>
      </c>
      <c r="KT17">
        <v>0</v>
      </c>
      <c r="KU17">
        <v>129</v>
      </c>
      <c r="KV17">
        <v>60</v>
      </c>
      <c r="KW17">
        <v>127</v>
      </c>
      <c r="KX17" s="1">
        <v>91049</v>
      </c>
      <c r="KZ17" s="1">
        <v>94405</v>
      </c>
      <c r="LD17" t="s">
        <v>548</v>
      </c>
      <c r="LE17" t="s">
        <v>379</v>
      </c>
      <c r="LF17" t="s">
        <v>546</v>
      </c>
      <c r="LG17" t="s">
        <v>547</v>
      </c>
      <c r="LH17">
        <v>28658</v>
      </c>
      <c r="LI17">
        <v>3397</v>
      </c>
      <c r="LJ17" t="s">
        <v>546</v>
      </c>
      <c r="LK17" t="s">
        <v>547</v>
      </c>
      <c r="LL17">
        <v>28658</v>
      </c>
      <c r="LM17">
        <v>3397</v>
      </c>
      <c r="LN17" t="s">
        <v>549</v>
      </c>
      <c r="LO17">
        <v>8284658664</v>
      </c>
      <c r="LP17">
        <v>8284658983</v>
      </c>
      <c r="LQ17" s="1">
        <v>58075</v>
      </c>
      <c r="LR17">
        <v>33.799999999999997</v>
      </c>
      <c r="LT17" s="1">
        <v>16796</v>
      </c>
      <c r="LU17">
        <v>364</v>
      </c>
      <c r="LX17">
        <v>6</v>
      </c>
      <c r="LY17" t="s">
        <v>556</v>
      </c>
      <c r="LZ17">
        <v>0</v>
      </c>
      <c r="MA17" t="s">
        <v>363</v>
      </c>
      <c r="MB17">
        <v>90.6</v>
      </c>
      <c r="MC17">
        <v>86.1</v>
      </c>
      <c r="ME17" s="574">
        <v>5.31</v>
      </c>
      <c r="MF17" s="574">
        <v>3.24</v>
      </c>
      <c r="MG17" s="574">
        <v>0.78</v>
      </c>
      <c r="MH17" s="574">
        <v>34.97</v>
      </c>
      <c r="MI17" s="574">
        <v>21.32</v>
      </c>
      <c r="MJ17" s="574">
        <v>5.13</v>
      </c>
      <c r="MK17" s="574">
        <v>7.21</v>
      </c>
      <c r="ML17" s="574">
        <v>4.4000000000000004</v>
      </c>
      <c r="MM17" s="574">
        <v>1.06</v>
      </c>
      <c r="MN17" s="574">
        <v>95.57</v>
      </c>
      <c r="MO17" s="574">
        <v>58.28</v>
      </c>
      <c r="MP17" s="574">
        <v>14.03</v>
      </c>
      <c r="MQ17" s="574">
        <v>98.77</v>
      </c>
      <c r="MR17" s="574">
        <v>60.22</v>
      </c>
      <c r="MS17" s="574">
        <v>14.5</v>
      </c>
      <c r="MT17" s="574">
        <v>19.72</v>
      </c>
      <c r="MU17" s="574">
        <v>12.02</v>
      </c>
      <c r="MV17" s="574">
        <v>2.9</v>
      </c>
      <c r="MW17">
        <v>885</v>
      </c>
      <c r="MX17" s="1">
        <v>3423</v>
      </c>
      <c r="MY17" s="1">
        <v>2800</v>
      </c>
      <c r="MZ17" s="1">
        <v>11732</v>
      </c>
      <c r="NA17" s="1">
        <v>45364</v>
      </c>
      <c r="NB17" s="1">
        <v>37116</v>
      </c>
      <c r="NC17" s="1">
        <v>50441</v>
      </c>
      <c r="ND17" s="1">
        <v>61650</v>
      </c>
      <c r="NE17">
        <v>2.0699999999999998</v>
      </c>
      <c r="NF17" s="1">
        <v>15944</v>
      </c>
      <c r="NG17">
        <v>7.67</v>
      </c>
      <c r="NH17">
        <v>4.8049999999999997</v>
      </c>
      <c r="NI17">
        <v>3.54</v>
      </c>
      <c r="NJ17">
        <v>0</v>
      </c>
      <c r="NK17">
        <v>1.53</v>
      </c>
      <c r="NL17">
        <v>0.26679999999999998</v>
      </c>
      <c r="NM17">
        <v>1.2929999999999999</v>
      </c>
      <c r="NN17">
        <v>0.73</v>
      </c>
      <c r="NO17">
        <v>0.26</v>
      </c>
      <c r="NP17">
        <v>0</v>
      </c>
      <c r="NQ17">
        <v>0</v>
      </c>
      <c r="NR17">
        <v>0.79</v>
      </c>
      <c r="NS17">
        <v>0.06</v>
      </c>
      <c r="NT17">
        <v>0.2</v>
      </c>
      <c r="NU17" s="574">
        <v>15.55</v>
      </c>
      <c r="NV17">
        <v>2.3170000000000002</v>
      </c>
      <c r="NW17">
        <v>0</v>
      </c>
      <c r="NX17">
        <v>2E-3</v>
      </c>
      <c r="NY17">
        <v>0.52900000000000003</v>
      </c>
      <c r="NZ17">
        <v>1E-3</v>
      </c>
      <c r="OA17">
        <v>0.1069</v>
      </c>
      <c r="OB17">
        <v>0.4133</v>
      </c>
      <c r="OC17">
        <v>3.29</v>
      </c>
      <c r="OD17">
        <v>1.325</v>
      </c>
      <c r="OE17">
        <v>0.20610000000000001</v>
      </c>
      <c r="OF17">
        <v>725.03700000000003</v>
      </c>
      <c r="OG17">
        <v>0.98599999999999999</v>
      </c>
      <c r="OH17" s="574">
        <v>6.21</v>
      </c>
      <c r="OI17">
        <v>300</v>
      </c>
      <c r="OJ17">
        <v>241</v>
      </c>
      <c r="OK17" s="574">
        <v>25.5</v>
      </c>
      <c r="OL17" s="574">
        <v>3.74</v>
      </c>
      <c r="OM17" s="574">
        <v>2.73</v>
      </c>
      <c r="ON17">
        <v>0.3014</v>
      </c>
      <c r="OO17">
        <v>7.7899999999999997E-2</v>
      </c>
      <c r="OP17">
        <v>0.28270000000000001</v>
      </c>
      <c r="OQ17" s="574">
        <v>1.3</v>
      </c>
      <c r="OR17" s="574">
        <v>22.56</v>
      </c>
      <c r="OS17" s="574">
        <v>1.04</v>
      </c>
      <c r="OT17" s="574">
        <v>0.59</v>
      </c>
      <c r="OU17" s="574">
        <v>25.5</v>
      </c>
      <c r="OV17">
        <v>0</v>
      </c>
      <c r="OW17">
        <v>2</v>
      </c>
      <c r="OX17">
        <v>1.36</v>
      </c>
      <c r="OY17" s="1">
        <v>10670</v>
      </c>
      <c r="OZ17">
        <v>24.31</v>
      </c>
      <c r="PA17" s="1">
        <v>7851</v>
      </c>
      <c r="PB17">
        <v>1.83</v>
      </c>
      <c r="PC17">
        <v>33.03</v>
      </c>
      <c r="PD17">
        <v>0.08</v>
      </c>
      <c r="PE17">
        <v>592</v>
      </c>
      <c r="PF17">
        <v>0.48</v>
      </c>
      <c r="PG17" s="574">
        <v>1.06</v>
      </c>
      <c r="PH17">
        <v>0.66</v>
      </c>
      <c r="PI17">
        <v>14.54</v>
      </c>
      <c r="PJ17">
        <v>6.59</v>
      </c>
      <c r="PK17" s="574">
        <v>7.21</v>
      </c>
      <c r="PL17">
        <v>46.14</v>
      </c>
      <c r="PM17" s="4">
        <v>51587</v>
      </c>
      <c r="PN17" s="4">
        <v>40254</v>
      </c>
      <c r="PO17">
        <v>6.2700000000000006E-2</v>
      </c>
      <c r="PP17">
        <v>1.1296999999999999</v>
      </c>
      <c r="PQ17">
        <v>8.5199999999999998E-2</v>
      </c>
      <c r="PR17">
        <v>1.6199999999999999E-2</v>
      </c>
      <c r="PS17">
        <v>0.29220000000000002</v>
      </c>
      <c r="PT17">
        <v>2.1999999999999999E-2</v>
      </c>
      <c r="PU17" s="3">
        <v>0.81820000000000004</v>
      </c>
      <c r="PV17" s="3">
        <v>0.31609999999999999</v>
      </c>
      <c r="PW17" s="3">
        <v>0.68389999999999995</v>
      </c>
      <c r="PX17" s="3">
        <v>0.21970000000000001</v>
      </c>
      <c r="PY17" s="3">
        <v>0.78029999999999999</v>
      </c>
      <c r="PZ17" s="3">
        <v>0.14680000000000001</v>
      </c>
      <c r="QA17" s="3">
        <v>1.2500000000000001E-2</v>
      </c>
      <c r="QB17" s="3">
        <v>0.13389999999999999</v>
      </c>
      <c r="QC17" s="3">
        <v>2.7099999999999999E-2</v>
      </c>
      <c r="QD17" s="3">
        <v>0.24340000000000001</v>
      </c>
      <c r="QE17" s="3">
        <v>0.10730000000000001</v>
      </c>
      <c r="QF17" s="3">
        <v>0.4758</v>
      </c>
      <c r="QG17" s="3">
        <v>0.60970000000000002</v>
      </c>
      <c r="QH17" s="3">
        <v>4.0800000000000003E-2</v>
      </c>
      <c r="QI17" s="3">
        <v>0.88490000000000002</v>
      </c>
      <c r="QJ17" s="3">
        <v>2.3300000000000001E-2</v>
      </c>
      <c r="QK17" s="3">
        <v>5.0999999999999997E-2</v>
      </c>
      <c r="QL17" s="4">
        <v>11332</v>
      </c>
      <c r="QM17">
        <v>4.8499999999999996</v>
      </c>
      <c r="QN17" s="1">
        <v>10498</v>
      </c>
      <c r="QO17" s="1">
        <v>12831</v>
      </c>
      <c r="QP17" s="1">
        <v>3318</v>
      </c>
      <c r="QQ17" s="3">
        <v>0.73060000000000003</v>
      </c>
      <c r="QR17" s="3">
        <v>8.5099999999999995E-2</v>
      </c>
      <c r="QS17" s="3">
        <v>0.18429999999999999</v>
      </c>
      <c r="QT17" s="3">
        <v>0.2586</v>
      </c>
      <c r="QU17">
        <v>0.4</v>
      </c>
      <c r="QV17">
        <v>1.41</v>
      </c>
      <c r="QW17">
        <v>0.31</v>
      </c>
      <c r="QX17">
        <v>15</v>
      </c>
      <c r="QY17">
        <v>1.76</v>
      </c>
      <c r="QZ17">
        <v>7</v>
      </c>
      <c r="RA17">
        <v>1.28</v>
      </c>
      <c r="RB17">
        <v>0.19</v>
      </c>
      <c r="RC17">
        <v>0.19</v>
      </c>
    </row>
    <row r="18" spans="1:471" x14ac:dyDescent="0.25">
      <c r="A18" t="s">
        <v>557</v>
      </c>
      <c r="B18">
        <v>11705</v>
      </c>
      <c r="C18" t="s">
        <v>1754</v>
      </c>
      <c r="D18" t="s">
        <v>1754</v>
      </c>
      <c r="E18" t="s">
        <v>1754</v>
      </c>
      <c r="F18" t="s">
        <v>1755</v>
      </c>
      <c r="G18" t="s">
        <v>1755</v>
      </c>
      <c r="H18" t="s">
        <v>558</v>
      </c>
      <c r="I18" t="s">
        <v>342</v>
      </c>
      <c r="J18" t="s">
        <v>559</v>
      </c>
      <c r="K18" t="s">
        <v>533</v>
      </c>
      <c r="L18" t="s">
        <v>345</v>
      </c>
      <c r="M18" t="s">
        <v>560</v>
      </c>
      <c r="N18" t="s">
        <v>347</v>
      </c>
      <c r="O18" s="1">
        <v>59569</v>
      </c>
      <c r="P18" t="s">
        <v>348</v>
      </c>
      <c r="Q18" s="1">
        <v>2201</v>
      </c>
      <c r="R18">
        <v>428</v>
      </c>
      <c r="S18">
        <v>173</v>
      </c>
      <c r="T18">
        <v>41</v>
      </c>
      <c r="U18" s="1">
        <v>10358</v>
      </c>
      <c r="V18">
        <v>313</v>
      </c>
      <c r="W18" s="1">
        <v>192262</v>
      </c>
      <c r="X18" s="1">
        <v>17146</v>
      </c>
      <c r="Y18" s="1">
        <v>1272120</v>
      </c>
      <c r="Z18" s="1">
        <v>247380</v>
      </c>
      <c r="AC18" t="s">
        <v>561</v>
      </c>
      <c r="AD18" t="s">
        <v>562</v>
      </c>
      <c r="AE18">
        <v>27514</v>
      </c>
      <c r="AF18">
        <v>3649</v>
      </c>
      <c r="AG18" t="s">
        <v>561</v>
      </c>
      <c r="AH18" t="s">
        <v>562</v>
      </c>
      <c r="AI18">
        <v>27514</v>
      </c>
      <c r="AJ18">
        <v>3</v>
      </c>
      <c r="AK18" t="s">
        <v>563</v>
      </c>
      <c r="AM18" t="s">
        <v>564</v>
      </c>
      <c r="AN18" t="s">
        <v>565</v>
      </c>
      <c r="AO18" t="s">
        <v>566</v>
      </c>
      <c r="AP18">
        <v>9199682777</v>
      </c>
      <c r="AQ18" t="s">
        <v>567</v>
      </c>
      <c r="AR18" t="s">
        <v>568</v>
      </c>
      <c r="AS18" t="s">
        <v>569</v>
      </c>
      <c r="AT18" t="s">
        <v>554</v>
      </c>
      <c r="AU18" t="s">
        <v>570</v>
      </c>
      <c r="AV18" t="s">
        <v>567</v>
      </c>
      <c r="AW18" t="s">
        <v>571</v>
      </c>
      <c r="AX18" t="s">
        <v>572</v>
      </c>
      <c r="AY18">
        <v>0</v>
      </c>
      <c r="AZ18">
        <v>0</v>
      </c>
      <c r="BA18">
        <v>0</v>
      </c>
      <c r="BB18" s="573">
        <v>42186</v>
      </c>
      <c r="BC18" s="573">
        <v>42551</v>
      </c>
      <c r="BD18">
        <v>1</v>
      </c>
      <c r="BE18">
        <v>0</v>
      </c>
      <c r="BF18">
        <v>0</v>
      </c>
      <c r="BG18">
        <v>0</v>
      </c>
      <c r="BH18">
        <v>1</v>
      </c>
      <c r="BJ18" s="1">
        <v>3233</v>
      </c>
      <c r="BK18">
        <v>10</v>
      </c>
      <c r="BL18">
        <v>0</v>
      </c>
      <c r="BM18">
        <v>10</v>
      </c>
      <c r="BN18">
        <v>24.38</v>
      </c>
      <c r="BO18">
        <v>34.380000000000003</v>
      </c>
      <c r="BP18" s="3">
        <v>0.29089999999999999</v>
      </c>
      <c r="BQ18" s="1">
        <v>1788</v>
      </c>
      <c r="BR18" s="4">
        <v>95464</v>
      </c>
      <c r="DW18" s="4">
        <v>2077373</v>
      </c>
      <c r="DX18" s="4">
        <v>568139</v>
      </c>
      <c r="DY18" s="4">
        <v>2645512</v>
      </c>
      <c r="DZ18" s="4">
        <v>29102</v>
      </c>
      <c r="EA18" s="4">
        <v>0</v>
      </c>
      <c r="EB18" s="4">
        <v>29102</v>
      </c>
      <c r="EC18" s="4">
        <v>91152</v>
      </c>
      <c r="ED18" s="4">
        <v>0</v>
      </c>
      <c r="EE18" s="4">
        <v>91152</v>
      </c>
      <c r="EF18" s="4">
        <v>198842</v>
      </c>
      <c r="EG18" s="4">
        <v>2964608</v>
      </c>
      <c r="EH18" s="4">
        <v>1555052</v>
      </c>
      <c r="EI18" s="4">
        <v>490319</v>
      </c>
      <c r="EJ18" s="4">
        <v>2045371</v>
      </c>
      <c r="EK18" s="4">
        <v>132061</v>
      </c>
      <c r="EL18" s="4">
        <v>60700</v>
      </c>
      <c r="EM18" s="4">
        <v>46571</v>
      </c>
      <c r="EN18" s="4">
        <v>239332</v>
      </c>
      <c r="EO18" s="4">
        <v>588798</v>
      </c>
      <c r="EP18" s="4">
        <v>2873501</v>
      </c>
      <c r="EQ18" s="4">
        <v>91107</v>
      </c>
      <c r="ER18" s="3">
        <v>3.0700000000000002E-2</v>
      </c>
      <c r="ES18" s="4">
        <v>0</v>
      </c>
      <c r="ET18" s="4">
        <v>0</v>
      </c>
      <c r="EU18" s="4">
        <v>0</v>
      </c>
      <c r="EV18" s="4">
        <v>0</v>
      </c>
      <c r="EW18" s="4">
        <v>0</v>
      </c>
      <c r="EX18" s="4">
        <v>0</v>
      </c>
      <c r="EY18" s="1">
        <v>39642</v>
      </c>
      <c r="EZ18" s="1">
        <v>278282</v>
      </c>
      <c r="FA18" s="1">
        <v>45729</v>
      </c>
      <c r="FB18" s="1">
        <v>8221</v>
      </c>
      <c r="FC18" s="1">
        <v>58694</v>
      </c>
      <c r="FD18" s="1">
        <v>42886</v>
      </c>
      <c r="FE18">
        <v>975</v>
      </c>
      <c r="FF18" s="1">
        <v>20038</v>
      </c>
      <c r="FG18" s="1">
        <v>88615</v>
      </c>
      <c r="FH18" s="1">
        <v>9196</v>
      </c>
      <c r="FI18" s="1">
        <v>78732</v>
      </c>
      <c r="FJ18" s="1">
        <v>176543</v>
      </c>
      <c r="FK18">
        <v>0</v>
      </c>
      <c r="FL18">
        <v>163</v>
      </c>
      <c r="FN18" s="1">
        <v>176543</v>
      </c>
      <c r="FO18" s="1">
        <v>12913</v>
      </c>
      <c r="FP18" s="1">
        <v>10247</v>
      </c>
      <c r="FQ18">
        <v>56</v>
      </c>
      <c r="FR18">
        <v>7</v>
      </c>
      <c r="FS18">
        <v>74</v>
      </c>
      <c r="FT18">
        <v>81</v>
      </c>
      <c r="FU18" s="1">
        <v>26725</v>
      </c>
      <c r="FV18" s="1">
        <v>2022</v>
      </c>
      <c r="FW18">
        <v>0</v>
      </c>
      <c r="GG18" s="1">
        <v>34298</v>
      </c>
      <c r="GH18" s="1">
        <v>13913</v>
      </c>
      <c r="GI18">
        <v>370</v>
      </c>
      <c r="GJ18">
        <v>87</v>
      </c>
      <c r="GK18">
        <v>624</v>
      </c>
      <c r="GL18">
        <v>177</v>
      </c>
      <c r="GM18">
        <v>0</v>
      </c>
      <c r="GN18">
        <v>63</v>
      </c>
      <c r="GO18" s="1">
        <v>61647</v>
      </c>
      <c r="GP18" s="1">
        <v>16112</v>
      </c>
      <c r="GQ18">
        <v>370</v>
      </c>
      <c r="GR18">
        <v>150</v>
      </c>
      <c r="GS18">
        <v>72</v>
      </c>
      <c r="GU18" s="1">
        <v>180728</v>
      </c>
      <c r="GV18" s="1">
        <v>40590</v>
      </c>
      <c r="GW18" s="1">
        <v>524432</v>
      </c>
      <c r="GX18" s="1">
        <v>148163</v>
      </c>
      <c r="GY18" s="1">
        <v>2704</v>
      </c>
      <c r="GZ18" s="1">
        <v>110872</v>
      </c>
      <c r="HA18" s="1">
        <v>328891</v>
      </c>
      <c r="HB18" s="1">
        <v>43294</v>
      </c>
      <c r="HC18" s="1">
        <v>635304</v>
      </c>
      <c r="HD18" s="1">
        <v>1007489</v>
      </c>
      <c r="HE18" s="1">
        <v>4517</v>
      </c>
      <c r="HF18" s="1">
        <v>1012006</v>
      </c>
      <c r="HG18" s="1">
        <v>92225</v>
      </c>
      <c r="HH18" s="1">
        <v>191616</v>
      </c>
      <c r="HI18">
        <v>0</v>
      </c>
      <c r="HJ18">
        <v>0</v>
      </c>
      <c r="HK18" s="1">
        <v>283841</v>
      </c>
      <c r="HL18" s="1">
        <v>1295847</v>
      </c>
      <c r="HM18">
        <v>76</v>
      </c>
      <c r="HN18" s="1">
        <v>52624</v>
      </c>
      <c r="HO18" s="1">
        <v>52700</v>
      </c>
      <c r="HP18">
        <v>197</v>
      </c>
      <c r="HQ18" s="1">
        <v>30901</v>
      </c>
      <c r="HR18" s="1">
        <v>31098</v>
      </c>
      <c r="HS18">
        <v>0</v>
      </c>
      <c r="HT18">
        <v>342</v>
      </c>
      <c r="HU18">
        <v>342</v>
      </c>
      <c r="HV18" s="1">
        <v>5585</v>
      </c>
      <c r="HW18" s="1">
        <v>89725</v>
      </c>
      <c r="HX18" s="1">
        <v>12947</v>
      </c>
      <c r="HY18" s="1">
        <v>87781</v>
      </c>
      <c r="HZ18" s="1">
        <v>100728</v>
      </c>
      <c r="IA18" s="1">
        <v>190453</v>
      </c>
      <c r="IB18" s="1">
        <v>123323</v>
      </c>
      <c r="IC18" s="1">
        <v>315281</v>
      </c>
      <c r="ID18" s="1">
        <v>1385572</v>
      </c>
      <c r="IE18" s="1">
        <v>1385572</v>
      </c>
      <c r="IF18" s="1">
        <v>1486300</v>
      </c>
      <c r="IG18" s="1">
        <v>901403</v>
      </c>
      <c r="IH18">
        <v>600</v>
      </c>
      <c r="IK18">
        <v>1</v>
      </c>
      <c r="IL18" s="3">
        <v>3.8199999999999998E-2</v>
      </c>
      <c r="IM18" s="3">
        <v>5.9999999999999995E-4</v>
      </c>
      <c r="IN18" s="3">
        <v>0.28129999999999999</v>
      </c>
      <c r="IO18" s="3">
        <v>0</v>
      </c>
      <c r="IP18" s="3">
        <v>0.2215</v>
      </c>
      <c r="IQ18" s="3">
        <v>2.9999999999999997E-4</v>
      </c>
      <c r="IR18" s="3">
        <v>0.63439999999999996</v>
      </c>
      <c r="IS18" s="3">
        <v>0.1043</v>
      </c>
      <c r="IT18" s="3">
        <v>0.65059999999999996</v>
      </c>
      <c r="IU18" s="1">
        <v>32547</v>
      </c>
      <c r="IV18" s="1">
        <v>6795</v>
      </c>
      <c r="IW18" s="1">
        <v>39342</v>
      </c>
      <c r="IX18" s="3">
        <v>0.66039999999999999</v>
      </c>
      <c r="IY18" s="1">
        <v>657976</v>
      </c>
      <c r="JA18">
        <v>130</v>
      </c>
      <c r="JB18">
        <v>144</v>
      </c>
      <c r="JC18">
        <v>645</v>
      </c>
      <c r="JD18">
        <v>2</v>
      </c>
      <c r="JE18">
        <v>6</v>
      </c>
      <c r="JF18">
        <v>93</v>
      </c>
      <c r="JG18">
        <v>132</v>
      </c>
      <c r="JH18">
        <v>150</v>
      </c>
      <c r="JI18">
        <v>738</v>
      </c>
      <c r="JJ18" s="1">
        <v>1020</v>
      </c>
      <c r="JK18">
        <v>919</v>
      </c>
      <c r="JL18">
        <v>101</v>
      </c>
      <c r="JM18" s="1">
        <v>3275</v>
      </c>
      <c r="JN18" s="1">
        <v>1898</v>
      </c>
      <c r="JO18" s="1">
        <v>27624</v>
      </c>
      <c r="JP18">
        <v>52</v>
      </c>
      <c r="JQ18">
        <v>264</v>
      </c>
      <c r="JR18" s="1">
        <v>4407</v>
      </c>
      <c r="JS18" s="1">
        <v>3327</v>
      </c>
      <c r="JT18" s="1">
        <v>2162</v>
      </c>
      <c r="JU18" s="1">
        <v>32031</v>
      </c>
      <c r="JV18" s="1">
        <v>37520</v>
      </c>
      <c r="JW18" s="1">
        <v>32797</v>
      </c>
      <c r="JX18" s="1">
        <v>4723</v>
      </c>
      <c r="JY18">
        <v>36.78</v>
      </c>
      <c r="JZ18">
        <v>25.2</v>
      </c>
      <c r="KA18">
        <v>43.4</v>
      </c>
      <c r="KB18">
        <v>0.09</v>
      </c>
      <c r="KC18">
        <v>0.85</v>
      </c>
      <c r="KD18">
        <v>19</v>
      </c>
      <c r="KE18">
        <v>121</v>
      </c>
      <c r="KF18">
        <v>60</v>
      </c>
      <c r="KG18">
        <v>566</v>
      </c>
      <c r="KN18" s="1">
        <v>33228</v>
      </c>
      <c r="KO18" s="1">
        <v>22880</v>
      </c>
      <c r="KP18" s="1">
        <v>4888</v>
      </c>
      <c r="KR18" s="1">
        <v>2601</v>
      </c>
      <c r="KT18">
        <v>0</v>
      </c>
      <c r="KU18">
        <v>405</v>
      </c>
      <c r="KV18">
        <v>41</v>
      </c>
      <c r="KW18">
        <v>69</v>
      </c>
      <c r="KX18" s="1">
        <v>41976</v>
      </c>
      <c r="KZ18" s="1">
        <v>438931</v>
      </c>
      <c r="LA18" s="1">
        <v>18556</v>
      </c>
      <c r="LD18" t="s">
        <v>563</v>
      </c>
      <c r="LE18" t="s">
        <v>361</v>
      </c>
      <c r="LF18" t="s">
        <v>561</v>
      </c>
      <c r="LG18" t="s">
        <v>562</v>
      </c>
      <c r="LH18">
        <v>27514</v>
      </c>
      <c r="LI18">
        <v>3640</v>
      </c>
      <c r="LJ18" t="s">
        <v>561</v>
      </c>
      <c r="LK18" t="s">
        <v>562</v>
      </c>
      <c r="LL18">
        <v>27514</v>
      </c>
      <c r="LM18">
        <v>3640</v>
      </c>
      <c r="LN18" t="s">
        <v>565</v>
      </c>
      <c r="LO18">
        <v>9199682777</v>
      </c>
      <c r="LP18">
        <v>9199682838</v>
      </c>
      <c r="LQ18" s="1">
        <v>63305</v>
      </c>
      <c r="LR18">
        <v>34.28</v>
      </c>
      <c r="LT18" s="1">
        <v>3233</v>
      </c>
      <c r="LU18">
        <v>52</v>
      </c>
      <c r="LX18">
        <v>2</v>
      </c>
      <c r="LY18" t="s">
        <v>573</v>
      </c>
      <c r="LZ18">
        <v>0</v>
      </c>
      <c r="MA18" t="s">
        <v>363</v>
      </c>
      <c r="MB18">
        <v>36.5</v>
      </c>
      <c r="MC18">
        <v>86.8</v>
      </c>
      <c r="ME18" s="574">
        <v>2.0699999999999998</v>
      </c>
      <c r="MF18" s="574">
        <v>1.48</v>
      </c>
      <c r="MG18" s="574">
        <v>0.17</v>
      </c>
      <c r="MH18" s="574">
        <v>73.040000000000006</v>
      </c>
      <c r="MI18" s="574">
        <v>51.99</v>
      </c>
      <c r="MJ18" s="574">
        <v>6.08</v>
      </c>
      <c r="MK18" s="574">
        <v>4.37</v>
      </c>
      <c r="ML18" s="574">
        <v>3.11</v>
      </c>
      <c r="MM18" s="574">
        <v>0.36</v>
      </c>
      <c r="MN18" s="574">
        <v>86.48</v>
      </c>
      <c r="MO18" s="574">
        <v>61.56</v>
      </c>
      <c r="MP18" s="574">
        <v>7.2</v>
      </c>
      <c r="MQ18" s="574">
        <v>76.59</v>
      </c>
      <c r="MR18" s="574">
        <v>54.51</v>
      </c>
      <c r="MS18" s="574">
        <v>6.38</v>
      </c>
      <c r="MT18" s="574">
        <v>3.19</v>
      </c>
      <c r="MU18" s="574">
        <v>2.27</v>
      </c>
      <c r="MV18" s="574">
        <v>0.27</v>
      </c>
      <c r="MW18">
        <v>966</v>
      </c>
      <c r="MX18" s="1">
        <v>3323</v>
      </c>
      <c r="MY18" s="1">
        <v>3323</v>
      </c>
      <c r="MZ18" s="1">
        <v>19138</v>
      </c>
      <c r="NA18" s="1">
        <v>65798</v>
      </c>
      <c r="NB18" s="1">
        <v>65798</v>
      </c>
      <c r="NC18" s="1">
        <v>138557</v>
      </c>
      <c r="ND18" s="1">
        <v>138557</v>
      </c>
      <c r="NE18">
        <v>4.9800000000000004</v>
      </c>
      <c r="NF18" s="1">
        <v>40302</v>
      </c>
      <c r="NG18">
        <v>19.38</v>
      </c>
      <c r="NH18">
        <v>23.26</v>
      </c>
      <c r="NI18">
        <v>11.05</v>
      </c>
      <c r="NJ18">
        <v>0</v>
      </c>
      <c r="NK18">
        <v>10.29</v>
      </c>
      <c r="NL18">
        <v>0.55779999999999996</v>
      </c>
      <c r="NM18">
        <v>15.132099999999999</v>
      </c>
      <c r="NN18">
        <v>0.66</v>
      </c>
      <c r="NO18">
        <v>0.63</v>
      </c>
      <c r="NP18">
        <v>0</v>
      </c>
      <c r="NQ18">
        <v>0.01</v>
      </c>
      <c r="NR18">
        <v>0.7</v>
      </c>
      <c r="NS18">
        <v>0.06</v>
      </c>
      <c r="NT18">
        <v>0.54</v>
      </c>
      <c r="NU18" s="574">
        <v>34.340000000000003</v>
      </c>
      <c r="NV18">
        <v>4.6719999999999997</v>
      </c>
      <c r="NW18">
        <v>0</v>
      </c>
      <c r="NX18">
        <v>3.0000000000000001E-3</v>
      </c>
      <c r="NY18">
        <v>1.0349999999999999</v>
      </c>
      <c r="NZ18">
        <v>1E-3</v>
      </c>
      <c r="OA18">
        <v>0.25419999999999998</v>
      </c>
      <c r="OB18">
        <v>0.87390000000000001</v>
      </c>
      <c r="OC18">
        <v>4.1429999999999998</v>
      </c>
      <c r="OD18">
        <v>2.964</v>
      </c>
      <c r="OE18">
        <v>0.4093</v>
      </c>
      <c r="OF18" s="2">
        <v>1566.951</v>
      </c>
      <c r="OG18">
        <v>2.0590000000000002</v>
      </c>
      <c r="OH18" s="574">
        <v>9.8800000000000008</v>
      </c>
      <c r="OI18">
        <v>738</v>
      </c>
      <c r="OJ18">
        <v>270</v>
      </c>
      <c r="OK18" s="574">
        <v>48.24</v>
      </c>
      <c r="OL18" s="574">
        <v>4.0199999999999996</v>
      </c>
      <c r="OM18" s="574">
        <v>2.2200000000000002</v>
      </c>
      <c r="ON18">
        <v>0.57720000000000005</v>
      </c>
      <c r="OO18">
        <v>0.16789999999999999</v>
      </c>
      <c r="OP18">
        <v>0.61970000000000003</v>
      </c>
      <c r="OQ18" s="574">
        <v>0.49</v>
      </c>
      <c r="OR18" s="574">
        <v>44.41</v>
      </c>
      <c r="OS18" s="574">
        <v>1.53</v>
      </c>
      <c r="OT18" s="574">
        <v>3.34</v>
      </c>
      <c r="OU18" s="574">
        <v>49.77</v>
      </c>
      <c r="OV18">
        <v>0</v>
      </c>
      <c r="OW18">
        <v>8</v>
      </c>
      <c r="OX18">
        <v>2.11</v>
      </c>
      <c r="OY18" s="1">
        <v>26646</v>
      </c>
      <c r="OZ18">
        <v>203.52</v>
      </c>
      <c r="PA18" s="1">
        <v>12653</v>
      </c>
      <c r="PB18">
        <v>10.28</v>
      </c>
      <c r="PC18">
        <v>428.57</v>
      </c>
      <c r="PD18">
        <v>0.05</v>
      </c>
      <c r="PE18">
        <v>639</v>
      </c>
      <c r="PF18">
        <v>0.2</v>
      </c>
      <c r="PG18" s="574">
        <v>0.36</v>
      </c>
      <c r="PH18">
        <v>0.42</v>
      </c>
      <c r="PI18">
        <v>5.43</v>
      </c>
      <c r="PJ18">
        <v>35.22</v>
      </c>
      <c r="PK18" s="574">
        <v>4.37</v>
      </c>
      <c r="PL18">
        <v>62.17</v>
      </c>
      <c r="PM18" s="4">
        <v>59493</v>
      </c>
      <c r="PN18" s="4">
        <v>45231</v>
      </c>
      <c r="PO18">
        <v>2.4799999999999999E-2</v>
      </c>
      <c r="PP18">
        <v>1.0347</v>
      </c>
      <c r="PQ18">
        <v>5.2299999999999999E-2</v>
      </c>
      <c r="PR18">
        <v>7.1999999999999998E-3</v>
      </c>
      <c r="PS18">
        <v>0.30099999999999999</v>
      </c>
      <c r="PT18">
        <v>1.52E-2</v>
      </c>
      <c r="PU18" s="3">
        <v>1</v>
      </c>
      <c r="PV18" s="3">
        <v>0.29089999999999999</v>
      </c>
      <c r="PW18" s="3">
        <v>0.70909999999999995</v>
      </c>
      <c r="PX18" s="3">
        <v>0.2397</v>
      </c>
      <c r="PY18" s="3">
        <v>0.76029999999999998</v>
      </c>
      <c r="PZ18" s="3">
        <v>8.3299999999999999E-2</v>
      </c>
      <c r="QA18" s="3">
        <v>2.1100000000000001E-2</v>
      </c>
      <c r="QB18" s="3">
        <v>0.1706</v>
      </c>
      <c r="QC18" s="3">
        <v>1.6199999999999999E-2</v>
      </c>
      <c r="QD18" s="3">
        <v>0.2049</v>
      </c>
      <c r="QE18" s="3">
        <v>4.5999999999999999E-2</v>
      </c>
      <c r="QF18" s="3">
        <v>0.54120000000000001</v>
      </c>
      <c r="QG18" s="3">
        <v>0.71179999999999999</v>
      </c>
      <c r="QH18" s="3">
        <v>3.0700000000000002E-2</v>
      </c>
      <c r="QI18" s="3">
        <v>0.89239999999999997</v>
      </c>
      <c r="QJ18" s="3">
        <v>6.7100000000000007E-2</v>
      </c>
      <c r="QK18" s="3">
        <v>9.7999999999999997E-3</v>
      </c>
      <c r="QL18" s="4">
        <v>14262</v>
      </c>
      <c r="QM18">
        <v>16.72</v>
      </c>
      <c r="QN18" s="1">
        <v>5957</v>
      </c>
      <c r="QO18" s="1">
        <v>5957</v>
      </c>
      <c r="QP18" s="1">
        <v>1733</v>
      </c>
      <c r="QQ18" s="3">
        <v>0.55179999999999996</v>
      </c>
      <c r="QR18" s="3">
        <v>0.25359999999999999</v>
      </c>
      <c r="QS18" s="3">
        <v>0.1946</v>
      </c>
      <c r="QT18" s="3">
        <v>0.29089999999999999</v>
      </c>
      <c r="QU18">
        <v>0.89</v>
      </c>
      <c r="QV18">
        <v>2.83</v>
      </c>
      <c r="QW18">
        <v>0.68</v>
      </c>
      <c r="QX18">
        <v>23</v>
      </c>
      <c r="QY18">
        <v>10.49</v>
      </c>
      <c r="QZ18">
        <v>30</v>
      </c>
      <c r="RA18">
        <v>5.79</v>
      </c>
      <c r="RB18">
        <v>0.48</v>
      </c>
      <c r="RC18">
        <v>0.47</v>
      </c>
    </row>
    <row r="19" spans="1:471" x14ac:dyDescent="0.25">
      <c r="A19" t="s">
        <v>574</v>
      </c>
      <c r="B19">
        <v>11684</v>
      </c>
      <c r="C19" s="572" t="s">
        <v>1754</v>
      </c>
      <c r="D19" s="572" t="s">
        <v>1754</v>
      </c>
      <c r="E19" s="572" t="s">
        <v>1754</v>
      </c>
      <c r="F19" s="572" t="s">
        <v>1755</v>
      </c>
      <c r="G19" s="572" t="s">
        <v>1755</v>
      </c>
      <c r="H19" t="s">
        <v>575</v>
      </c>
      <c r="I19" t="s">
        <v>342</v>
      </c>
      <c r="J19" t="s">
        <v>576</v>
      </c>
      <c r="K19" t="s">
        <v>344</v>
      </c>
      <c r="L19" t="s">
        <v>345</v>
      </c>
      <c r="M19" t="s">
        <v>346</v>
      </c>
      <c r="N19" t="s">
        <v>347</v>
      </c>
      <c r="O19" s="1">
        <v>1035605</v>
      </c>
      <c r="P19" t="s">
        <v>348</v>
      </c>
      <c r="Q19" s="1">
        <v>15615</v>
      </c>
      <c r="R19" s="1">
        <v>5768</v>
      </c>
      <c r="S19" s="1">
        <v>3759</v>
      </c>
      <c r="T19">
        <v>823</v>
      </c>
      <c r="U19" s="1">
        <v>79614</v>
      </c>
      <c r="V19" s="1">
        <v>7956</v>
      </c>
      <c r="W19" s="1">
        <v>690221</v>
      </c>
      <c r="X19" s="1">
        <v>73448</v>
      </c>
      <c r="Y19" s="1">
        <v>6689421</v>
      </c>
      <c r="Z19" s="1">
        <v>3439846</v>
      </c>
      <c r="AC19" t="s">
        <v>577</v>
      </c>
      <c r="AD19" t="s">
        <v>578</v>
      </c>
      <c r="AE19">
        <v>28202</v>
      </c>
      <c r="AF19">
        <v>2139</v>
      </c>
      <c r="AG19" t="s">
        <v>577</v>
      </c>
      <c r="AH19" t="s">
        <v>578</v>
      </c>
      <c r="AI19">
        <v>28202</v>
      </c>
      <c r="AJ19">
        <v>3</v>
      </c>
      <c r="AK19" t="s">
        <v>579</v>
      </c>
      <c r="AM19" t="s">
        <v>0</v>
      </c>
      <c r="AN19" t="s">
        <v>580</v>
      </c>
      <c r="AO19" t="s">
        <v>581</v>
      </c>
      <c r="AP19">
        <v>7044160612</v>
      </c>
      <c r="AQ19" t="s">
        <v>582</v>
      </c>
      <c r="AR19" t="s">
        <v>583</v>
      </c>
      <c r="AS19" t="s">
        <v>584</v>
      </c>
      <c r="AT19" t="s">
        <v>585</v>
      </c>
      <c r="AU19" t="s">
        <v>586</v>
      </c>
      <c r="AV19" t="s">
        <v>582</v>
      </c>
      <c r="AW19" t="s">
        <v>587</v>
      </c>
      <c r="AX19" t="s">
        <v>588</v>
      </c>
      <c r="AY19">
        <v>0</v>
      </c>
      <c r="AZ19">
        <v>0</v>
      </c>
      <c r="BA19">
        <v>0</v>
      </c>
      <c r="BB19" s="573">
        <v>42186</v>
      </c>
      <c r="BC19" s="573">
        <v>42551</v>
      </c>
      <c r="BD19">
        <v>1</v>
      </c>
      <c r="BE19">
        <v>19</v>
      </c>
      <c r="BF19">
        <v>0</v>
      </c>
      <c r="BG19">
        <v>0</v>
      </c>
      <c r="BH19">
        <v>20</v>
      </c>
      <c r="BJ19" s="1">
        <v>62576</v>
      </c>
      <c r="BK19">
        <v>121</v>
      </c>
      <c r="BL19">
        <v>1</v>
      </c>
      <c r="BM19">
        <v>122</v>
      </c>
      <c r="BN19">
        <v>294.38</v>
      </c>
      <c r="BO19">
        <v>416.38</v>
      </c>
      <c r="BP19" s="3">
        <v>0.29060000000000002</v>
      </c>
      <c r="BQ19" s="1">
        <v>59149</v>
      </c>
      <c r="BR19" s="4">
        <v>169070</v>
      </c>
      <c r="DW19" s="4">
        <v>2500</v>
      </c>
      <c r="DX19" s="4">
        <v>34671973</v>
      </c>
      <c r="DY19" s="4">
        <v>34674473</v>
      </c>
      <c r="DZ19" s="4">
        <v>606135</v>
      </c>
      <c r="EA19" s="4">
        <v>0</v>
      </c>
      <c r="EB19" s="4">
        <v>606135</v>
      </c>
      <c r="EC19" s="4">
        <v>118576</v>
      </c>
      <c r="ED19" s="4">
        <v>3848</v>
      </c>
      <c r="EE19" s="4">
        <v>122424</v>
      </c>
      <c r="EF19" s="4">
        <v>2995019</v>
      </c>
      <c r="EG19" s="4">
        <v>38398051</v>
      </c>
      <c r="EH19" s="4">
        <v>18725792</v>
      </c>
      <c r="EI19" s="4">
        <v>6839184</v>
      </c>
      <c r="EJ19" s="4">
        <v>25564976</v>
      </c>
      <c r="EK19" s="4">
        <v>2107567</v>
      </c>
      <c r="EL19" s="4">
        <v>977447</v>
      </c>
      <c r="EM19" s="4">
        <v>370909</v>
      </c>
      <c r="EN19" s="4">
        <v>3455923</v>
      </c>
      <c r="EO19" s="4">
        <v>9411711</v>
      </c>
      <c r="EP19" s="4">
        <v>38432610</v>
      </c>
      <c r="EQ19" s="4">
        <v>-34559</v>
      </c>
      <c r="ER19" s="3">
        <v>-8.9999999999999998E-4</v>
      </c>
      <c r="ES19" s="4">
        <v>2226202</v>
      </c>
      <c r="ET19" s="4">
        <v>0</v>
      </c>
      <c r="EU19" s="4">
        <v>0</v>
      </c>
      <c r="EV19" s="4">
        <v>0</v>
      </c>
      <c r="EW19" s="4">
        <v>2226202</v>
      </c>
      <c r="EX19" s="4">
        <v>2226202</v>
      </c>
      <c r="EY19" s="1">
        <v>101473</v>
      </c>
      <c r="EZ19" s="1">
        <v>1141136</v>
      </c>
      <c r="FA19" s="1">
        <v>197074</v>
      </c>
      <c r="FB19" s="1">
        <v>50347</v>
      </c>
      <c r="FC19" s="1">
        <v>256300</v>
      </c>
      <c r="FD19" s="1">
        <v>277557</v>
      </c>
      <c r="FE19" s="1">
        <v>17377</v>
      </c>
      <c r="FF19" s="1">
        <v>101594</v>
      </c>
      <c r="FG19" s="1">
        <v>474631</v>
      </c>
      <c r="FH19" s="1">
        <v>67724</v>
      </c>
      <c r="FI19" s="1">
        <v>357894</v>
      </c>
      <c r="FJ19" s="1">
        <v>900249</v>
      </c>
      <c r="FK19">
        <v>392</v>
      </c>
      <c r="FL19" s="1">
        <v>1865</v>
      </c>
      <c r="FN19" s="1">
        <v>900249</v>
      </c>
      <c r="FO19" s="1">
        <v>54813</v>
      </c>
      <c r="FP19" s="1">
        <v>32146</v>
      </c>
      <c r="FQ19" s="1">
        <v>82091</v>
      </c>
      <c r="FR19">
        <v>24</v>
      </c>
      <c r="FS19">
        <v>74</v>
      </c>
      <c r="FT19">
        <v>98</v>
      </c>
      <c r="FU19" s="1">
        <v>26725</v>
      </c>
      <c r="FV19" s="1">
        <v>2022</v>
      </c>
      <c r="FW19">
        <v>0</v>
      </c>
      <c r="GK19" s="1">
        <v>28037</v>
      </c>
      <c r="GL19" s="1">
        <v>11842</v>
      </c>
      <c r="GM19">
        <v>650</v>
      </c>
      <c r="GN19">
        <v>206</v>
      </c>
      <c r="GO19" s="1">
        <v>54762</v>
      </c>
      <c r="GP19" s="1">
        <v>13864</v>
      </c>
      <c r="GQ19">
        <v>650</v>
      </c>
      <c r="GR19">
        <v>206</v>
      </c>
      <c r="GS19">
        <v>142</v>
      </c>
      <c r="GU19" s="1">
        <v>968035</v>
      </c>
      <c r="GV19" s="1">
        <v>225211</v>
      </c>
      <c r="GW19" s="1">
        <v>2132311</v>
      </c>
      <c r="GX19" s="1">
        <v>680253</v>
      </c>
      <c r="GY19" s="1">
        <v>28966</v>
      </c>
      <c r="GZ19" s="1">
        <v>436954</v>
      </c>
      <c r="HA19" s="1">
        <v>1648288</v>
      </c>
      <c r="HB19" s="1">
        <v>254177</v>
      </c>
      <c r="HC19" s="1">
        <v>2569265</v>
      </c>
      <c r="HD19" s="1">
        <v>4471730</v>
      </c>
      <c r="HE19">
        <v>0</v>
      </c>
      <c r="HF19" s="1">
        <v>4471730</v>
      </c>
      <c r="HG19" s="1">
        <v>384069</v>
      </c>
      <c r="HH19" s="1">
        <v>568139</v>
      </c>
      <c r="HI19">
        <v>0</v>
      </c>
      <c r="HJ19">
        <v>0</v>
      </c>
      <c r="HK19" s="1">
        <v>952208</v>
      </c>
      <c r="HL19" s="1">
        <v>5423938</v>
      </c>
      <c r="HM19" s="1">
        <v>4316</v>
      </c>
      <c r="HN19" s="1">
        <v>643872</v>
      </c>
      <c r="HO19" s="1">
        <v>648188</v>
      </c>
      <c r="HP19" s="1">
        <v>6594</v>
      </c>
      <c r="HQ19" s="1">
        <v>153819</v>
      </c>
      <c r="HR19" s="1">
        <v>160413</v>
      </c>
      <c r="HS19">
        <v>0</v>
      </c>
      <c r="HT19" s="1">
        <v>24985</v>
      </c>
      <c r="HU19" s="1">
        <v>24985</v>
      </c>
      <c r="HV19" s="1">
        <v>49503</v>
      </c>
      <c r="HW19" s="1">
        <v>883089</v>
      </c>
      <c r="HX19" s="1">
        <v>891115</v>
      </c>
      <c r="HY19" s="1">
        <v>929026</v>
      </c>
      <c r="HZ19" s="1">
        <v>1820141</v>
      </c>
      <c r="IA19" s="1">
        <v>2703230</v>
      </c>
      <c r="IB19" s="1">
        <v>544482</v>
      </c>
      <c r="IC19" s="1">
        <v>1137606</v>
      </c>
      <c r="ID19" s="1">
        <v>6307027</v>
      </c>
      <c r="IE19" s="1">
        <v>6307027</v>
      </c>
      <c r="IF19" s="1">
        <v>8127168</v>
      </c>
      <c r="IG19" s="1">
        <v>2823442</v>
      </c>
      <c r="IH19">
        <v>497</v>
      </c>
      <c r="IK19">
        <v>1</v>
      </c>
      <c r="IL19" s="3">
        <v>2.87E-2</v>
      </c>
      <c r="IM19" s="3">
        <v>1.6000000000000001E-3</v>
      </c>
      <c r="IN19" s="3">
        <v>6.0900000000000003E-2</v>
      </c>
      <c r="IO19" s="3">
        <v>0</v>
      </c>
      <c r="IP19" s="3">
        <v>4.8000000000000001E-2</v>
      </c>
      <c r="IQ19" s="3">
        <v>1E-4</v>
      </c>
      <c r="IR19" s="3">
        <v>0.78890000000000005</v>
      </c>
      <c r="IS19" s="3">
        <v>6.0199999999999997E-2</v>
      </c>
      <c r="IT19" s="3">
        <v>0.44769999999999999</v>
      </c>
      <c r="IU19" s="1">
        <v>576228</v>
      </c>
      <c r="IV19" s="1">
        <v>353494</v>
      </c>
      <c r="IW19" s="1">
        <v>929722</v>
      </c>
      <c r="IX19" s="3">
        <v>0.89780000000000004</v>
      </c>
      <c r="IY19" s="1">
        <v>3391653</v>
      </c>
      <c r="JA19" s="1">
        <v>2897</v>
      </c>
      <c r="JB19" s="1">
        <v>3631</v>
      </c>
      <c r="JC19" s="1">
        <v>13990</v>
      </c>
      <c r="JD19">
        <v>714</v>
      </c>
      <c r="JE19">
        <v>358</v>
      </c>
      <c r="JF19" s="1">
        <v>3395</v>
      </c>
      <c r="JG19" s="1">
        <v>3611</v>
      </c>
      <c r="JH19" s="1">
        <v>3989</v>
      </c>
      <c r="JI19" s="1">
        <v>17385</v>
      </c>
      <c r="JJ19" s="1">
        <v>24985</v>
      </c>
      <c r="JK19" s="1">
        <v>20518</v>
      </c>
      <c r="JL19" s="1">
        <v>4467</v>
      </c>
      <c r="JM19" s="1">
        <v>21912</v>
      </c>
      <c r="JN19" s="1">
        <v>34173</v>
      </c>
      <c r="JO19" s="1">
        <v>234928</v>
      </c>
      <c r="JP19" s="1">
        <v>13454</v>
      </c>
      <c r="JQ19" s="1">
        <v>13120</v>
      </c>
      <c r="JR19" s="1">
        <v>70830</v>
      </c>
      <c r="JS19" s="1">
        <v>35366</v>
      </c>
      <c r="JT19" s="1">
        <v>47293</v>
      </c>
      <c r="JU19" s="1">
        <v>305758</v>
      </c>
      <c r="JV19" s="1">
        <v>388417</v>
      </c>
      <c r="JW19" s="1">
        <v>291013</v>
      </c>
      <c r="JX19" s="1">
        <v>97404</v>
      </c>
      <c r="JY19">
        <v>15.55</v>
      </c>
      <c r="JZ19">
        <v>9.7899999999999991</v>
      </c>
      <c r="KA19">
        <v>17.59</v>
      </c>
      <c r="KB19">
        <v>0.09</v>
      </c>
      <c r="KC19">
        <v>0.79</v>
      </c>
      <c r="KD19">
        <v>425</v>
      </c>
      <c r="KE19" s="1">
        <v>3083</v>
      </c>
      <c r="KF19" s="1">
        <v>2147</v>
      </c>
      <c r="KG19" s="1">
        <v>5457</v>
      </c>
      <c r="KN19" s="1">
        <v>1181215</v>
      </c>
      <c r="KO19" s="1">
        <v>250727</v>
      </c>
      <c r="KP19" s="1">
        <v>81623</v>
      </c>
      <c r="KT19" s="1">
        <v>3786</v>
      </c>
      <c r="KU19" s="1">
        <v>2392</v>
      </c>
      <c r="KV19">
        <v>483</v>
      </c>
      <c r="KW19">
        <v>912</v>
      </c>
      <c r="KX19" s="1">
        <v>758670</v>
      </c>
      <c r="KZ19" s="1">
        <v>26994674</v>
      </c>
      <c r="LA19" s="1">
        <v>602421</v>
      </c>
      <c r="LD19" t="s">
        <v>579</v>
      </c>
      <c r="LE19" t="s">
        <v>379</v>
      </c>
      <c r="LF19" t="s">
        <v>577</v>
      </c>
      <c r="LG19" t="s">
        <v>578</v>
      </c>
      <c r="LH19">
        <v>28202</v>
      </c>
      <c r="LI19">
        <v>2139</v>
      </c>
      <c r="LJ19" t="s">
        <v>577</v>
      </c>
      <c r="LK19" t="s">
        <v>578</v>
      </c>
      <c r="LL19">
        <v>28202</v>
      </c>
      <c r="LM19">
        <v>2139</v>
      </c>
      <c r="LN19" t="s">
        <v>580</v>
      </c>
      <c r="LO19">
        <v>7044160600</v>
      </c>
      <c r="LP19">
        <v>7044160677</v>
      </c>
      <c r="LQ19" s="1">
        <v>526427</v>
      </c>
      <c r="LR19">
        <v>416.42</v>
      </c>
      <c r="LT19" s="1">
        <v>62576</v>
      </c>
      <c r="LU19" s="1">
        <v>1040</v>
      </c>
      <c r="LX19">
        <v>2</v>
      </c>
      <c r="LY19" t="s">
        <v>589</v>
      </c>
      <c r="LZ19">
        <v>0</v>
      </c>
      <c r="MA19" t="s">
        <v>363</v>
      </c>
      <c r="MB19">
        <v>250</v>
      </c>
      <c r="MC19">
        <v>250</v>
      </c>
      <c r="ME19" s="574">
        <v>6.09</v>
      </c>
      <c r="MF19" s="574">
        <v>4.05</v>
      </c>
      <c r="MG19" s="574">
        <v>0.55000000000000004</v>
      </c>
      <c r="MH19" s="574">
        <v>41.34</v>
      </c>
      <c r="MI19" s="574">
        <v>27.5</v>
      </c>
      <c r="MJ19" s="574">
        <v>3.72</v>
      </c>
      <c r="MK19" s="574">
        <v>11.33</v>
      </c>
      <c r="ML19" s="574">
        <v>7.54</v>
      </c>
      <c r="MM19" s="574">
        <v>1.02</v>
      </c>
      <c r="MN19" s="574">
        <v>32.54</v>
      </c>
      <c r="MO19" s="574">
        <v>21.64</v>
      </c>
      <c r="MP19" s="574">
        <v>2.93</v>
      </c>
      <c r="MQ19" s="574">
        <v>98.95</v>
      </c>
      <c r="MR19" s="574">
        <v>65.819999999999993</v>
      </c>
      <c r="MS19" s="574">
        <v>8.9</v>
      </c>
      <c r="MT19" s="574">
        <v>13.61</v>
      </c>
      <c r="MU19" s="574">
        <v>9.0500000000000007</v>
      </c>
      <c r="MV19" s="574">
        <v>1.22</v>
      </c>
      <c r="MW19" s="1">
        <v>2837</v>
      </c>
      <c r="MX19" s="1">
        <v>9762</v>
      </c>
      <c r="MY19" s="1">
        <v>9682</v>
      </c>
      <c r="MZ19" s="1">
        <v>8146</v>
      </c>
      <c r="NA19" s="1">
        <v>28030</v>
      </c>
      <c r="NB19" s="1">
        <v>27800</v>
      </c>
      <c r="NC19" s="1">
        <v>51697</v>
      </c>
      <c r="ND19" s="1">
        <v>52124</v>
      </c>
      <c r="NE19">
        <v>5.53</v>
      </c>
      <c r="NF19" s="1">
        <v>15147</v>
      </c>
      <c r="NG19">
        <v>7.28</v>
      </c>
      <c r="NH19">
        <v>6.09</v>
      </c>
      <c r="NI19">
        <v>3.28</v>
      </c>
      <c r="NJ19">
        <v>4.07</v>
      </c>
      <c r="NK19">
        <v>2.57</v>
      </c>
      <c r="NL19">
        <v>1.1406000000000001</v>
      </c>
      <c r="NM19">
        <v>2.7263999999999999</v>
      </c>
      <c r="NN19">
        <v>0.9</v>
      </c>
      <c r="NO19">
        <v>0.38</v>
      </c>
      <c r="NP19">
        <v>0</v>
      </c>
      <c r="NQ19">
        <v>0</v>
      </c>
      <c r="NR19">
        <v>0.73</v>
      </c>
      <c r="NS19">
        <v>0.03</v>
      </c>
      <c r="NT19">
        <v>0.3</v>
      </c>
      <c r="NU19" s="574">
        <v>24.69</v>
      </c>
      <c r="NV19">
        <v>1.1020000000000001</v>
      </c>
      <c r="NW19">
        <v>0</v>
      </c>
      <c r="NX19">
        <v>2E-3</v>
      </c>
      <c r="NY19">
        <v>5.2999999999999999E-2</v>
      </c>
      <c r="NZ19">
        <v>0</v>
      </c>
      <c r="OA19">
        <v>0.13020000000000001</v>
      </c>
      <c r="OB19">
        <v>0.44790000000000002</v>
      </c>
      <c r="OC19">
        <v>2.0059999999999998</v>
      </c>
      <c r="OD19">
        <v>0.86899999999999999</v>
      </c>
      <c r="OE19">
        <v>0.2843</v>
      </c>
      <c r="OF19">
        <v>58.901000000000003</v>
      </c>
      <c r="OG19">
        <v>0.105</v>
      </c>
      <c r="OH19" s="574">
        <v>9.09</v>
      </c>
      <c r="OI19">
        <v>74</v>
      </c>
      <c r="OJ19">
        <v>35</v>
      </c>
      <c r="OK19" s="574">
        <v>37.11</v>
      </c>
      <c r="OL19" s="574">
        <v>3.34</v>
      </c>
      <c r="OM19" s="574">
        <v>2.04</v>
      </c>
      <c r="ON19">
        <v>0.40210000000000001</v>
      </c>
      <c r="OO19">
        <v>0.1168</v>
      </c>
      <c r="OP19">
        <v>0.31659999999999999</v>
      </c>
      <c r="OQ19" s="574">
        <v>0.59</v>
      </c>
      <c r="OR19" s="574">
        <v>33.479999999999997</v>
      </c>
      <c r="OS19" s="574">
        <v>0.12</v>
      </c>
      <c r="OT19" s="574">
        <v>2.89</v>
      </c>
      <c r="OU19" s="574">
        <v>37.08</v>
      </c>
      <c r="OV19">
        <v>73</v>
      </c>
      <c r="OW19">
        <v>46</v>
      </c>
      <c r="OX19">
        <v>1.86</v>
      </c>
      <c r="OY19" s="1">
        <v>121289</v>
      </c>
      <c r="OZ19">
        <v>54.2</v>
      </c>
      <c r="PA19" s="1">
        <v>65224</v>
      </c>
      <c r="PB19">
        <v>18.88</v>
      </c>
      <c r="PC19">
        <v>100.79</v>
      </c>
      <c r="PD19">
        <v>0.35</v>
      </c>
      <c r="PE19" s="1">
        <v>22716</v>
      </c>
      <c r="PF19">
        <v>0.18</v>
      </c>
      <c r="PG19" s="574">
        <v>1.02</v>
      </c>
      <c r="PH19">
        <v>0.34</v>
      </c>
      <c r="PI19">
        <v>6.04</v>
      </c>
      <c r="PJ19">
        <v>6.78</v>
      </c>
      <c r="PK19" s="574">
        <v>11.33</v>
      </c>
      <c r="PL19">
        <v>60.17</v>
      </c>
      <c r="PM19" s="4">
        <v>61398</v>
      </c>
      <c r="PN19" s="4">
        <v>44973</v>
      </c>
      <c r="PO19">
        <v>6.6000000000000003E-2</v>
      </c>
      <c r="PP19">
        <v>0.35249999999999998</v>
      </c>
      <c r="PQ19">
        <v>0.12280000000000001</v>
      </c>
      <c r="PR19">
        <v>1.9199999999999998E-2</v>
      </c>
      <c r="PS19">
        <v>0.1024</v>
      </c>
      <c r="PT19">
        <v>3.5700000000000003E-2</v>
      </c>
      <c r="PU19" s="3">
        <v>0.99180000000000001</v>
      </c>
      <c r="PV19" s="3">
        <v>0.29299999999999998</v>
      </c>
      <c r="PW19" s="3">
        <v>0.70699999999999996</v>
      </c>
      <c r="PX19" s="3">
        <v>0.26750000000000002</v>
      </c>
      <c r="PY19" s="3">
        <v>0.73250000000000004</v>
      </c>
      <c r="PZ19" s="3">
        <v>8.9899999999999994E-2</v>
      </c>
      <c r="QA19" s="3">
        <v>2.5399999999999999E-2</v>
      </c>
      <c r="QB19" s="3">
        <v>0.17799999999999999</v>
      </c>
      <c r="QC19" s="3">
        <v>9.7000000000000003E-3</v>
      </c>
      <c r="QD19" s="3">
        <v>0.24490000000000001</v>
      </c>
      <c r="QE19" s="3">
        <v>5.4800000000000001E-2</v>
      </c>
      <c r="QF19" s="3">
        <v>0.48720000000000002</v>
      </c>
      <c r="QG19" s="3">
        <v>0.66520000000000001</v>
      </c>
      <c r="QH19" s="3">
        <v>3.2000000000000002E-3</v>
      </c>
      <c r="QI19" s="3">
        <v>0.90300000000000002</v>
      </c>
      <c r="QJ19" s="3">
        <v>7.8E-2</v>
      </c>
      <c r="QK19" s="3">
        <v>1.5800000000000002E-2</v>
      </c>
      <c r="QL19" s="4">
        <v>16425</v>
      </c>
      <c r="QM19">
        <v>3.65</v>
      </c>
      <c r="QN19" s="1">
        <v>8489</v>
      </c>
      <c r="QO19" s="1">
        <v>8559</v>
      </c>
      <c r="QP19" s="1">
        <v>2487</v>
      </c>
      <c r="QQ19" s="3">
        <v>0.60980000000000001</v>
      </c>
      <c r="QR19" s="3">
        <v>0.2828</v>
      </c>
      <c r="QS19" s="3">
        <v>0.10730000000000001</v>
      </c>
      <c r="QT19" s="3">
        <v>0.29060000000000002</v>
      </c>
      <c r="QU19">
        <v>0.34</v>
      </c>
      <c r="QV19">
        <v>0.92</v>
      </c>
      <c r="QW19">
        <v>0.25</v>
      </c>
      <c r="QX19">
        <v>6</v>
      </c>
      <c r="QY19">
        <v>2.99</v>
      </c>
      <c r="QZ19">
        <v>17</v>
      </c>
      <c r="RA19">
        <v>1.82</v>
      </c>
      <c r="RB19">
        <v>0.16</v>
      </c>
      <c r="RC19">
        <v>0.16</v>
      </c>
    </row>
    <row r="20" spans="1:471" x14ac:dyDescent="0.25">
      <c r="A20" t="s">
        <v>590</v>
      </c>
      <c r="B20">
        <v>101786</v>
      </c>
      <c r="C20" t="s">
        <v>1754</v>
      </c>
      <c r="D20" t="s">
        <v>1754</v>
      </c>
      <c r="E20" t="s">
        <v>1754</v>
      </c>
      <c r="F20" t="s">
        <v>1755</v>
      </c>
      <c r="G20" t="s">
        <v>1755</v>
      </c>
      <c r="H20" t="s">
        <v>591</v>
      </c>
      <c r="I20" t="s">
        <v>342</v>
      </c>
      <c r="J20" t="s">
        <v>343</v>
      </c>
      <c r="K20" t="s">
        <v>344</v>
      </c>
      <c r="L20" t="s">
        <v>345</v>
      </c>
      <c r="M20" t="s">
        <v>346</v>
      </c>
      <c r="N20" t="s">
        <v>347</v>
      </c>
      <c r="O20" s="1">
        <v>71815</v>
      </c>
      <c r="P20" t="s">
        <v>348</v>
      </c>
      <c r="Q20">
        <v>604</v>
      </c>
      <c r="R20">
        <v>135</v>
      </c>
      <c r="S20">
        <v>147</v>
      </c>
      <c r="T20">
        <v>6</v>
      </c>
      <c r="U20" s="1">
        <v>5686</v>
      </c>
      <c r="V20">
        <v>126</v>
      </c>
      <c r="W20" s="1">
        <v>27091</v>
      </c>
      <c r="X20" s="1">
        <v>2716</v>
      </c>
      <c r="Y20" s="1">
        <v>440850</v>
      </c>
      <c r="Z20" s="1">
        <v>140850</v>
      </c>
      <c r="AC20" t="s">
        <v>592</v>
      </c>
      <c r="AD20" t="s">
        <v>593</v>
      </c>
      <c r="AE20">
        <v>27312</v>
      </c>
      <c r="AF20">
        <v>9471</v>
      </c>
      <c r="AG20" t="s">
        <v>592</v>
      </c>
      <c r="AH20" t="s">
        <v>593</v>
      </c>
      <c r="AI20">
        <v>27312</v>
      </c>
      <c r="AJ20">
        <v>3</v>
      </c>
      <c r="AK20" t="s">
        <v>594</v>
      </c>
      <c r="AM20" t="s">
        <v>0</v>
      </c>
      <c r="AN20" t="s">
        <v>595</v>
      </c>
      <c r="AO20" t="s">
        <v>596</v>
      </c>
      <c r="AP20">
        <v>9195458081</v>
      </c>
      <c r="AQ20" t="s">
        <v>597</v>
      </c>
      <c r="AR20" t="s">
        <v>598</v>
      </c>
      <c r="AS20" t="s">
        <v>1901</v>
      </c>
      <c r="AT20" t="s">
        <v>1902</v>
      </c>
      <c r="AU20" t="s">
        <v>1903</v>
      </c>
      <c r="AV20" t="s">
        <v>597</v>
      </c>
      <c r="AW20" t="s">
        <v>1904</v>
      </c>
      <c r="AX20" t="s">
        <v>599</v>
      </c>
      <c r="AY20">
        <v>0</v>
      </c>
      <c r="AZ20">
        <v>0</v>
      </c>
      <c r="BA20">
        <v>0</v>
      </c>
      <c r="BB20" s="573">
        <v>42186</v>
      </c>
      <c r="BC20" s="573">
        <v>42551</v>
      </c>
      <c r="BD20">
        <v>1</v>
      </c>
      <c r="BE20">
        <v>2</v>
      </c>
      <c r="BF20">
        <v>0</v>
      </c>
      <c r="BG20">
        <v>0</v>
      </c>
      <c r="BH20">
        <v>3</v>
      </c>
      <c r="BJ20" s="1">
        <v>7100</v>
      </c>
      <c r="BK20">
        <v>3</v>
      </c>
      <c r="BL20">
        <v>0</v>
      </c>
      <c r="BM20">
        <v>3</v>
      </c>
      <c r="BN20">
        <v>10.5</v>
      </c>
      <c r="BO20">
        <v>13.5</v>
      </c>
      <c r="BP20" s="3">
        <v>0.22220000000000001</v>
      </c>
      <c r="BQ20">
        <v>0</v>
      </c>
      <c r="BR20" s="4">
        <v>78671</v>
      </c>
      <c r="DW20" s="4">
        <v>0</v>
      </c>
      <c r="DX20" s="4">
        <v>1895955</v>
      </c>
      <c r="DY20" s="4">
        <v>1895955</v>
      </c>
      <c r="DZ20" s="4">
        <v>101940</v>
      </c>
      <c r="EA20" s="4">
        <v>0</v>
      </c>
      <c r="EB20" s="4">
        <v>101940</v>
      </c>
      <c r="EC20" s="4">
        <v>0</v>
      </c>
      <c r="ED20" s="4">
        <v>0</v>
      </c>
      <c r="EE20" s="4">
        <v>0</v>
      </c>
      <c r="EF20" s="4">
        <v>127832</v>
      </c>
      <c r="EG20" s="4">
        <v>2125727</v>
      </c>
      <c r="EH20" s="4">
        <v>645327</v>
      </c>
      <c r="EI20" s="4">
        <v>242565</v>
      </c>
      <c r="EJ20" s="4">
        <v>887892</v>
      </c>
      <c r="EK20" s="4">
        <v>110811</v>
      </c>
      <c r="EL20" s="4">
        <v>35223</v>
      </c>
      <c r="EM20" s="4">
        <v>15579</v>
      </c>
      <c r="EN20" s="4">
        <v>161613</v>
      </c>
      <c r="EO20" s="4">
        <v>876662</v>
      </c>
      <c r="EP20" s="4">
        <v>1926167</v>
      </c>
      <c r="EQ20" s="4">
        <v>199560</v>
      </c>
      <c r="ER20" s="3">
        <v>9.3899999999999997E-2</v>
      </c>
      <c r="ES20" s="4">
        <v>0</v>
      </c>
      <c r="ET20" s="4">
        <v>0</v>
      </c>
      <c r="EU20" s="4">
        <v>0</v>
      </c>
      <c r="EV20" s="4">
        <v>0</v>
      </c>
      <c r="EW20" s="4">
        <v>0</v>
      </c>
      <c r="EX20" s="4">
        <v>0</v>
      </c>
      <c r="EY20" s="1">
        <v>13984</v>
      </c>
      <c r="EZ20" s="1">
        <v>159538</v>
      </c>
      <c r="FA20" s="1">
        <v>26975</v>
      </c>
      <c r="FB20" s="1">
        <v>5448</v>
      </c>
      <c r="FC20" s="1">
        <v>21934</v>
      </c>
      <c r="FD20" s="1">
        <v>29594</v>
      </c>
      <c r="FE20">
        <v>933</v>
      </c>
      <c r="FF20" s="1">
        <v>9580</v>
      </c>
      <c r="FG20" s="1">
        <v>56569</v>
      </c>
      <c r="FH20" s="1">
        <v>6381</v>
      </c>
      <c r="FI20" s="1">
        <v>31514</v>
      </c>
      <c r="FJ20" s="1">
        <v>94464</v>
      </c>
      <c r="FK20">
        <v>98</v>
      </c>
      <c r="FL20">
        <v>182</v>
      </c>
      <c r="FN20" s="1">
        <v>94464</v>
      </c>
      <c r="FO20" s="1">
        <v>4287</v>
      </c>
      <c r="FP20" s="1">
        <v>6492</v>
      </c>
      <c r="FQ20">
        <v>0</v>
      </c>
      <c r="FR20">
        <v>8</v>
      </c>
      <c r="FS20">
        <v>74</v>
      </c>
      <c r="FT20">
        <v>82</v>
      </c>
      <c r="FU20" s="1">
        <v>26725</v>
      </c>
      <c r="FV20" s="1">
        <v>2022</v>
      </c>
      <c r="FW20">
        <v>0</v>
      </c>
      <c r="GC20" s="1">
        <v>23798</v>
      </c>
      <c r="GD20" s="1">
        <v>1183</v>
      </c>
      <c r="GE20">
        <v>205</v>
      </c>
      <c r="GK20">
        <v>0</v>
      </c>
      <c r="GL20">
        <v>0</v>
      </c>
      <c r="GM20">
        <v>0</v>
      </c>
      <c r="GN20">
        <v>0</v>
      </c>
      <c r="GO20" s="1">
        <v>50523</v>
      </c>
      <c r="GP20" s="1">
        <v>3205</v>
      </c>
      <c r="GQ20">
        <v>205</v>
      </c>
      <c r="GR20">
        <v>0</v>
      </c>
      <c r="GS20">
        <v>10</v>
      </c>
      <c r="GU20" s="1">
        <v>56137</v>
      </c>
      <c r="GV20" s="1">
        <v>8485</v>
      </c>
      <c r="GW20" s="1">
        <v>73826</v>
      </c>
      <c r="GX20" s="1">
        <v>26431</v>
      </c>
      <c r="GY20">
        <v>72</v>
      </c>
      <c r="GZ20" s="1">
        <v>15414</v>
      </c>
      <c r="HA20" s="1">
        <v>82568</v>
      </c>
      <c r="HB20" s="1">
        <v>8557</v>
      </c>
      <c r="HC20" s="1">
        <v>89240</v>
      </c>
      <c r="HD20" s="1">
        <v>180365</v>
      </c>
      <c r="HE20" s="1">
        <v>2225</v>
      </c>
      <c r="HF20" s="1">
        <v>182590</v>
      </c>
      <c r="HG20" s="1">
        <v>12018</v>
      </c>
      <c r="HH20" s="1">
        <v>38099</v>
      </c>
      <c r="HI20">
        <v>0</v>
      </c>
      <c r="HJ20">
        <v>-1</v>
      </c>
      <c r="HK20" s="1">
        <v>50116</v>
      </c>
      <c r="HL20" s="1">
        <v>232706</v>
      </c>
      <c r="HM20">
        <v>190</v>
      </c>
      <c r="HN20" s="1">
        <v>29126</v>
      </c>
      <c r="HO20" s="1">
        <v>29316</v>
      </c>
      <c r="HP20">
        <v>188</v>
      </c>
      <c r="HQ20" s="1">
        <v>4107</v>
      </c>
      <c r="HR20" s="1">
        <v>4295</v>
      </c>
      <c r="HS20">
        <v>0</v>
      </c>
      <c r="HT20">
        <v>54</v>
      </c>
      <c r="HU20">
        <v>54</v>
      </c>
      <c r="HV20" s="1">
        <v>1275</v>
      </c>
      <c r="HW20" s="1">
        <v>34940</v>
      </c>
      <c r="HX20" s="1">
        <v>8013</v>
      </c>
      <c r="HY20">
        <v>0</v>
      </c>
      <c r="HZ20" s="1">
        <v>8013</v>
      </c>
      <c r="IA20" s="1">
        <v>42953</v>
      </c>
      <c r="IB20" s="1">
        <v>16313</v>
      </c>
      <c r="IC20" s="1">
        <v>54466</v>
      </c>
      <c r="ID20" s="1">
        <v>267646</v>
      </c>
      <c r="IE20" s="1">
        <v>267646</v>
      </c>
      <c r="IF20" s="1">
        <v>275659</v>
      </c>
      <c r="IG20" s="1">
        <v>97797</v>
      </c>
      <c r="IH20">
        <v>11</v>
      </c>
      <c r="IK20">
        <v>1</v>
      </c>
      <c r="IL20" s="3">
        <v>4.2000000000000003E-2</v>
      </c>
      <c r="IM20" s="3">
        <v>1.1000000000000001E-3</v>
      </c>
      <c r="IN20" s="3">
        <v>0.33810000000000001</v>
      </c>
      <c r="IO20" s="3">
        <v>0</v>
      </c>
      <c r="IP20" s="3">
        <v>0.31669999999999998</v>
      </c>
      <c r="IQ20" s="3">
        <v>5.0000000000000001E-4</v>
      </c>
      <c r="IR20" s="3">
        <v>0.59209999999999996</v>
      </c>
      <c r="IS20" s="3">
        <v>4.7E-2</v>
      </c>
      <c r="IT20" s="3">
        <v>0.3654</v>
      </c>
      <c r="IU20" s="1">
        <v>30845</v>
      </c>
      <c r="IV20" s="1">
        <v>4968</v>
      </c>
      <c r="IW20" s="1">
        <v>35813</v>
      </c>
      <c r="IX20" s="3">
        <v>0.49869999999999998</v>
      </c>
      <c r="IY20" s="1">
        <v>180771</v>
      </c>
      <c r="JA20">
        <v>248</v>
      </c>
      <c r="JB20">
        <v>26</v>
      </c>
      <c r="JC20">
        <v>438</v>
      </c>
      <c r="JD20">
        <v>12</v>
      </c>
      <c r="JE20">
        <v>9</v>
      </c>
      <c r="JF20">
        <v>151</v>
      </c>
      <c r="JG20">
        <v>260</v>
      </c>
      <c r="JH20">
        <v>35</v>
      </c>
      <c r="JI20">
        <v>589</v>
      </c>
      <c r="JJ20">
        <v>884</v>
      </c>
      <c r="JK20">
        <v>712</v>
      </c>
      <c r="JL20">
        <v>172</v>
      </c>
      <c r="JM20" s="1">
        <v>2880</v>
      </c>
      <c r="JN20">
        <v>600</v>
      </c>
      <c r="JO20" s="1">
        <v>14736</v>
      </c>
      <c r="JP20">
        <v>62</v>
      </c>
      <c r="JQ20">
        <v>125</v>
      </c>
      <c r="JR20" s="1">
        <v>3034</v>
      </c>
      <c r="JS20" s="1">
        <v>2942</v>
      </c>
      <c r="JT20">
        <v>725</v>
      </c>
      <c r="JU20" s="1">
        <v>17770</v>
      </c>
      <c r="JV20" s="1">
        <v>21437</v>
      </c>
      <c r="JW20" s="1">
        <v>18216</v>
      </c>
      <c r="JX20" s="1">
        <v>3221</v>
      </c>
      <c r="JY20">
        <v>24.25</v>
      </c>
      <c r="JZ20">
        <v>11.32</v>
      </c>
      <c r="KA20">
        <v>30.17</v>
      </c>
      <c r="KB20">
        <v>0.14000000000000001</v>
      </c>
      <c r="KC20">
        <v>0.83</v>
      </c>
      <c r="KD20">
        <v>42</v>
      </c>
      <c r="KE20">
        <v>69</v>
      </c>
      <c r="KF20">
        <v>52</v>
      </c>
      <c r="KG20">
        <v>313</v>
      </c>
      <c r="KN20" s="1">
        <v>19855</v>
      </c>
      <c r="KO20" s="1">
        <v>23466</v>
      </c>
      <c r="KP20">
        <v>913</v>
      </c>
      <c r="KR20">
        <v>346</v>
      </c>
      <c r="KS20" s="1">
        <v>5583</v>
      </c>
      <c r="KT20">
        <v>2</v>
      </c>
      <c r="KU20">
        <v>253</v>
      </c>
      <c r="KV20">
        <v>24</v>
      </c>
      <c r="KW20">
        <v>57</v>
      </c>
      <c r="KX20" s="1">
        <v>30276</v>
      </c>
      <c r="LD20" t="s">
        <v>600</v>
      </c>
      <c r="LE20" t="s">
        <v>361</v>
      </c>
      <c r="LF20" t="s">
        <v>601</v>
      </c>
      <c r="LG20" t="s">
        <v>602</v>
      </c>
      <c r="LH20">
        <v>27344</v>
      </c>
      <c r="LI20">
        <v>3123</v>
      </c>
      <c r="LJ20" t="s">
        <v>601</v>
      </c>
      <c r="LK20" t="s">
        <v>602</v>
      </c>
      <c r="LL20">
        <v>27344</v>
      </c>
      <c r="LM20">
        <v>3123</v>
      </c>
      <c r="LN20" t="s">
        <v>595</v>
      </c>
      <c r="LO20">
        <v>9197422016</v>
      </c>
      <c r="LQ20" s="1">
        <v>35000</v>
      </c>
      <c r="LR20">
        <v>11.75</v>
      </c>
      <c r="LT20" s="1">
        <v>7100</v>
      </c>
      <c r="LU20">
        <v>156</v>
      </c>
      <c r="LX20">
        <v>4</v>
      </c>
      <c r="LY20" t="s">
        <v>603</v>
      </c>
      <c r="LZ20">
        <v>0</v>
      </c>
      <c r="MA20" t="s">
        <v>408</v>
      </c>
      <c r="MB20">
        <v>1.6</v>
      </c>
      <c r="MC20">
        <v>15</v>
      </c>
      <c r="ME20" s="574">
        <v>7.2</v>
      </c>
      <c r="MF20" s="574">
        <v>3.32</v>
      </c>
      <c r="MG20" s="574">
        <v>0.6</v>
      </c>
      <c r="MH20" s="574">
        <v>53.78</v>
      </c>
      <c r="MI20" s="574">
        <v>24.79</v>
      </c>
      <c r="MJ20" s="574">
        <v>4.51</v>
      </c>
      <c r="MK20" s="574">
        <v>10.66</v>
      </c>
      <c r="ML20" s="574">
        <v>4.91</v>
      </c>
      <c r="MM20" s="574">
        <v>0.89</v>
      </c>
      <c r="MN20" s="574">
        <v>97.01</v>
      </c>
      <c r="MO20" s="574">
        <v>44.72</v>
      </c>
      <c r="MP20" s="574">
        <v>8.14</v>
      </c>
      <c r="MQ20" s="574">
        <v>89.85</v>
      </c>
      <c r="MR20" s="574">
        <v>41.42</v>
      </c>
      <c r="MS20" s="574">
        <v>7.54</v>
      </c>
      <c r="MT20" s="574">
        <v>19.7</v>
      </c>
      <c r="MU20" s="574">
        <v>9.08</v>
      </c>
      <c r="MV20" s="574">
        <v>1.65</v>
      </c>
      <c r="MW20" s="1">
        <v>1471</v>
      </c>
      <c r="MX20" s="1">
        <v>6618</v>
      </c>
      <c r="MY20" s="1">
        <v>6618</v>
      </c>
      <c r="MZ20" s="1">
        <v>13390</v>
      </c>
      <c r="NA20" s="1">
        <v>60257</v>
      </c>
      <c r="NB20" s="1">
        <v>60257</v>
      </c>
      <c r="NC20" s="1">
        <v>89215</v>
      </c>
      <c r="ND20" s="1">
        <v>89215</v>
      </c>
      <c r="NE20">
        <v>1.68</v>
      </c>
      <c r="NF20" s="1">
        <v>19826</v>
      </c>
      <c r="NG20">
        <v>9.5299999999999994</v>
      </c>
      <c r="NH20">
        <v>3.7269999999999999</v>
      </c>
      <c r="NI20">
        <v>2.52</v>
      </c>
      <c r="NJ20">
        <v>0.06</v>
      </c>
      <c r="NK20">
        <v>7.06</v>
      </c>
      <c r="NL20">
        <v>0.27650000000000002</v>
      </c>
      <c r="NM20">
        <v>1.3617999999999999</v>
      </c>
      <c r="NN20">
        <v>0.5</v>
      </c>
      <c r="NO20">
        <v>0.3</v>
      </c>
      <c r="NP20">
        <v>0</v>
      </c>
      <c r="NQ20">
        <v>0</v>
      </c>
      <c r="NR20">
        <v>0.42</v>
      </c>
      <c r="NS20">
        <v>0.04</v>
      </c>
      <c r="NT20">
        <v>0.25</v>
      </c>
      <c r="NU20" s="574">
        <v>12.36</v>
      </c>
      <c r="NV20">
        <v>2.222</v>
      </c>
      <c r="NW20">
        <v>0</v>
      </c>
      <c r="NX20">
        <v>3.0000000000000001E-3</v>
      </c>
      <c r="NY20">
        <v>0.70399999999999996</v>
      </c>
      <c r="NZ20">
        <v>1E-3</v>
      </c>
      <c r="OA20">
        <v>8.3799999999999999E-2</v>
      </c>
      <c r="OB20">
        <v>0.377</v>
      </c>
      <c r="OC20">
        <v>5.0819999999999999</v>
      </c>
      <c r="OD20">
        <v>1.3149999999999999</v>
      </c>
      <c r="OE20">
        <v>0.1462</v>
      </c>
      <c r="OF20" s="2">
        <v>1410.7449999999999</v>
      </c>
      <c r="OG20">
        <v>2.29</v>
      </c>
      <c r="OH20" s="574">
        <v>12.21</v>
      </c>
      <c r="OI20">
        <v>209</v>
      </c>
      <c r="OJ20">
        <v>187</v>
      </c>
      <c r="OK20" s="574">
        <v>26.82</v>
      </c>
      <c r="OL20" s="574">
        <v>2.25</v>
      </c>
      <c r="OM20" s="574">
        <v>1.54</v>
      </c>
      <c r="ON20">
        <v>0.188</v>
      </c>
      <c r="OO20">
        <v>4.1799999999999997E-2</v>
      </c>
      <c r="OP20">
        <v>0.29320000000000002</v>
      </c>
      <c r="OQ20" s="574">
        <v>1.42</v>
      </c>
      <c r="OR20" s="574">
        <v>26.4</v>
      </c>
      <c r="OS20" s="574">
        <v>0</v>
      </c>
      <c r="OT20" s="574">
        <v>1.78</v>
      </c>
      <c r="OU20" s="574">
        <v>29.6</v>
      </c>
      <c r="OV20">
        <v>0</v>
      </c>
      <c r="OW20">
        <v>5</v>
      </c>
      <c r="OX20">
        <v>1.48</v>
      </c>
      <c r="OY20" s="1">
        <v>5147</v>
      </c>
      <c r="OZ20">
        <v>25.46</v>
      </c>
      <c r="PA20" s="1">
        <v>3476</v>
      </c>
      <c r="PB20">
        <v>2.8</v>
      </c>
      <c r="PC20">
        <v>37.700000000000003</v>
      </c>
      <c r="PD20">
        <v>0.11</v>
      </c>
      <c r="PE20">
        <v>382</v>
      </c>
      <c r="PF20">
        <v>0.6</v>
      </c>
      <c r="PG20" s="574">
        <v>0.89</v>
      </c>
      <c r="PH20">
        <v>0.88</v>
      </c>
      <c r="PI20">
        <v>9.89</v>
      </c>
      <c r="PJ20">
        <v>7.47</v>
      </c>
      <c r="PK20" s="574">
        <v>10.66</v>
      </c>
      <c r="PL20">
        <v>45.51</v>
      </c>
      <c r="PM20" s="4">
        <v>65770</v>
      </c>
      <c r="PN20" s="4">
        <v>47802</v>
      </c>
      <c r="PO20">
        <v>5.04E-2</v>
      </c>
      <c r="PP20">
        <v>0.67989999999999995</v>
      </c>
      <c r="PQ20">
        <v>7.4700000000000003E-2</v>
      </c>
      <c r="PR20">
        <v>1.12E-2</v>
      </c>
      <c r="PS20">
        <v>0.15110000000000001</v>
      </c>
      <c r="PT20">
        <v>1.66E-2</v>
      </c>
      <c r="PU20" s="3">
        <v>1</v>
      </c>
      <c r="PV20" s="3">
        <v>0.22220000000000001</v>
      </c>
      <c r="PW20" s="3">
        <v>0.77780000000000005</v>
      </c>
      <c r="PX20" s="3">
        <v>0.2732</v>
      </c>
      <c r="PY20" s="3">
        <v>0.7268</v>
      </c>
      <c r="PZ20" s="3">
        <v>8.3900000000000002E-2</v>
      </c>
      <c r="QA20" s="3">
        <v>1.83E-2</v>
      </c>
      <c r="QB20" s="3">
        <v>0.12590000000000001</v>
      </c>
      <c r="QC20" s="3">
        <v>8.0999999999999996E-3</v>
      </c>
      <c r="QD20" s="3">
        <v>0.4551</v>
      </c>
      <c r="QE20" s="3">
        <v>5.7500000000000002E-2</v>
      </c>
      <c r="QF20" s="3">
        <v>0.33500000000000002</v>
      </c>
      <c r="QG20" s="3">
        <v>0.46100000000000002</v>
      </c>
      <c r="QH20" s="3">
        <v>0</v>
      </c>
      <c r="QI20" s="3">
        <v>0.89190000000000003</v>
      </c>
      <c r="QJ20" s="3">
        <v>6.0100000000000001E-2</v>
      </c>
      <c r="QK20" s="3">
        <v>4.8000000000000001E-2</v>
      </c>
      <c r="QL20" s="4">
        <v>17968</v>
      </c>
      <c r="QM20">
        <v>5.05</v>
      </c>
      <c r="QN20" s="1">
        <v>23938</v>
      </c>
      <c r="QO20" s="1">
        <v>23938</v>
      </c>
      <c r="QP20" s="1">
        <v>5320</v>
      </c>
      <c r="QQ20" s="3">
        <v>0.68569999999999998</v>
      </c>
      <c r="QR20" s="3">
        <v>0.21790000000000001</v>
      </c>
      <c r="QS20" s="3">
        <v>9.64E-2</v>
      </c>
      <c r="QT20" s="3">
        <v>0.22220000000000001</v>
      </c>
      <c r="QU20">
        <v>0.41</v>
      </c>
      <c r="QV20">
        <v>1.1000000000000001</v>
      </c>
      <c r="QW20">
        <v>0.3</v>
      </c>
      <c r="QX20">
        <v>8</v>
      </c>
      <c r="QY20">
        <v>2.42</v>
      </c>
      <c r="QZ20">
        <v>17</v>
      </c>
      <c r="RA20">
        <v>1.66</v>
      </c>
      <c r="RB20">
        <v>0.14000000000000001</v>
      </c>
      <c r="RC20">
        <v>0.13</v>
      </c>
    </row>
    <row r="21" spans="1:471" x14ac:dyDescent="0.25">
      <c r="A21" t="s">
        <v>604</v>
      </c>
      <c r="B21">
        <v>11663</v>
      </c>
      <c r="C21" t="s">
        <v>1754</v>
      </c>
      <c r="D21" t="s">
        <v>1754</v>
      </c>
      <c r="E21" t="s">
        <v>1754</v>
      </c>
      <c r="F21" t="s">
        <v>1755</v>
      </c>
      <c r="G21" t="s">
        <v>1755</v>
      </c>
      <c r="H21" t="s">
        <v>605</v>
      </c>
      <c r="I21" t="s">
        <v>342</v>
      </c>
      <c r="J21" t="s">
        <v>343</v>
      </c>
      <c r="K21" t="s">
        <v>344</v>
      </c>
      <c r="L21" t="s">
        <v>345</v>
      </c>
      <c r="M21" t="s">
        <v>457</v>
      </c>
      <c r="N21" t="s">
        <v>347</v>
      </c>
      <c r="O21" s="1">
        <v>87204</v>
      </c>
      <c r="P21" t="s">
        <v>348</v>
      </c>
      <c r="Q21">
        <v>545</v>
      </c>
      <c r="R21">
        <v>145</v>
      </c>
      <c r="S21">
        <v>97</v>
      </c>
      <c r="T21">
        <v>18</v>
      </c>
      <c r="U21" s="1">
        <v>3858</v>
      </c>
      <c r="V21">
        <v>271</v>
      </c>
      <c r="W21" s="1">
        <v>18243</v>
      </c>
      <c r="X21" s="1">
        <v>1942</v>
      </c>
      <c r="Y21" s="1">
        <v>3504736</v>
      </c>
      <c r="Z21" s="1">
        <v>582600</v>
      </c>
      <c r="AC21" t="s">
        <v>606</v>
      </c>
      <c r="AD21" t="s">
        <v>607</v>
      </c>
      <c r="AE21">
        <v>28151</v>
      </c>
      <c r="AF21">
        <v>1120</v>
      </c>
      <c r="AG21" t="s">
        <v>608</v>
      </c>
      <c r="AH21" t="s">
        <v>607</v>
      </c>
      <c r="AI21">
        <v>28150</v>
      </c>
      <c r="AJ21">
        <v>2</v>
      </c>
      <c r="AK21" t="s">
        <v>609</v>
      </c>
      <c r="AM21" t="s">
        <v>0</v>
      </c>
      <c r="AN21" t="s">
        <v>610</v>
      </c>
      <c r="AO21" t="s">
        <v>611</v>
      </c>
      <c r="AP21">
        <v>7044879069</v>
      </c>
      <c r="AQ21" t="s">
        <v>613</v>
      </c>
      <c r="AR21" t="s">
        <v>614</v>
      </c>
      <c r="AS21" t="s">
        <v>1905</v>
      </c>
      <c r="AT21" t="s">
        <v>376</v>
      </c>
      <c r="AU21" t="s">
        <v>612</v>
      </c>
      <c r="AV21" t="s">
        <v>613</v>
      </c>
      <c r="AW21" t="s">
        <v>614</v>
      </c>
      <c r="AX21" t="s">
        <v>615</v>
      </c>
      <c r="AY21">
        <v>0</v>
      </c>
      <c r="AZ21">
        <v>0</v>
      </c>
      <c r="BA21">
        <v>0</v>
      </c>
      <c r="BB21" s="573">
        <v>42186</v>
      </c>
      <c r="BC21" s="573">
        <v>42551</v>
      </c>
      <c r="BD21">
        <v>1</v>
      </c>
      <c r="BE21">
        <v>1</v>
      </c>
      <c r="BF21">
        <v>0</v>
      </c>
      <c r="BG21">
        <v>1</v>
      </c>
      <c r="BH21">
        <v>3</v>
      </c>
      <c r="BJ21" s="1">
        <v>3597</v>
      </c>
      <c r="BK21">
        <v>3</v>
      </c>
      <c r="BL21">
        <v>0</v>
      </c>
      <c r="BM21">
        <v>3</v>
      </c>
      <c r="BN21">
        <v>15.25</v>
      </c>
      <c r="BO21">
        <v>18.25</v>
      </c>
      <c r="BP21" s="3">
        <v>0.16439999999999999</v>
      </c>
      <c r="BQ21" s="1">
        <v>2004</v>
      </c>
      <c r="BR21" s="4">
        <v>67380</v>
      </c>
      <c r="DW21" s="4">
        <v>0</v>
      </c>
      <c r="DX21" s="4">
        <v>829625</v>
      </c>
      <c r="DY21" s="4">
        <v>829625</v>
      </c>
      <c r="DZ21" s="4">
        <v>140195</v>
      </c>
      <c r="EA21" s="4">
        <v>0</v>
      </c>
      <c r="EB21" s="4">
        <v>140195</v>
      </c>
      <c r="EC21" s="4">
        <v>68105</v>
      </c>
      <c r="ED21" s="4">
        <v>0</v>
      </c>
      <c r="EE21" s="4">
        <v>68105</v>
      </c>
      <c r="EF21" s="4">
        <v>52658</v>
      </c>
      <c r="EG21" s="4">
        <v>1090583</v>
      </c>
      <c r="EH21" s="4">
        <v>563665</v>
      </c>
      <c r="EI21" s="4">
        <v>212677</v>
      </c>
      <c r="EJ21" s="4">
        <v>776342</v>
      </c>
      <c r="EK21" s="4">
        <v>67227</v>
      </c>
      <c r="EL21" s="4">
        <v>6837</v>
      </c>
      <c r="EM21" s="4">
        <v>4765</v>
      </c>
      <c r="EN21" s="4">
        <v>78829</v>
      </c>
      <c r="EO21" s="4">
        <v>235412</v>
      </c>
      <c r="EP21" s="4">
        <v>1090583</v>
      </c>
      <c r="EQ21" s="4">
        <v>0</v>
      </c>
      <c r="ER21" s="3">
        <v>0</v>
      </c>
      <c r="ES21" s="4">
        <v>17026</v>
      </c>
      <c r="ET21" s="4">
        <v>0</v>
      </c>
      <c r="EU21" s="4">
        <v>68105</v>
      </c>
      <c r="EV21" s="4">
        <v>0</v>
      </c>
      <c r="EW21" s="4">
        <v>85131</v>
      </c>
      <c r="EX21" s="4">
        <v>85131</v>
      </c>
      <c r="EY21" s="1">
        <v>11999</v>
      </c>
      <c r="EZ21" s="1">
        <v>171869</v>
      </c>
      <c r="FA21" s="1">
        <v>30469</v>
      </c>
      <c r="FB21" s="1">
        <v>3601</v>
      </c>
      <c r="FC21" s="1">
        <v>29418</v>
      </c>
      <c r="FD21" s="1">
        <v>31380</v>
      </c>
      <c r="FF21" s="1">
        <v>9752</v>
      </c>
      <c r="FG21" s="1">
        <v>61849</v>
      </c>
      <c r="FH21" s="1">
        <v>3601</v>
      </c>
      <c r="FI21" s="1">
        <v>39170</v>
      </c>
      <c r="FJ21" s="1">
        <v>104620</v>
      </c>
      <c r="FK21" s="1">
        <v>2051</v>
      </c>
      <c r="FL21">
        <v>91</v>
      </c>
      <c r="FN21" s="1">
        <v>104620</v>
      </c>
      <c r="FO21" s="1">
        <v>5430</v>
      </c>
      <c r="FP21" s="1">
        <v>3364</v>
      </c>
      <c r="FQ21" s="1">
        <v>2305</v>
      </c>
      <c r="FR21">
        <v>3</v>
      </c>
      <c r="FS21">
        <v>74</v>
      </c>
      <c r="FT21">
        <v>77</v>
      </c>
      <c r="FU21" s="1">
        <v>26725</v>
      </c>
      <c r="FV21" s="1">
        <v>2022</v>
      </c>
      <c r="FW21">
        <v>0</v>
      </c>
      <c r="GC21" s="1">
        <v>23798</v>
      </c>
      <c r="GD21" s="1">
        <v>1183</v>
      </c>
      <c r="GE21">
        <v>205</v>
      </c>
      <c r="GK21">
        <v>-1</v>
      </c>
      <c r="GL21">
        <v>0</v>
      </c>
      <c r="GM21">
        <v>0</v>
      </c>
      <c r="GN21">
        <v>-1</v>
      </c>
      <c r="GO21" s="1">
        <v>50522</v>
      </c>
      <c r="GP21" s="1">
        <v>3205</v>
      </c>
      <c r="GQ21">
        <v>205</v>
      </c>
      <c r="GR21">
        <v>-1</v>
      </c>
      <c r="GS21">
        <v>29</v>
      </c>
      <c r="GU21" s="1">
        <v>59208</v>
      </c>
      <c r="GV21" s="1">
        <v>6701</v>
      </c>
      <c r="GW21" s="1">
        <v>50048</v>
      </c>
      <c r="GX21" s="1">
        <v>17372</v>
      </c>
      <c r="GY21">
        <v>36</v>
      </c>
      <c r="GZ21" s="1">
        <v>10381</v>
      </c>
      <c r="HA21" s="1">
        <v>76580</v>
      </c>
      <c r="HB21" s="1">
        <v>6737</v>
      </c>
      <c r="HC21" s="1">
        <v>60429</v>
      </c>
      <c r="HD21" s="1">
        <v>143746</v>
      </c>
      <c r="HE21">
        <v>8</v>
      </c>
      <c r="HF21" s="1">
        <v>144141</v>
      </c>
      <c r="HG21" s="1">
        <v>25073</v>
      </c>
      <c r="HH21" s="1">
        <v>18982</v>
      </c>
      <c r="HI21">
        <v>387</v>
      </c>
      <c r="HJ21" s="1">
        <v>5378</v>
      </c>
      <c r="HK21" s="1">
        <v>49433</v>
      </c>
      <c r="HL21" s="1">
        <v>193574</v>
      </c>
      <c r="HM21">
        <v>56</v>
      </c>
      <c r="HN21" s="1">
        <v>12114</v>
      </c>
      <c r="HO21" s="1">
        <v>12170</v>
      </c>
      <c r="HP21">
        <v>134</v>
      </c>
      <c r="HQ21" s="1">
        <v>1517</v>
      </c>
      <c r="HR21" s="1">
        <v>1651</v>
      </c>
      <c r="HS21">
        <v>0</v>
      </c>
      <c r="HT21">
        <v>46</v>
      </c>
      <c r="HU21">
        <v>46</v>
      </c>
      <c r="HV21">
        <v>0</v>
      </c>
      <c r="HW21" s="1">
        <v>13867</v>
      </c>
      <c r="HX21" s="1">
        <v>12068</v>
      </c>
      <c r="HY21" s="1">
        <v>10425</v>
      </c>
      <c r="HZ21" s="1">
        <v>22493</v>
      </c>
      <c r="IA21" s="1">
        <v>36360</v>
      </c>
      <c r="IB21" s="1">
        <v>26724</v>
      </c>
      <c r="IC21" s="1">
        <v>45752</v>
      </c>
      <c r="ID21" s="1">
        <v>207441</v>
      </c>
      <c r="IE21" s="1">
        <v>207441</v>
      </c>
      <c r="IF21" s="1">
        <v>229934</v>
      </c>
      <c r="IG21" s="1">
        <v>71333</v>
      </c>
      <c r="IH21">
        <v>-1</v>
      </c>
      <c r="IL21" s="3">
        <v>2.0799999999999999E-2</v>
      </c>
      <c r="IM21" s="3">
        <v>5.0000000000000001E-4</v>
      </c>
      <c r="IN21" s="3">
        <v>0.31380000000000002</v>
      </c>
      <c r="IO21" s="3">
        <v>0</v>
      </c>
      <c r="IP21" s="3">
        <v>0.29399999999999998</v>
      </c>
      <c r="IQ21" s="3">
        <v>4.0000000000000002E-4</v>
      </c>
      <c r="IR21" s="3">
        <v>0.60870000000000002</v>
      </c>
      <c r="IS21" s="3">
        <v>5.0200000000000002E-2</v>
      </c>
      <c r="IT21" s="3">
        <v>0.34389999999999998</v>
      </c>
      <c r="IU21" s="1">
        <v>36641</v>
      </c>
      <c r="IW21" s="1">
        <v>36641</v>
      </c>
      <c r="IX21" s="3">
        <v>0.42020000000000002</v>
      </c>
      <c r="IY21" s="1">
        <v>162689</v>
      </c>
      <c r="JA21">
        <v>15</v>
      </c>
      <c r="JB21">
        <v>14</v>
      </c>
      <c r="JC21">
        <v>179</v>
      </c>
      <c r="JD21">
        <v>4</v>
      </c>
      <c r="JE21">
        <v>0</v>
      </c>
      <c r="JF21">
        <v>289</v>
      </c>
      <c r="JG21">
        <v>19</v>
      </c>
      <c r="JH21">
        <v>14</v>
      </c>
      <c r="JI21">
        <v>468</v>
      </c>
      <c r="JJ21">
        <v>501</v>
      </c>
      <c r="JK21">
        <v>208</v>
      </c>
      <c r="JL21">
        <v>293</v>
      </c>
      <c r="JM21">
        <v>531</v>
      </c>
      <c r="JN21">
        <v>171</v>
      </c>
      <c r="JO21" s="1">
        <v>8429</v>
      </c>
      <c r="JP21">
        <v>615</v>
      </c>
      <c r="JQ21">
        <v>0</v>
      </c>
      <c r="JR21" s="1">
        <v>6002</v>
      </c>
      <c r="JS21" s="1">
        <v>1146</v>
      </c>
      <c r="JT21">
        <v>171</v>
      </c>
      <c r="JU21" s="1">
        <v>14431</v>
      </c>
      <c r="JV21" s="1">
        <v>15748</v>
      </c>
      <c r="JW21" s="1">
        <v>9131</v>
      </c>
      <c r="JX21" s="1">
        <v>6617</v>
      </c>
      <c r="JY21">
        <v>31.43</v>
      </c>
      <c r="JZ21">
        <v>60.32</v>
      </c>
      <c r="KA21">
        <v>30.84</v>
      </c>
      <c r="KB21">
        <v>7.0000000000000007E-2</v>
      </c>
      <c r="KC21">
        <v>0.92</v>
      </c>
      <c r="KD21">
        <v>0</v>
      </c>
      <c r="KE21">
        <v>0</v>
      </c>
      <c r="KF21">
        <v>2</v>
      </c>
      <c r="KG21">
        <v>28</v>
      </c>
      <c r="KN21" s="1">
        <v>48998</v>
      </c>
      <c r="KO21" s="1">
        <v>34654</v>
      </c>
      <c r="KP21" s="1">
        <v>14344</v>
      </c>
      <c r="KR21">
        <v>593</v>
      </c>
      <c r="KS21" s="1">
        <v>7864</v>
      </c>
      <c r="KT21" s="1">
        <v>13963</v>
      </c>
      <c r="KU21" s="1">
        <v>14399</v>
      </c>
      <c r="KV21">
        <v>23</v>
      </c>
      <c r="KW21">
        <v>33</v>
      </c>
      <c r="KX21" s="1">
        <v>28580</v>
      </c>
      <c r="KZ21" s="1">
        <v>123480</v>
      </c>
      <c r="LD21" t="s">
        <v>609</v>
      </c>
      <c r="LE21" t="s">
        <v>440</v>
      </c>
      <c r="LF21" t="s">
        <v>606</v>
      </c>
      <c r="LG21" t="s">
        <v>607</v>
      </c>
      <c r="LH21">
        <v>28151</v>
      </c>
      <c r="LI21">
        <v>1120</v>
      </c>
      <c r="LJ21" t="s">
        <v>608</v>
      </c>
      <c r="LK21" t="s">
        <v>607</v>
      </c>
      <c r="LL21">
        <v>28150</v>
      </c>
      <c r="LM21">
        <v>5036</v>
      </c>
      <c r="LN21" t="s">
        <v>610</v>
      </c>
      <c r="LO21">
        <v>7044879069</v>
      </c>
      <c r="LP21">
        <v>7044874856</v>
      </c>
      <c r="LQ21" s="1">
        <v>29000</v>
      </c>
      <c r="LR21">
        <v>18.25</v>
      </c>
      <c r="LT21" s="1">
        <v>3597</v>
      </c>
      <c r="LU21">
        <v>104</v>
      </c>
      <c r="LX21">
        <v>2</v>
      </c>
      <c r="LY21" t="s">
        <v>616</v>
      </c>
      <c r="LZ21">
        <v>0</v>
      </c>
      <c r="MA21" t="s">
        <v>363</v>
      </c>
      <c r="MB21">
        <v>50</v>
      </c>
      <c r="MC21">
        <v>50</v>
      </c>
      <c r="ME21" s="574">
        <v>5.26</v>
      </c>
      <c r="MF21" s="574">
        <v>3.74</v>
      </c>
      <c r="MG21" s="574">
        <v>0.38</v>
      </c>
      <c r="MH21" s="574">
        <v>29.76</v>
      </c>
      <c r="MI21" s="574">
        <v>21.19</v>
      </c>
      <c r="MJ21" s="574">
        <v>2.15</v>
      </c>
      <c r="MK21" s="574">
        <v>6.7</v>
      </c>
      <c r="ML21" s="574">
        <v>4.7699999999999996</v>
      </c>
      <c r="MM21" s="574">
        <v>0.48</v>
      </c>
      <c r="MN21" s="574">
        <v>22.26</v>
      </c>
      <c r="MO21" s="574">
        <v>15.84</v>
      </c>
      <c r="MP21" s="574">
        <v>1.61</v>
      </c>
      <c r="MQ21" s="574">
        <v>69.25</v>
      </c>
      <c r="MR21" s="574">
        <v>49.3</v>
      </c>
      <c r="MS21" s="574">
        <v>5.01</v>
      </c>
      <c r="MT21" s="574">
        <v>15.29</v>
      </c>
      <c r="MU21" s="574">
        <v>10.88</v>
      </c>
      <c r="MV21" s="574">
        <v>1.1100000000000001</v>
      </c>
      <c r="MW21" s="1">
        <v>2685</v>
      </c>
      <c r="MX21" s="1">
        <v>16333</v>
      </c>
      <c r="MY21" s="1">
        <v>16333</v>
      </c>
      <c r="MZ21" s="1">
        <v>8914</v>
      </c>
      <c r="NA21" s="1">
        <v>54230</v>
      </c>
      <c r="NB21" s="1">
        <v>54230</v>
      </c>
      <c r="NC21" s="1">
        <v>69147</v>
      </c>
      <c r="ND21" s="1">
        <v>69147</v>
      </c>
      <c r="NE21">
        <v>1.21</v>
      </c>
      <c r="NF21" s="1">
        <v>11367</v>
      </c>
      <c r="NG21">
        <v>5.46</v>
      </c>
      <c r="NH21">
        <v>2.379</v>
      </c>
      <c r="NI21">
        <v>1.87</v>
      </c>
      <c r="NJ21">
        <v>381.08</v>
      </c>
      <c r="NK21">
        <v>392.98</v>
      </c>
      <c r="NL21">
        <v>0.56189999999999996</v>
      </c>
      <c r="NM21">
        <v>0.81799999999999995</v>
      </c>
      <c r="NN21">
        <v>0.42</v>
      </c>
      <c r="NO21">
        <v>0.18</v>
      </c>
      <c r="NP21">
        <v>0.16</v>
      </c>
      <c r="NQ21">
        <v>0.17</v>
      </c>
      <c r="NR21">
        <v>0.33</v>
      </c>
      <c r="NS21">
        <v>0.01</v>
      </c>
      <c r="NT21">
        <v>0.17</v>
      </c>
      <c r="NU21" s="574">
        <v>8.9</v>
      </c>
      <c r="NV21">
        <v>1.9710000000000001</v>
      </c>
      <c r="NW21">
        <v>0</v>
      </c>
      <c r="NX21">
        <v>1E-3</v>
      </c>
      <c r="NY21">
        <v>0.57899999999999996</v>
      </c>
      <c r="NZ21">
        <v>1E-3</v>
      </c>
      <c r="OA21">
        <v>8.1900000000000001E-2</v>
      </c>
      <c r="OB21">
        <v>0.49809999999999999</v>
      </c>
      <c r="OC21">
        <v>2.484</v>
      </c>
      <c r="OD21">
        <v>1.2</v>
      </c>
      <c r="OE21">
        <v>0.1749</v>
      </c>
      <c r="OF21" s="2">
        <v>1378.838</v>
      </c>
      <c r="OG21">
        <v>2.101</v>
      </c>
      <c r="OH21" s="574">
        <v>2.7</v>
      </c>
      <c r="OI21">
        <v>236</v>
      </c>
      <c r="OJ21">
        <v>97</v>
      </c>
      <c r="OK21" s="574">
        <v>12.51</v>
      </c>
      <c r="OL21" s="574">
        <v>0.9</v>
      </c>
      <c r="OM21" s="574">
        <v>0.77</v>
      </c>
      <c r="ON21">
        <v>0.20930000000000001</v>
      </c>
      <c r="OO21">
        <v>3.44E-2</v>
      </c>
      <c r="OP21">
        <v>0.41620000000000001</v>
      </c>
      <c r="OQ21" s="574">
        <v>1.61</v>
      </c>
      <c r="OR21" s="574">
        <v>9.51</v>
      </c>
      <c r="OS21" s="574">
        <v>0.78</v>
      </c>
      <c r="OT21" s="574">
        <v>0.6</v>
      </c>
      <c r="OU21" s="574">
        <v>12.51</v>
      </c>
      <c r="OV21">
        <v>269</v>
      </c>
      <c r="OW21">
        <v>277</v>
      </c>
      <c r="OX21">
        <v>1.28</v>
      </c>
      <c r="OY21" s="1">
        <v>3989</v>
      </c>
      <c r="OZ21">
        <v>45.23</v>
      </c>
      <c r="PA21" s="1">
        <v>3129</v>
      </c>
      <c r="PB21">
        <v>13.62</v>
      </c>
      <c r="PC21">
        <v>57.67</v>
      </c>
      <c r="PD21">
        <v>0.3</v>
      </c>
      <c r="PE21">
        <v>942</v>
      </c>
      <c r="PF21">
        <v>0.83</v>
      </c>
      <c r="PG21" s="574">
        <v>0.48</v>
      </c>
      <c r="PH21">
        <v>1.06</v>
      </c>
      <c r="PI21">
        <v>4.12</v>
      </c>
      <c r="PJ21">
        <v>5.66</v>
      </c>
      <c r="PK21" s="574">
        <v>6.7</v>
      </c>
      <c r="PL21">
        <v>23.06</v>
      </c>
      <c r="PM21" s="4">
        <v>42539</v>
      </c>
      <c r="PN21" s="4">
        <v>30886</v>
      </c>
      <c r="PO21">
        <v>8.7999999999999995E-2</v>
      </c>
      <c r="PP21">
        <v>0.3725</v>
      </c>
      <c r="PQ21">
        <v>0.11219999999999999</v>
      </c>
      <c r="PR21">
        <v>1.4500000000000001E-2</v>
      </c>
      <c r="PS21">
        <v>6.1199999999999997E-2</v>
      </c>
      <c r="PT21">
        <v>1.84E-2</v>
      </c>
      <c r="PU21" s="3">
        <v>1</v>
      </c>
      <c r="PV21" s="3">
        <v>0.16439999999999999</v>
      </c>
      <c r="PW21" s="3">
        <v>0.83560000000000001</v>
      </c>
      <c r="PX21" s="3">
        <v>0.27389999999999998</v>
      </c>
      <c r="PY21" s="3">
        <v>0.72609999999999997</v>
      </c>
      <c r="PZ21" s="3">
        <v>7.2300000000000003E-2</v>
      </c>
      <c r="QA21" s="3">
        <v>6.3E-3</v>
      </c>
      <c r="QB21" s="3">
        <v>0.19500000000000001</v>
      </c>
      <c r="QC21" s="3">
        <v>4.4000000000000003E-3</v>
      </c>
      <c r="QD21" s="3">
        <v>0.21590000000000001</v>
      </c>
      <c r="QE21" s="3">
        <v>6.1600000000000002E-2</v>
      </c>
      <c r="QF21" s="3">
        <v>0.51680000000000004</v>
      </c>
      <c r="QG21" s="3">
        <v>0.71189999999999998</v>
      </c>
      <c r="QH21" s="3">
        <v>6.2399999999999997E-2</v>
      </c>
      <c r="QI21" s="3">
        <v>0.76070000000000004</v>
      </c>
      <c r="QJ21" s="3">
        <v>4.8300000000000003E-2</v>
      </c>
      <c r="QK21" s="3">
        <v>0.12859999999999999</v>
      </c>
      <c r="QL21" s="4">
        <v>11654</v>
      </c>
      <c r="QM21">
        <v>4.4400000000000004</v>
      </c>
      <c r="QN21" s="1">
        <v>29068</v>
      </c>
      <c r="QO21" s="1">
        <v>29068</v>
      </c>
      <c r="QP21" s="1">
        <v>4778</v>
      </c>
      <c r="QQ21" s="3">
        <v>0.8528</v>
      </c>
      <c r="QR21" s="3">
        <v>8.6699999999999999E-2</v>
      </c>
      <c r="QS21" s="3">
        <v>6.0400000000000002E-2</v>
      </c>
      <c r="QT21" s="3">
        <v>0.16439999999999999</v>
      </c>
      <c r="QU21">
        <v>0.37</v>
      </c>
      <c r="QV21">
        <v>0.98</v>
      </c>
      <c r="QW21">
        <v>0.27</v>
      </c>
      <c r="QX21">
        <v>30</v>
      </c>
      <c r="QY21">
        <v>3.09</v>
      </c>
      <c r="QZ21">
        <v>44</v>
      </c>
      <c r="RA21">
        <v>2.63</v>
      </c>
      <c r="RB21">
        <v>0.19</v>
      </c>
      <c r="RC21">
        <v>0.19</v>
      </c>
    </row>
    <row r="22" spans="1:471" x14ac:dyDescent="0.25">
      <c r="A22" t="s">
        <v>617</v>
      </c>
      <c r="B22">
        <v>11664</v>
      </c>
      <c r="C22" t="s">
        <v>1754</v>
      </c>
      <c r="D22" t="s">
        <v>1754</v>
      </c>
      <c r="E22" t="s">
        <v>1754</v>
      </c>
      <c r="F22" t="s">
        <v>1755</v>
      </c>
      <c r="G22" t="s">
        <v>1755</v>
      </c>
      <c r="H22" t="s">
        <v>618</v>
      </c>
      <c r="I22" t="s">
        <v>342</v>
      </c>
      <c r="J22" t="s">
        <v>343</v>
      </c>
      <c r="K22" t="s">
        <v>344</v>
      </c>
      <c r="L22" t="s">
        <v>345</v>
      </c>
      <c r="M22" t="s">
        <v>346</v>
      </c>
      <c r="N22" t="s">
        <v>347</v>
      </c>
      <c r="O22" s="1">
        <v>57206</v>
      </c>
      <c r="P22" t="s">
        <v>348</v>
      </c>
      <c r="S22">
        <v>34</v>
      </c>
      <c r="U22">
        <v>397</v>
      </c>
      <c r="W22">
        <v>-1</v>
      </c>
      <c r="AC22" t="s">
        <v>619</v>
      </c>
      <c r="AD22" t="s">
        <v>620</v>
      </c>
      <c r="AE22">
        <v>28472</v>
      </c>
      <c r="AF22">
        <v>3977</v>
      </c>
      <c r="AG22" t="s">
        <v>619</v>
      </c>
      <c r="AH22" t="s">
        <v>620</v>
      </c>
      <c r="AI22">
        <v>28472</v>
      </c>
      <c r="AJ22">
        <v>1</v>
      </c>
      <c r="AK22" t="s">
        <v>621</v>
      </c>
      <c r="AM22" t="s">
        <v>0</v>
      </c>
      <c r="AN22" t="s">
        <v>622</v>
      </c>
      <c r="AO22" t="s">
        <v>623</v>
      </c>
      <c r="AP22">
        <v>9106423116</v>
      </c>
      <c r="AQ22" t="s">
        <v>624</v>
      </c>
      <c r="AR22" t="s">
        <v>625</v>
      </c>
      <c r="AS22" t="s">
        <v>1906</v>
      </c>
      <c r="AT22" t="s">
        <v>1</v>
      </c>
      <c r="AU22" t="s">
        <v>626</v>
      </c>
      <c r="AV22" t="s">
        <v>624</v>
      </c>
      <c r="AW22" t="s">
        <v>1907</v>
      </c>
      <c r="AX22" t="s">
        <v>627</v>
      </c>
      <c r="AY22">
        <v>0</v>
      </c>
      <c r="AZ22">
        <v>0</v>
      </c>
      <c r="BA22">
        <v>0</v>
      </c>
      <c r="BB22" s="573">
        <v>42186</v>
      </c>
      <c r="BC22" s="573">
        <v>42551</v>
      </c>
      <c r="BD22">
        <v>1</v>
      </c>
      <c r="BE22">
        <v>5</v>
      </c>
      <c r="BF22">
        <v>1</v>
      </c>
      <c r="BG22">
        <v>2</v>
      </c>
      <c r="BH22">
        <v>9</v>
      </c>
      <c r="BJ22" s="1">
        <v>13244</v>
      </c>
      <c r="BK22">
        <v>1</v>
      </c>
      <c r="BL22">
        <v>0</v>
      </c>
      <c r="BM22">
        <v>1</v>
      </c>
      <c r="BN22">
        <v>25</v>
      </c>
      <c r="BO22">
        <v>26</v>
      </c>
      <c r="BP22" s="3">
        <v>3.85E-2</v>
      </c>
      <c r="BQ22">
        <v>45</v>
      </c>
      <c r="BR22" s="4">
        <v>54989</v>
      </c>
      <c r="DW22" s="4">
        <v>0</v>
      </c>
      <c r="DX22" s="4">
        <v>1287164</v>
      </c>
      <c r="DY22" s="4">
        <v>1287164</v>
      </c>
      <c r="DZ22" s="4">
        <v>115602</v>
      </c>
      <c r="EA22" s="4">
        <v>50000</v>
      </c>
      <c r="EB22" s="4">
        <v>165602</v>
      </c>
      <c r="EC22" s="4">
        <v>0</v>
      </c>
      <c r="ED22" s="4">
        <v>0</v>
      </c>
      <c r="EE22" s="4">
        <v>0</v>
      </c>
      <c r="EF22" s="4">
        <v>0</v>
      </c>
      <c r="EG22" s="4">
        <v>1452766</v>
      </c>
      <c r="EH22" s="4">
        <v>793086</v>
      </c>
      <c r="EI22" s="4">
        <v>360630</v>
      </c>
      <c r="EJ22" s="4">
        <v>1153716</v>
      </c>
      <c r="EK22" s="4">
        <v>91500</v>
      </c>
      <c r="EL22" s="4">
        <v>6000</v>
      </c>
      <c r="EM22" s="4">
        <v>6100</v>
      </c>
      <c r="EN22" s="4">
        <v>103600</v>
      </c>
      <c r="EO22" s="4">
        <v>145450</v>
      </c>
      <c r="EP22" s="4">
        <v>1402766</v>
      </c>
      <c r="EQ22" s="4">
        <v>50000</v>
      </c>
      <c r="ER22" s="3">
        <v>3.44E-2</v>
      </c>
      <c r="ES22" s="4">
        <v>0</v>
      </c>
      <c r="ET22" s="4">
        <v>0</v>
      </c>
      <c r="EU22" s="4">
        <v>0</v>
      </c>
      <c r="EV22" s="4">
        <v>0</v>
      </c>
      <c r="EW22" s="4">
        <v>0</v>
      </c>
      <c r="EX22" s="4">
        <v>0</v>
      </c>
      <c r="EY22" s="1">
        <v>11609</v>
      </c>
      <c r="EZ22" s="1">
        <v>234810</v>
      </c>
      <c r="FA22" s="1">
        <v>66840</v>
      </c>
      <c r="FC22" s="1">
        <v>38151</v>
      </c>
      <c r="FD22" s="1">
        <v>51772</v>
      </c>
      <c r="FF22" s="1">
        <v>15285</v>
      </c>
      <c r="FG22" s="1">
        <v>118612</v>
      </c>
      <c r="FI22" s="1">
        <v>53436</v>
      </c>
      <c r="FJ22" s="1">
        <v>172048</v>
      </c>
      <c r="FK22">
        <v>0</v>
      </c>
      <c r="FL22">
        <v>351</v>
      </c>
      <c r="FN22" s="1">
        <v>172048</v>
      </c>
      <c r="FO22" s="1">
        <v>2086</v>
      </c>
      <c r="FP22" s="1">
        <v>6318</v>
      </c>
      <c r="FQ22">
        <v>0</v>
      </c>
      <c r="FR22">
        <v>0</v>
      </c>
      <c r="FS22">
        <v>74</v>
      </c>
      <c r="FT22">
        <v>74</v>
      </c>
      <c r="FU22" s="1">
        <v>26725</v>
      </c>
      <c r="FV22" s="1">
        <v>2022</v>
      </c>
      <c r="FW22">
        <v>0</v>
      </c>
      <c r="GC22" s="1">
        <v>23798</v>
      </c>
      <c r="GD22" s="1">
        <v>1183</v>
      </c>
      <c r="GE22">
        <v>205</v>
      </c>
      <c r="GK22">
        <v>0</v>
      </c>
      <c r="GL22">
        <v>0</v>
      </c>
      <c r="GM22">
        <v>0</v>
      </c>
      <c r="GN22">
        <v>0</v>
      </c>
      <c r="GO22" s="1">
        <v>50523</v>
      </c>
      <c r="GP22" s="1">
        <v>3205</v>
      </c>
      <c r="GQ22">
        <v>205</v>
      </c>
      <c r="GR22">
        <v>0</v>
      </c>
      <c r="GS22">
        <v>23</v>
      </c>
      <c r="GU22" s="1">
        <v>52500</v>
      </c>
      <c r="GW22" s="1">
        <v>19728</v>
      </c>
      <c r="GX22" s="1">
        <v>12483</v>
      </c>
      <c r="GZ22" s="1">
        <v>4284</v>
      </c>
      <c r="HA22" s="1">
        <v>64983</v>
      </c>
      <c r="HC22" s="1">
        <v>24012</v>
      </c>
      <c r="HD22" s="1">
        <v>88995</v>
      </c>
      <c r="HE22" s="1">
        <v>1810</v>
      </c>
      <c r="HF22" s="1">
        <v>90805</v>
      </c>
      <c r="HG22" s="1">
        <v>2003</v>
      </c>
      <c r="HH22" s="1">
        <v>11769</v>
      </c>
      <c r="HI22">
        <v>0</v>
      </c>
      <c r="HJ22">
        <v>0</v>
      </c>
      <c r="HK22" s="1">
        <v>13772</v>
      </c>
      <c r="HL22" s="1">
        <v>104577</v>
      </c>
      <c r="HM22">
        <v>10</v>
      </c>
      <c r="HN22" s="1">
        <v>2527</v>
      </c>
      <c r="HO22" s="1">
        <v>2537</v>
      </c>
      <c r="HP22">
        <v>10</v>
      </c>
      <c r="HQ22">
        <v>462</v>
      </c>
      <c r="HR22">
        <v>472</v>
      </c>
      <c r="HS22">
        <v>0</v>
      </c>
      <c r="HT22">
        <v>8</v>
      </c>
      <c r="HU22">
        <v>8</v>
      </c>
      <c r="HV22">
        <v>0</v>
      </c>
      <c r="HW22" s="1">
        <v>3017</v>
      </c>
      <c r="HX22" s="1">
        <v>3641</v>
      </c>
      <c r="HY22">
        <v>0</v>
      </c>
      <c r="HZ22" s="1">
        <v>3641</v>
      </c>
      <c r="IA22" s="1">
        <v>6658</v>
      </c>
      <c r="IB22" s="1">
        <v>2475</v>
      </c>
      <c r="IC22" s="1">
        <v>14252</v>
      </c>
      <c r="ID22" s="1">
        <v>107594</v>
      </c>
      <c r="IE22" s="1">
        <v>107594</v>
      </c>
      <c r="IF22" s="1">
        <v>111235</v>
      </c>
      <c r="IG22" s="1">
        <v>25501</v>
      </c>
      <c r="IH22">
        <v>0</v>
      </c>
      <c r="IL22" s="3">
        <v>2.7799999999999998E-2</v>
      </c>
      <c r="IM22" s="3">
        <v>1.5E-3</v>
      </c>
      <c r="IN22" s="3">
        <v>0.22969999999999999</v>
      </c>
      <c r="IO22" s="3">
        <v>0</v>
      </c>
      <c r="IP22" s="3">
        <v>0.2152</v>
      </c>
      <c r="IQ22" s="3">
        <v>2.9999999999999997E-4</v>
      </c>
      <c r="IR22" s="3">
        <v>0.73270000000000002</v>
      </c>
      <c r="IS22" s="3">
        <v>2.2499999999999999E-2</v>
      </c>
      <c r="IT22" s="3">
        <v>0.23699999999999999</v>
      </c>
      <c r="IU22" s="1">
        <v>29868</v>
      </c>
      <c r="IW22" s="1">
        <v>29868</v>
      </c>
      <c r="IX22" s="3">
        <v>0.52210000000000001</v>
      </c>
      <c r="IY22" s="1">
        <v>98644</v>
      </c>
      <c r="JA22">
        <v>26</v>
      </c>
      <c r="JB22">
        <v>27</v>
      </c>
      <c r="JC22">
        <v>127</v>
      </c>
      <c r="JD22">
        <v>15</v>
      </c>
      <c r="JE22">
        <v>16</v>
      </c>
      <c r="JF22">
        <v>743</v>
      </c>
      <c r="JG22">
        <v>41</v>
      </c>
      <c r="JH22">
        <v>43</v>
      </c>
      <c r="JI22">
        <v>870</v>
      </c>
      <c r="JJ22">
        <v>954</v>
      </c>
      <c r="JK22">
        <v>180</v>
      </c>
      <c r="JL22">
        <v>774</v>
      </c>
      <c r="JM22">
        <v>791</v>
      </c>
      <c r="JN22">
        <v>643</v>
      </c>
      <c r="JO22" s="1">
        <v>1269</v>
      </c>
      <c r="JP22">
        <v>211</v>
      </c>
      <c r="JQ22">
        <v>208</v>
      </c>
      <c r="JR22" s="1">
        <v>3381</v>
      </c>
      <c r="JS22" s="1">
        <v>1002</v>
      </c>
      <c r="JT22">
        <v>851</v>
      </c>
      <c r="JU22" s="1">
        <v>4650</v>
      </c>
      <c r="JV22" s="1">
        <v>6503</v>
      </c>
      <c r="JW22" s="1">
        <v>2703</v>
      </c>
      <c r="JX22" s="1">
        <v>3800</v>
      </c>
      <c r="JY22">
        <v>6.82</v>
      </c>
      <c r="JZ22">
        <v>24.44</v>
      </c>
      <c r="KA22">
        <v>5.34</v>
      </c>
      <c r="KB22">
        <v>0.15</v>
      </c>
      <c r="KC22">
        <v>0.72</v>
      </c>
      <c r="KD22">
        <v>11</v>
      </c>
      <c r="KE22">
        <v>71</v>
      </c>
      <c r="KF22">
        <v>23</v>
      </c>
      <c r="KG22">
        <v>146</v>
      </c>
      <c r="KN22" s="1">
        <v>43078</v>
      </c>
      <c r="KO22" s="1">
        <v>12851</v>
      </c>
      <c r="KP22" s="1">
        <v>3212</v>
      </c>
      <c r="KR22">
        <v>42</v>
      </c>
      <c r="KS22">
        <v>386</v>
      </c>
      <c r="KT22">
        <v>1</v>
      </c>
      <c r="KU22">
        <v>13</v>
      </c>
      <c r="KV22">
        <v>47</v>
      </c>
      <c r="KW22">
        <v>92</v>
      </c>
      <c r="KX22" s="1">
        <v>53287</v>
      </c>
      <c r="LA22" s="1">
        <v>13380</v>
      </c>
      <c r="LD22" t="s">
        <v>621</v>
      </c>
      <c r="LE22" t="s">
        <v>379</v>
      </c>
      <c r="LF22" t="s">
        <v>619</v>
      </c>
      <c r="LG22" t="s">
        <v>620</v>
      </c>
      <c r="LH22">
        <v>28472</v>
      </c>
      <c r="LI22">
        <v>3198</v>
      </c>
      <c r="LJ22" t="s">
        <v>619</v>
      </c>
      <c r="LK22" t="s">
        <v>620</v>
      </c>
      <c r="LL22">
        <v>28472</v>
      </c>
      <c r="LM22">
        <v>3198</v>
      </c>
      <c r="LN22" t="s">
        <v>622</v>
      </c>
      <c r="LO22">
        <v>9106423116</v>
      </c>
      <c r="LP22">
        <v>9106423839</v>
      </c>
      <c r="LQ22" s="1">
        <v>24286</v>
      </c>
      <c r="LR22">
        <v>26.5</v>
      </c>
      <c r="LT22" s="1">
        <v>13244</v>
      </c>
      <c r="LU22">
        <v>364</v>
      </c>
      <c r="LX22">
        <v>7</v>
      </c>
      <c r="LY22" t="s">
        <v>628</v>
      </c>
      <c r="LZ22">
        <v>0</v>
      </c>
      <c r="MA22" t="s">
        <v>363</v>
      </c>
      <c r="MB22">
        <v>10</v>
      </c>
      <c r="MC22">
        <v>5</v>
      </c>
      <c r="ME22" s="574">
        <v>13.04</v>
      </c>
      <c r="MF22" s="574">
        <v>10.72</v>
      </c>
      <c r="MG22" s="574">
        <v>0.96</v>
      </c>
      <c r="MH22" s="574">
        <v>46.97</v>
      </c>
      <c r="MI22" s="574">
        <v>38.630000000000003</v>
      </c>
      <c r="MJ22" s="574">
        <v>3.47</v>
      </c>
      <c r="MK22" s="574">
        <v>14.22</v>
      </c>
      <c r="ML22" s="574">
        <v>11.7</v>
      </c>
      <c r="MM22" s="574">
        <v>1.05</v>
      </c>
      <c r="MN22" s="574">
        <v>32.56</v>
      </c>
      <c r="MO22" s="574">
        <v>26.78</v>
      </c>
      <c r="MP22" s="574">
        <v>2.4</v>
      </c>
      <c r="MQ22" s="574">
        <v>215.71</v>
      </c>
      <c r="MR22" s="574">
        <v>177.41</v>
      </c>
      <c r="MS22" s="574">
        <v>15.93</v>
      </c>
      <c r="MT22" s="574">
        <v>55.01</v>
      </c>
      <c r="MU22" s="574">
        <v>45.24</v>
      </c>
      <c r="MV22" s="574">
        <v>4.0599999999999996</v>
      </c>
      <c r="MW22" s="1">
        <v>1657</v>
      </c>
      <c r="MX22" s="1">
        <v>43078</v>
      </c>
      <c r="MY22" s="1">
        <v>43078</v>
      </c>
      <c r="MZ22" s="1">
        <v>3794</v>
      </c>
      <c r="NA22" s="1">
        <v>98644</v>
      </c>
      <c r="NB22" s="1">
        <v>98644</v>
      </c>
      <c r="NC22" s="1">
        <v>107594</v>
      </c>
      <c r="ND22" s="1">
        <v>107594</v>
      </c>
      <c r="NE22">
        <v>0.46</v>
      </c>
      <c r="NF22" s="1">
        <v>4138</v>
      </c>
      <c r="NG22">
        <v>1.99</v>
      </c>
      <c r="NH22">
        <v>1.881</v>
      </c>
      <c r="NI22">
        <v>1.72</v>
      </c>
      <c r="NJ22">
        <v>0.03</v>
      </c>
      <c r="NK22">
        <v>0.44</v>
      </c>
      <c r="NL22">
        <v>0.753</v>
      </c>
      <c r="NM22">
        <v>0.44579999999999997</v>
      </c>
      <c r="NN22">
        <v>0.52</v>
      </c>
      <c r="NO22">
        <v>0.11</v>
      </c>
      <c r="NP22">
        <v>0</v>
      </c>
      <c r="NQ22">
        <v>0</v>
      </c>
      <c r="NR22">
        <v>0.93</v>
      </c>
      <c r="NS22">
        <v>0.02</v>
      </c>
      <c r="NT22">
        <v>0.08</v>
      </c>
      <c r="NU22" s="574">
        <v>20.170000000000002</v>
      </c>
      <c r="NV22">
        <v>4.1050000000000004</v>
      </c>
      <c r="NW22">
        <v>0</v>
      </c>
      <c r="NX22">
        <v>6.0000000000000001E-3</v>
      </c>
      <c r="NY22">
        <v>0.88300000000000001</v>
      </c>
      <c r="NZ22">
        <v>1E-3</v>
      </c>
      <c r="OA22">
        <v>3.3500000000000002E-2</v>
      </c>
      <c r="OB22">
        <v>0.87050000000000005</v>
      </c>
      <c r="OC22">
        <v>11.752000000000001</v>
      </c>
      <c r="OD22">
        <v>3.008</v>
      </c>
      <c r="OE22">
        <v>0.437</v>
      </c>
      <c r="OF22" s="2">
        <v>1691.5429999999999</v>
      </c>
      <c r="OG22">
        <v>2.4780000000000002</v>
      </c>
      <c r="OH22" s="574">
        <v>2.54</v>
      </c>
      <c r="OI22">
        <v>177</v>
      </c>
      <c r="OJ22">
        <v>218</v>
      </c>
      <c r="OK22" s="574">
        <v>24.52</v>
      </c>
      <c r="OL22" s="574">
        <v>1.81</v>
      </c>
      <c r="OM22" s="574">
        <v>1.6</v>
      </c>
      <c r="ON22">
        <v>0.45450000000000002</v>
      </c>
      <c r="OO22">
        <v>1.7500000000000002E-2</v>
      </c>
      <c r="OP22">
        <v>0.83699999999999997</v>
      </c>
      <c r="OQ22" s="574">
        <v>2.89</v>
      </c>
      <c r="OR22" s="574">
        <v>22.5</v>
      </c>
      <c r="OS22" s="574">
        <v>0</v>
      </c>
      <c r="OT22" s="574">
        <v>0</v>
      </c>
      <c r="OU22" s="574">
        <v>25.4</v>
      </c>
      <c r="OV22">
        <v>0</v>
      </c>
      <c r="OW22">
        <v>0</v>
      </c>
      <c r="OX22">
        <v>1.0900000000000001</v>
      </c>
      <c r="OY22" s="1">
        <v>2069</v>
      </c>
      <c r="OZ22">
        <v>7.45</v>
      </c>
      <c r="PA22" s="1">
        <v>1897</v>
      </c>
      <c r="PB22">
        <v>3.25</v>
      </c>
      <c r="PC22">
        <v>8.1199999999999992</v>
      </c>
      <c r="PD22">
        <v>0.44</v>
      </c>
      <c r="PE22">
        <v>828</v>
      </c>
      <c r="PF22">
        <v>2.1800000000000002</v>
      </c>
      <c r="PG22" s="574">
        <v>1.05</v>
      </c>
      <c r="PH22">
        <v>2.38</v>
      </c>
      <c r="PI22">
        <v>23.15</v>
      </c>
      <c r="PJ22">
        <v>3.6</v>
      </c>
      <c r="PK22" s="574">
        <v>14.22</v>
      </c>
      <c r="PL22">
        <v>28.3</v>
      </c>
      <c r="PM22" s="4">
        <v>44374</v>
      </c>
      <c r="PN22" s="4">
        <v>30503</v>
      </c>
      <c r="PO22">
        <v>0.2417</v>
      </c>
      <c r="PP22">
        <v>0.60360000000000003</v>
      </c>
      <c r="PQ22">
        <v>0.2636</v>
      </c>
      <c r="PR22">
        <v>9.2999999999999992E-3</v>
      </c>
      <c r="PS22">
        <v>2.3199999999999998E-2</v>
      </c>
      <c r="PT22">
        <v>1.01E-2</v>
      </c>
      <c r="PU22" s="3">
        <v>1</v>
      </c>
      <c r="PV22" s="3">
        <v>3.85E-2</v>
      </c>
      <c r="PW22" s="3">
        <v>0.96150000000000002</v>
      </c>
      <c r="PX22" s="3">
        <v>0.31259999999999999</v>
      </c>
      <c r="PY22" s="3">
        <v>0.68740000000000001</v>
      </c>
      <c r="PZ22" s="3">
        <v>7.3899999999999993E-2</v>
      </c>
      <c r="QA22" s="3">
        <v>4.3E-3</v>
      </c>
      <c r="QB22" s="3">
        <v>0.2571</v>
      </c>
      <c r="QC22" s="3">
        <v>4.3E-3</v>
      </c>
      <c r="QD22" s="3">
        <v>0.1037</v>
      </c>
      <c r="QE22" s="3">
        <v>6.5199999999999994E-2</v>
      </c>
      <c r="QF22" s="3">
        <v>0.56540000000000001</v>
      </c>
      <c r="QG22" s="3">
        <v>0.82250000000000001</v>
      </c>
      <c r="QH22" s="3">
        <v>0</v>
      </c>
      <c r="QI22" s="3">
        <v>0.88600000000000001</v>
      </c>
      <c r="QJ22" s="3">
        <v>0</v>
      </c>
      <c r="QK22" s="3">
        <v>0.114</v>
      </c>
      <c r="QL22" s="4">
        <v>13870</v>
      </c>
      <c r="QM22">
        <v>3.3</v>
      </c>
      <c r="QN22" s="1">
        <v>57206</v>
      </c>
      <c r="QO22" s="1">
        <v>57206</v>
      </c>
      <c r="QP22" s="1">
        <v>2200</v>
      </c>
      <c r="QQ22" s="3">
        <v>0.88319999999999999</v>
      </c>
      <c r="QR22" s="3">
        <v>5.79E-2</v>
      </c>
      <c r="QS22" s="3">
        <v>5.8900000000000001E-2</v>
      </c>
      <c r="QT22" s="3">
        <v>3.85E-2</v>
      </c>
      <c r="QU22">
        <v>0.14000000000000001</v>
      </c>
      <c r="QV22">
        <v>0.3</v>
      </c>
      <c r="QW22">
        <v>0.09</v>
      </c>
      <c r="QX22">
        <v>18</v>
      </c>
      <c r="QY22">
        <v>1.18</v>
      </c>
      <c r="QZ22">
        <v>18</v>
      </c>
      <c r="RA22">
        <v>1.04</v>
      </c>
      <c r="RB22">
        <v>0.08</v>
      </c>
      <c r="RC22">
        <v>7.0000000000000007E-2</v>
      </c>
    </row>
    <row r="23" spans="1:471" x14ac:dyDescent="0.25">
      <c r="A23" t="s">
        <v>629</v>
      </c>
      <c r="B23">
        <v>11645</v>
      </c>
      <c r="C23" t="s">
        <v>1754</v>
      </c>
      <c r="D23" t="s">
        <v>1754</v>
      </c>
      <c r="E23" t="s">
        <v>1754</v>
      </c>
      <c r="F23" t="s">
        <v>1755</v>
      </c>
      <c r="G23" t="s">
        <v>1755</v>
      </c>
      <c r="H23" t="s">
        <v>630</v>
      </c>
      <c r="I23" t="s">
        <v>342</v>
      </c>
      <c r="J23" t="s">
        <v>366</v>
      </c>
      <c r="K23" t="s">
        <v>344</v>
      </c>
      <c r="L23" t="s">
        <v>345</v>
      </c>
      <c r="M23" t="s">
        <v>367</v>
      </c>
      <c r="N23" t="s">
        <v>347</v>
      </c>
      <c r="O23" s="1">
        <v>186691</v>
      </c>
      <c r="P23" t="s">
        <v>348</v>
      </c>
      <c r="Q23" s="1">
        <v>1667</v>
      </c>
      <c r="R23">
        <v>218</v>
      </c>
      <c r="S23">
        <v>247</v>
      </c>
      <c r="T23">
        <v>62</v>
      </c>
      <c r="U23" s="1">
        <v>8358</v>
      </c>
      <c r="V23">
        <v>427</v>
      </c>
      <c r="W23" s="1">
        <v>46473</v>
      </c>
      <c r="X23" s="1">
        <v>6099</v>
      </c>
      <c r="Y23" s="1">
        <v>931220</v>
      </c>
      <c r="Z23" s="1">
        <v>185194</v>
      </c>
      <c r="AC23" t="s">
        <v>631</v>
      </c>
      <c r="AD23" t="s">
        <v>632</v>
      </c>
      <c r="AE23">
        <v>28560</v>
      </c>
      <c r="AF23">
        <v>4098</v>
      </c>
      <c r="AG23" t="s">
        <v>631</v>
      </c>
      <c r="AH23" t="s">
        <v>632</v>
      </c>
      <c r="AI23">
        <v>28560</v>
      </c>
      <c r="AJ23">
        <v>2</v>
      </c>
      <c r="AK23" t="s">
        <v>633</v>
      </c>
      <c r="AM23" t="s">
        <v>372</v>
      </c>
      <c r="AN23" t="s">
        <v>634</v>
      </c>
      <c r="AO23" t="s">
        <v>635</v>
      </c>
      <c r="AP23">
        <v>2527282050</v>
      </c>
      <c r="AQ23" t="s">
        <v>637</v>
      </c>
      <c r="AR23" t="s">
        <v>638</v>
      </c>
      <c r="AS23" t="s">
        <v>1908</v>
      </c>
      <c r="AT23" t="s">
        <v>376</v>
      </c>
      <c r="AU23" t="s">
        <v>636</v>
      </c>
      <c r="AV23" t="s">
        <v>637</v>
      </c>
      <c r="AW23" t="s">
        <v>638</v>
      </c>
      <c r="AX23" t="s">
        <v>639</v>
      </c>
      <c r="AY23">
        <v>0</v>
      </c>
      <c r="AZ23">
        <v>0</v>
      </c>
      <c r="BA23">
        <v>0</v>
      </c>
      <c r="BB23" s="573">
        <v>42186</v>
      </c>
      <c r="BC23" s="573">
        <v>42551</v>
      </c>
      <c r="BD23">
        <v>0</v>
      </c>
      <c r="BE23">
        <v>10</v>
      </c>
      <c r="BF23">
        <v>0</v>
      </c>
      <c r="BG23">
        <v>2</v>
      </c>
      <c r="BH23">
        <v>12</v>
      </c>
      <c r="BJ23" s="1">
        <v>25816</v>
      </c>
      <c r="BK23">
        <v>2.98</v>
      </c>
      <c r="BL23">
        <v>5</v>
      </c>
      <c r="BM23">
        <v>7.98</v>
      </c>
      <c r="BN23">
        <v>62.37</v>
      </c>
      <c r="BO23">
        <v>70.349999999999994</v>
      </c>
      <c r="BP23" s="3">
        <v>4.24E-2</v>
      </c>
      <c r="BQ23" s="1">
        <v>4915</v>
      </c>
      <c r="BR23" s="4">
        <v>84074</v>
      </c>
      <c r="DW23" s="4">
        <v>166965</v>
      </c>
      <c r="DX23" s="4">
        <v>2676331</v>
      </c>
      <c r="DY23" s="4">
        <v>2843296</v>
      </c>
      <c r="DZ23" s="4">
        <v>382335</v>
      </c>
      <c r="EA23" s="4">
        <v>37000</v>
      </c>
      <c r="EB23" s="4">
        <v>419335</v>
      </c>
      <c r="EC23" s="4">
        <v>4499</v>
      </c>
      <c r="ED23" s="4">
        <v>0</v>
      </c>
      <c r="EE23" s="4">
        <v>4499</v>
      </c>
      <c r="EF23" s="4">
        <v>474732</v>
      </c>
      <c r="EG23" s="4">
        <v>3741862</v>
      </c>
      <c r="EH23" s="4">
        <v>1781176</v>
      </c>
      <c r="EI23" s="4">
        <v>619846</v>
      </c>
      <c r="EJ23" s="4">
        <v>2401022</v>
      </c>
      <c r="EK23" s="4">
        <v>185533</v>
      </c>
      <c r="EL23" s="4">
        <v>26283</v>
      </c>
      <c r="EM23" s="4">
        <v>38598</v>
      </c>
      <c r="EN23" s="4">
        <v>250414</v>
      </c>
      <c r="EO23" s="4">
        <v>611879</v>
      </c>
      <c r="EP23" s="4">
        <v>3263315</v>
      </c>
      <c r="EQ23" s="4">
        <v>478547</v>
      </c>
      <c r="ER23" s="3">
        <v>0.12790000000000001</v>
      </c>
      <c r="ES23" s="4">
        <v>0</v>
      </c>
      <c r="ET23" s="4">
        <v>0</v>
      </c>
      <c r="EU23" s="4">
        <v>0</v>
      </c>
      <c r="EV23" s="4">
        <v>0</v>
      </c>
      <c r="EW23" s="4">
        <v>0</v>
      </c>
      <c r="EX23" s="4">
        <v>0</v>
      </c>
      <c r="EY23" s="1">
        <v>36430</v>
      </c>
      <c r="EZ23" s="1">
        <v>381904</v>
      </c>
      <c r="FA23" s="1">
        <v>99745</v>
      </c>
      <c r="FB23" s="1">
        <v>9188</v>
      </c>
      <c r="FC23" s="1">
        <v>62476</v>
      </c>
      <c r="FD23" s="1">
        <v>99517</v>
      </c>
      <c r="FE23" s="1">
        <v>4221</v>
      </c>
      <c r="FF23" s="1">
        <v>34155</v>
      </c>
      <c r="FG23" s="1">
        <v>199262</v>
      </c>
      <c r="FH23" s="1">
        <v>13409</v>
      </c>
      <c r="FI23" s="1">
        <v>96631</v>
      </c>
      <c r="FJ23" s="1">
        <v>309302</v>
      </c>
      <c r="FK23" s="1">
        <v>6957</v>
      </c>
      <c r="FL23">
        <v>429</v>
      </c>
      <c r="FN23" s="1">
        <v>309302</v>
      </c>
      <c r="FO23" s="1">
        <v>12061</v>
      </c>
      <c r="FP23" s="1">
        <v>13833</v>
      </c>
      <c r="FQ23" s="1">
        <v>1468</v>
      </c>
      <c r="FR23">
        <v>13</v>
      </c>
      <c r="FS23">
        <v>74</v>
      </c>
      <c r="FT23">
        <v>87</v>
      </c>
      <c r="FU23" s="1">
        <v>26725</v>
      </c>
      <c r="FV23" s="1">
        <v>2022</v>
      </c>
      <c r="FW23">
        <v>0</v>
      </c>
      <c r="GK23">
        <v>504</v>
      </c>
      <c r="GL23" s="1">
        <v>8514</v>
      </c>
      <c r="GM23">
        <v>0</v>
      </c>
      <c r="GN23">
        <v>2</v>
      </c>
      <c r="GO23" s="1">
        <v>27229</v>
      </c>
      <c r="GP23" s="1">
        <v>10536</v>
      </c>
      <c r="GQ23">
        <v>0</v>
      </c>
      <c r="GR23">
        <v>2</v>
      </c>
      <c r="GS23">
        <v>125</v>
      </c>
      <c r="GU23" s="1">
        <v>181858</v>
      </c>
      <c r="GV23" s="1">
        <v>13968</v>
      </c>
      <c r="GW23" s="1">
        <v>123483</v>
      </c>
      <c r="GX23" s="1">
        <v>56133</v>
      </c>
      <c r="GY23" s="1">
        <v>4481</v>
      </c>
      <c r="GZ23" s="1">
        <v>30320</v>
      </c>
      <c r="HA23" s="1">
        <v>237991</v>
      </c>
      <c r="HB23" s="1">
        <v>18449</v>
      </c>
      <c r="HC23" s="1">
        <v>153803</v>
      </c>
      <c r="HD23" s="1">
        <v>410243</v>
      </c>
      <c r="HE23" s="1">
        <v>7057</v>
      </c>
      <c r="HF23" s="1">
        <v>441199</v>
      </c>
      <c r="HG23" s="1">
        <v>30201</v>
      </c>
      <c r="HH23" s="1">
        <v>20293</v>
      </c>
      <c r="HI23" s="1">
        <v>23899</v>
      </c>
      <c r="HJ23" s="1">
        <v>3233</v>
      </c>
      <c r="HK23" s="1">
        <v>53727</v>
      </c>
      <c r="HL23" s="1">
        <v>494926</v>
      </c>
      <c r="HM23">
        <v>404</v>
      </c>
      <c r="HN23" s="1">
        <v>2386</v>
      </c>
      <c r="HO23" s="1">
        <v>2790</v>
      </c>
      <c r="HP23" s="1">
        <v>2086</v>
      </c>
      <c r="HQ23" s="1">
        <v>7952</v>
      </c>
      <c r="HR23" s="1">
        <v>10038</v>
      </c>
      <c r="HS23">
        <v>0</v>
      </c>
      <c r="HT23">
        <v>0</v>
      </c>
      <c r="HU23">
        <v>0</v>
      </c>
      <c r="HV23">
        <v>0</v>
      </c>
      <c r="HW23" s="1">
        <v>12828</v>
      </c>
      <c r="HX23" s="1">
        <v>34160</v>
      </c>
      <c r="HY23" s="1">
        <v>66689</v>
      </c>
      <c r="HZ23" s="1">
        <v>100849</v>
      </c>
      <c r="IA23" s="1">
        <v>113677</v>
      </c>
      <c r="IB23" s="1">
        <v>40239</v>
      </c>
      <c r="IC23" s="1">
        <v>60532</v>
      </c>
      <c r="ID23" s="1">
        <v>507754</v>
      </c>
      <c r="IE23" s="1">
        <v>507754</v>
      </c>
      <c r="IF23" s="1">
        <v>608603</v>
      </c>
      <c r="IG23" s="1">
        <v>172252</v>
      </c>
      <c r="IH23">
        <v>406</v>
      </c>
      <c r="IK23">
        <v>1</v>
      </c>
      <c r="IL23" s="3">
        <v>3.6200000000000003E-2</v>
      </c>
      <c r="IM23" s="3">
        <v>1.1000000000000001E-3</v>
      </c>
      <c r="IN23" s="3">
        <v>9.8900000000000002E-2</v>
      </c>
      <c r="IO23" s="3">
        <v>0</v>
      </c>
      <c r="IP23" s="3">
        <v>7.1300000000000002E-2</v>
      </c>
      <c r="IQ23" s="3">
        <v>2.0000000000000001E-4</v>
      </c>
      <c r="IR23" s="3">
        <v>0.80989999999999995</v>
      </c>
      <c r="IS23" s="3">
        <v>5.9200000000000003E-2</v>
      </c>
      <c r="IT23" s="3">
        <v>0.3392</v>
      </c>
      <c r="IU23" s="1">
        <v>64640</v>
      </c>
      <c r="IV23" s="1">
        <v>14138</v>
      </c>
      <c r="IW23" s="1">
        <v>78778</v>
      </c>
      <c r="IX23" s="3">
        <v>0.42199999999999999</v>
      </c>
      <c r="IY23" s="1">
        <v>612486</v>
      </c>
      <c r="JA23">
        <v>545</v>
      </c>
      <c r="JB23">
        <v>288</v>
      </c>
      <c r="JC23" s="1">
        <v>1300</v>
      </c>
      <c r="JD23">
        <v>24</v>
      </c>
      <c r="JE23">
        <v>5</v>
      </c>
      <c r="JF23">
        <v>129</v>
      </c>
      <c r="JG23">
        <v>569</v>
      </c>
      <c r="JH23">
        <v>293</v>
      </c>
      <c r="JI23" s="1">
        <v>1429</v>
      </c>
      <c r="JJ23" s="1">
        <v>2291</v>
      </c>
      <c r="JK23" s="1">
        <v>2133</v>
      </c>
      <c r="JL23">
        <v>158</v>
      </c>
      <c r="JM23" s="1">
        <v>8948</v>
      </c>
      <c r="JN23" s="1">
        <v>3175</v>
      </c>
      <c r="JO23" s="1">
        <v>30494</v>
      </c>
      <c r="JP23">
        <v>563</v>
      </c>
      <c r="JQ23">
        <v>18</v>
      </c>
      <c r="JR23" s="1">
        <v>8454</v>
      </c>
      <c r="JS23" s="1">
        <v>9511</v>
      </c>
      <c r="JT23" s="1">
        <v>3193</v>
      </c>
      <c r="JU23" s="1">
        <v>38948</v>
      </c>
      <c r="JV23" s="1">
        <v>51652</v>
      </c>
      <c r="JW23" s="1">
        <v>42617</v>
      </c>
      <c r="JX23" s="1">
        <v>9035</v>
      </c>
      <c r="JY23">
        <v>22.55</v>
      </c>
      <c r="JZ23">
        <v>16.72</v>
      </c>
      <c r="KA23">
        <v>27.26</v>
      </c>
      <c r="KB23">
        <v>0.18</v>
      </c>
      <c r="KC23">
        <v>0.75</v>
      </c>
      <c r="KD23">
        <v>2</v>
      </c>
      <c r="KE23">
        <v>12</v>
      </c>
      <c r="KF23">
        <v>85</v>
      </c>
      <c r="KG23">
        <v>329</v>
      </c>
      <c r="KN23" s="1">
        <v>88634</v>
      </c>
      <c r="KO23" s="1">
        <v>30472</v>
      </c>
      <c r="KP23" s="1">
        <v>8944</v>
      </c>
      <c r="KR23">
        <v>821</v>
      </c>
      <c r="KS23" s="1">
        <v>5516</v>
      </c>
      <c r="KT23">
        <v>250</v>
      </c>
      <c r="KU23">
        <v>348</v>
      </c>
      <c r="KV23">
        <v>72</v>
      </c>
      <c r="KW23">
        <v>132</v>
      </c>
      <c r="KX23" s="1">
        <v>113897</v>
      </c>
      <c r="KZ23" s="1">
        <v>236752</v>
      </c>
      <c r="LA23" s="1">
        <v>30075</v>
      </c>
      <c r="LD23" t="s">
        <v>640</v>
      </c>
      <c r="LE23" t="s">
        <v>379</v>
      </c>
      <c r="LF23" t="s">
        <v>641</v>
      </c>
      <c r="LG23" t="s">
        <v>642</v>
      </c>
      <c r="LH23">
        <v>28512</v>
      </c>
      <c r="LI23">
        <v>6122</v>
      </c>
      <c r="LJ23" t="s">
        <v>641</v>
      </c>
      <c r="LK23" t="s">
        <v>642</v>
      </c>
      <c r="LL23">
        <v>28512</v>
      </c>
      <c r="LM23">
        <v>6122</v>
      </c>
      <c r="LN23" t="s">
        <v>643</v>
      </c>
      <c r="LO23">
        <v>2522474660</v>
      </c>
      <c r="LP23">
        <v>2522472802</v>
      </c>
      <c r="LQ23" s="1">
        <v>79691</v>
      </c>
      <c r="LR23">
        <v>70.349999999999994</v>
      </c>
      <c r="LT23" s="1">
        <v>25816</v>
      </c>
      <c r="LU23">
        <v>520</v>
      </c>
      <c r="LX23">
        <v>2</v>
      </c>
      <c r="LY23" t="s">
        <v>644</v>
      </c>
      <c r="LZ23">
        <v>0</v>
      </c>
      <c r="MA23" t="s">
        <v>408</v>
      </c>
      <c r="MB23">
        <v>4.2300000000000004</v>
      </c>
      <c r="MC23">
        <v>89.94</v>
      </c>
      <c r="ME23" s="574">
        <v>6.43</v>
      </c>
      <c r="MF23" s="574">
        <v>4.7300000000000004</v>
      </c>
      <c r="MG23" s="574">
        <v>0.49</v>
      </c>
      <c r="MH23" s="574">
        <v>41.42</v>
      </c>
      <c r="MI23" s="574">
        <v>30.48</v>
      </c>
      <c r="MJ23" s="574">
        <v>3.18</v>
      </c>
      <c r="MK23" s="574">
        <v>5.33</v>
      </c>
      <c r="ML23" s="574">
        <v>3.92</v>
      </c>
      <c r="MM23" s="574">
        <v>0.41</v>
      </c>
      <c r="MN23" s="574">
        <v>36.82</v>
      </c>
      <c r="MO23" s="574">
        <v>27.09</v>
      </c>
      <c r="MP23" s="574">
        <v>2.83</v>
      </c>
      <c r="MQ23" s="574">
        <v>63.18</v>
      </c>
      <c r="MR23" s="574">
        <v>46.48</v>
      </c>
      <c r="MS23" s="574">
        <v>4.8499999999999996</v>
      </c>
      <c r="MT23" s="574">
        <v>18.95</v>
      </c>
      <c r="MU23" s="574">
        <v>13.94</v>
      </c>
      <c r="MV23" s="574">
        <v>1.45</v>
      </c>
      <c r="MW23" s="1">
        <v>1260</v>
      </c>
      <c r="MX23" s="1">
        <v>29743</v>
      </c>
      <c r="MY23" s="1">
        <v>11107</v>
      </c>
      <c r="MZ23" s="1">
        <v>8706</v>
      </c>
      <c r="NA23" s="1">
        <v>205532</v>
      </c>
      <c r="NB23" s="1">
        <v>76753</v>
      </c>
      <c r="NC23" s="1">
        <v>63628</v>
      </c>
      <c r="ND23" s="1">
        <v>170387</v>
      </c>
      <c r="NE23">
        <v>1.33</v>
      </c>
      <c r="NF23" s="1">
        <v>7218</v>
      </c>
      <c r="NG23">
        <v>3.47</v>
      </c>
      <c r="NH23">
        <v>2.72</v>
      </c>
      <c r="NI23">
        <v>3.28</v>
      </c>
      <c r="NJ23">
        <v>3.17</v>
      </c>
      <c r="NK23">
        <v>4.42</v>
      </c>
      <c r="NL23">
        <v>0.4748</v>
      </c>
      <c r="NM23">
        <v>0.92269999999999996</v>
      </c>
      <c r="NN23">
        <v>0.42</v>
      </c>
      <c r="NO23">
        <v>0.28000000000000003</v>
      </c>
      <c r="NP23">
        <v>0</v>
      </c>
      <c r="NQ23">
        <v>0</v>
      </c>
      <c r="NR23">
        <v>0.61</v>
      </c>
      <c r="NS23">
        <v>0.05</v>
      </c>
      <c r="NT23">
        <v>0.21</v>
      </c>
      <c r="NU23" s="574">
        <v>12.86</v>
      </c>
      <c r="NV23">
        <v>2.0459999999999998</v>
      </c>
      <c r="NW23">
        <v>0</v>
      </c>
      <c r="NX23">
        <v>2E-3</v>
      </c>
      <c r="NY23">
        <v>0.14599999999999999</v>
      </c>
      <c r="NZ23">
        <v>0</v>
      </c>
      <c r="OA23">
        <v>3.78E-2</v>
      </c>
      <c r="OB23">
        <v>0.89300000000000002</v>
      </c>
      <c r="OC23">
        <v>5.4459999999999997</v>
      </c>
      <c r="OD23">
        <v>1.657</v>
      </c>
      <c r="OE23">
        <v>0.33410000000000001</v>
      </c>
      <c r="OF23">
        <v>345.642</v>
      </c>
      <c r="OG23">
        <v>1.1040000000000001</v>
      </c>
      <c r="OH23" s="574">
        <v>3.28</v>
      </c>
      <c r="OI23">
        <v>287</v>
      </c>
      <c r="OJ23">
        <v>176</v>
      </c>
      <c r="OK23" s="574">
        <v>17.48</v>
      </c>
      <c r="OL23" s="574">
        <v>1.34</v>
      </c>
      <c r="OM23" s="574">
        <v>0.99</v>
      </c>
      <c r="ON23">
        <v>0.37680000000000002</v>
      </c>
      <c r="OO23">
        <v>1.6E-2</v>
      </c>
      <c r="OP23">
        <v>0.79169999999999996</v>
      </c>
      <c r="OQ23" s="574">
        <v>2.25</v>
      </c>
      <c r="OR23" s="574">
        <v>15.23</v>
      </c>
      <c r="OS23" s="574">
        <v>0.02</v>
      </c>
      <c r="OT23" s="574">
        <v>2.54</v>
      </c>
      <c r="OU23" s="574">
        <v>20.04</v>
      </c>
      <c r="OV23">
        <v>5</v>
      </c>
      <c r="OW23">
        <v>7</v>
      </c>
      <c r="OX23">
        <v>0.83</v>
      </c>
      <c r="OY23" s="1">
        <v>9765</v>
      </c>
      <c r="OZ23">
        <v>23.73</v>
      </c>
      <c r="PA23" s="1">
        <v>11779</v>
      </c>
      <c r="PB23">
        <v>3.43</v>
      </c>
      <c r="PC23">
        <v>19.670000000000002</v>
      </c>
      <c r="PD23">
        <v>0.14000000000000001</v>
      </c>
      <c r="PE23" s="1">
        <v>1705</v>
      </c>
      <c r="PF23">
        <v>0.75</v>
      </c>
      <c r="PG23" s="574">
        <v>0.41</v>
      </c>
      <c r="PH23">
        <v>0.62</v>
      </c>
      <c r="PI23">
        <v>13.83</v>
      </c>
      <c r="PJ23">
        <v>6.45</v>
      </c>
      <c r="PK23" s="574">
        <v>5.33</v>
      </c>
      <c r="PL23">
        <v>41.37</v>
      </c>
      <c r="PM23" s="4">
        <v>34130</v>
      </c>
      <c r="PN23" s="4">
        <v>25319</v>
      </c>
      <c r="PO23">
        <v>0.1386</v>
      </c>
      <c r="PP23">
        <v>0.79369999999999996</v>
      </c>
      <c r="PQ23">
        <v>0.1149</v>
      </c>
      <c r="PR23">
        <v>5.8999999999999999E-3</v>
      </c>
      <c r="PS23">
        <v>3.3599999999999998E-2</v>
      </c>
      <c r="PT23">
        <v>4.8999999999999998E-3</v>
      </c>
      <c r="PU23" s="3">
        <v>0.37340000000000001</v>
      </c>
      <c r="PV23" s="3">
        <v>0.1134</v>
      </c>
      <c r="PW23" s="3">
        <v>0.88660000000000005</v>
      </c>
      <c r="PX23" s="3">
        <v>0.25819999999999999</v>
      </c>
      <c r="PY23" s="3">
        <v>0.74180000000000001</v>
      </c>
      <c r="PZ23" s="3">
        <v>7.6700000000000004E-2</v>
      </c>
      <c r="QA23" s="3">
        <v>8.0999999999999996E-3</v>
      </c>
      <c r="QB23" s="3">
        <v>0.18990000000000001</v>
      </c>
      <c r="QC23" s="3">
        <v>1.18E-2</v>
      </c>
      <c r="QD23" s="3">
        <v>0.1875</v>
      </c>
      <c r="QE23" s="3">
        <v>5.6899999999999999E-2</v>
      </c>
      <c r="QF23" s="3">
        <v>0.54579999999999995</v>
      </c>
      <c r="QG23" s="3">
        <v>0.73580000000000001</v>
      </c>
      <c r="QH23" s="3">
        <v>1.1999999999999999E-3</v>
      </c>
      <c r="QI23" s="3">
        <v>0.75990000000000002</v>
      </c>
      <c r="QJ23" s="3">
        <v>0.12690000000000001</v>
      </c>
      <c r="QK23" s="3">
        <v>0.11210000000000001</v>
      </c>
      <c r="QL23" s="4">
        <v>8811</v>
      </c>
      <c r="QM23">
        <v>7.77</v>
      </c>
      <c r="QN23" s="1">
        <v>23395</v>
      </c>
      <c r="QO23" s="1">
        <v>62648</v>
      </c>
      <c r="QP23" s="1">
        <v>2654</v>
      </c>
      <c r="QQ23" s="3">
        <v>0.7409</v>
      </c>
      <c r="QR23" s="3">
        <v>0.105</v>
      </c>
      <c r="QS23" s="3">
        <v>0.15409999999999999</v>
      </c>
      <c r="QT23" s="3">
        <v>4.24E-2</v>
      </c>
      <c r="QU23">
        <v>0.28999999999999998</v>
      </c>
      <c r="QV23">
        <v>0.82</v>
      </c>
      <c r="QW23">
        <v>0.21</v>
      </c>
      <c r="QX23">
        <v>19</v>
      </c>
      <c r="QY23">
        <v>2.74</v>
      </c>
      <c r="QZ23">
        <v>13</v>
      </c>
      <c r="RA23">
        <v>2.0299999999999998</v>
      </c>
      <c r="RB23">
        <v>0.16</v>
      </c>
      <c r="RC23">
        <v>0.14000000000000001</v>
      </c>
    </row>
    <row r="24" spans="1:471" x14ac:dyDescent="0.25">
      <c r="A24" t="s">
        <v>645</v>
      </c>
      <c r="B24">
        <v>11665</v>
      </c>
      <c r="C24" t="s">
        <v>1754</v>
      </c>
      <c r="D24" t="s">
        <v>1754</v>
      </c>
      <c r="E24" t="s">
        <v>1754</v>
      </c>
      <c r="F24" t="s">
        <v>1755</v>
      </c>
      <c r="G24" t="s">
        <v>1755</v>
      </c>
      <c r="H24" t="s">
        <v>646</v>
      </c>
      <c r="I24" t="s">
        <v>342</v>
      </c>
      <c r="J24" t="s">
        <v>343</v>
      </c>
      <c r="K24" t="s">
        <v>344</v>
      </c>
      <c r="L24" t="s">
        <v>345</v>
      </c>
      <c r="M24" t="s">
        <v>346</v>
      </c>
      <c r="N24" t="s">
        <v>347</v>
      </c>
      <c r="O24" s="1">
        <v>328860</v>
      </c>
      <c r="P24" t="s">
        <v>348</v>
      </c>
      <c r="Q24" s="1">
        <v>2519</v>
      </c>
      <c r="R24">
        <v>498</v>
      </c>
      <c r="S24">
        <v>693</v>
      </c>
      <c r="T24">
        <v>111</v>
      </c>
      <c r="U24" s="1">
        <v>21756</v>
      </c>
      <c r="V24" s="1">
        <v>1450</v>
      </c>
      <c r="W24" s="1">
        <v>151615</v>
      </c>
      <c r="X24" s="1">
        <v>27692</v>
      </c>
      <c r="Y24" s="1">
        <v>2083231</v>
      </c>
      <c r="Z24" s="1">
        <v>334057</v>
      </c>
      <c r="AC24" t="s">
        <v>647</v>
      </c>
      <c r="AD24" t="s">
        <v>648</v>
      </c>
      <c r="AE24">
        <v>28301</v>
      </c>
      <c r="AF24">
        <v>5032</v>
      </c>
      <c r="AG24" t="s">
        <v>649</v>
      </c>
      <c r="AH24" t="s">
        <v>648</v>
      </c>
      <c r="AI24">
        <v>28301</v>
      </c>
      <c r="AJ24">
        <v>2</v>
      </c>
      <c r="AK24" t="s">
        <v>650</v>
      </c>
      <c r="AM24" t="s">
        <v>0</v>
      </c>
      <c r="AN24" t="s">
        <v>651</v>
      </c>
      <c r="AO24" t="s">
        <v>652</v>
      </c>
      <c r="AP24">
        <v>9104837727</v>
      </c>
      <c r="AQ24" t="s">
        <v>654</v>
      </c>
      <c r="AR24" t="s">
        <v>655</v>
      </c>
      <c r="AS24" t="s">
        <v>652</v>
      </c>
      <c r="AT24" t="s">
        <v>376</v>
      </c>
      <c r="AU24" t="s">
        <v>653</v>
      </c>
      <c r="AV24" t="s">
        <v>654</v>
      </c>
      <c r="AW24" t="s">
        <v>655</v>
      </c>
      <c r="AX24" t="s">
        <v>656</v>
      </c>
      <c r="AY24">
        <v>0</v>
      </c>
      <c r="AZ24">
        <v>0</v>
      </c>
      <c r="BA24">
        <v>0</v>
      </c>
      <c r="BB24" s="573">
        <v>42186</v>
      </c>
      <c r="BC24" s="573">
        <v>42551</v>
      </c>
      <c r="BD24">
        <v>1</v>
      </c>
      <c r="BE24">
        <v>8</v>
      </c>
      <c r="BF24">
        <v>0</v>
      </c>
      <c r="BG24">
        <v>2</v>
      </c>
      <c r="BH24">
        <v>11</v>
      </c>
      <c r="BJ24" s="1">
        <v>30108</v>
      </c>
      <c r="BK24">
        <v>47</v>
      </c>
      <c r="BL24">
        <v>0</v>
      </c>
      <c r="BM24">
        <v>47</v>
      </c>
      <c r="BN24">
        <v>136.80000000000001</v>
      </c>
      <c r="BO24">
        <v>183.8</v>
      </c>
      <c r="BP24" s="3">
        <v>0.25569999999999998</v>
      </c>
      <c r="BQ24" s="1">
        <v>3624</v>
      </c>
      <c r="BR24" s="4">
        <v>105318</v>
      </c>
      <c r="DW24" s="4">
        <v>0</v>
      </c>
      <c r="DX24" s="4">
        <v>10343815</v>
      </c>
      <c r="DY24" s="4">
        <v>10343815</v>
      </c>
      <c r="DZ24" s="4">
        <v>311976</v>
      </c>
      <c r="EA24" s="4">
        <v>170618</v>
      </c>
      <c r="EB24" s="4">
        <v>482594</v>
      </c>
      <c r="EC24" s="4">
        <v>40484</v>
      </c>
      <c r="ED24" s="4">
        <v>0</v>
      </c>
      <c r="EE24" s="4">
        <v>40484</v>
      </c>
      <c r="EF24" s="4">
        <v>116852</v>
      </c>
      <c r="EG24" s="4">
        <v>10983745</v>
      </c>
      <c r="EH24" s="4">
        <v>6284300</v>
      </c>
      <c r="EI24" s="4">
        <v>2172622</v>
      </c>
      <c r="EJ24" s="4">
        <v>8456922</v>
      </c>
      <c r="EK24" s="4">
        <v>824801</v>
      </c>
      <c r="EL24" s="4">
        <v>281839</v>
      </c>
      <c r="EM24" s="4">
        <v>30065</v>
      </c>
      <c r="EN24" s="4">
        <v>1136705</v>
      </c>
      <c r="EO24" s="4">
        <v>1363884</v>
      </c>
      <c r="EP24" s="4">
        <v>10957511</v>
      </c>
      <c r="EQ24" s="4">
        <v>26234</v>
      </c>
      <c r="ER24" s="3">
        <v>2.3999999999999998E-3</v>
      </c>
      <c r="ES24" s="4">
        <v>0</v>
      </c>
      <c r="ET24" s="4">
        <v>0</v>
      </c>
      <c r="EU24" s="4">
        <v>0</v>
      </c>
      <c r="EV24" s="4">
        <v>0</v>
      </c>
      <c r="EW24" s="4">
        <v>0</v>
      </c>
      <c r="EX24" s="4">
        <v>0</v>
      </c>
      <c r="EY24" s="1">
        <v>81437</v>
      </c>
      <c r="EZ24" s="1">
        <v>621827</v>
      </c>
      <c r="FA24" s="1">
        <v>115772</v>
      </c>
      <c r="FB24" s="1">
        <v>33676</v>
      </c>
      <c r="FC24" s="1">
        <v>133491</v>
      </c>
      <c r="FD24" s="1">
        <v>130678</v>
      </c>
      <c r="FE24" s="1">
        <v>1537</v>
      </c>
      <c r="FF24" s="1">
        <v>56713</v>
      </c>
      <c r="FG24" s="1">
        <v>246450</v>
      </c>
      <c r="FH24" s="1">
        <v>35213</v>
      </c>
      <c r="FI24" s="1">
        <v>190204</v>
      </c>
      <c r="FJ24" s="1">
        <v>471867</v>
      </c>
      <c r="FK24" s="1">
        <v>6437</v>
      </c>
      <c r="FL24">
        <v>700</v>
      </c>
      <c r="FN24" s="1">
        <v>471867</v>
      </c>
      <c r="FO24" s="1">
        <v>28369</v>
      </c>
      <c r="FP24" s="1">
        <v>29825</v>
      </c>
      <c r="FQ24">
        <v>37</v>
      </c>
      <c r="FR24">
        <v>18</v>
      </c>
      <c r="FS24">
        <v>74</v>
      </c>
      <c r="FT24">
        <v>92</v>
      </c>
      <c r="FU24" s="1">
        <v>26725</v>
      </c>
      <c r="FV24" s="1">
        <v>2022</v>
      </c>
      <c r="FW24">
        <v>0</v>
      </c>
      <c r="GG24" s="1">
        <v>34298</v>
      </c>
      <c r="GH24" s="1">
        <v>13913</v>
      </c>
      <c r="GI24">
        <v>370</v>
      </c>
      <c r="GJ24">
        <v>87</v>
      </c>
      <c r="GK24">
        <v>72</v>
      </c>
      <c r="GL24" s="1">
        <v>6938</v>
      </c>
      <c r="GM24">
        <v>0</v>
      </c>
      <c r="GN24">
        <v>75</v>
      </c>
      <c r="GO24" s="1">
        <v>61095</v>
      </c>
      <c r="GP24" s="1">
        <v>22873</v>
      </c>
      <c r="GQ24">
        <v>370</v>
      </c>
      <c r="GR24">
        <v>162</v>
      </c>
      <c r="GS24">
        <v>254</v>
      </c>
      <c r="GU24" s="1">
        <v>288729</v>
      </c>
      <c r="GV24" s="1">
        <v>85437</v>
      </c>
      <c r="GW24" s="1">
        <v>476457</v>
      </c>
      <c r="GX24" s="1">
        <v>175866</v>
      </c>
      <c r="GY24" s="1">
        <v>2304</v>
      </c>
      <c r="GZ24" s="1">
        <v>112717</v>
      </c>
      <c r="HA24" s="1">
        <v>464595</v>
      </c>
      <c r="HB24" s="1">
        <v>87741</v>
      </c>
      <c r="HC24" s="1">
        <v>589174</v>
      </c>
      <c r="HD24" s="1">
        <v>1141510</v>
      </c>
      <c r="HE24" s="1">
        <v>13488</v>
      </c>
      <c r="HF24" s="1">
        <v>1161038</v>
      </c>
      <c r="HG24" s="1">
        <v>82171</v>
      </c>
      <c r="HH24" s="1">
        <v>253036</v>
      </c>
      <c r="HI24" s="1">
        <v>6040</v>
      </c>
      <c r="HJ24">
        <v>0</v>
      </c>
      <c r="HK24" s="1">
        <v>335207</v>
      </c>
      <c r="HL24" s="1">
        <v>1496245</v>
      </c>
      <c r="HM24">
        <v>316</v>
      </c>
      <c r="HN24" s="1">
        <v>91121</v>
      </c>
      <c r="HO24" s="1">
        <v>91437</v>
      </c>
      <c r="HP24" s="1">
        <v>2017</v>
      </c>
      <c r="HQ24" s="1">
        <v>33260</v>
      </c>
      <c r="HR24" s="1">
        <v>35277</v>
      </c>
      <c r="HS24">
        <v>0</v>
      </c>
      <c r="HT24">
        <v>405</v>
      </c>
      <c r="HU24">
        <v>405</v>
      </c>
      <c r="HV24" s="1">
        <v>5129</v>
      </c>
      <c r="HW24" s="1">
        <v>132248</v>
      </c>
      <c r="HX24" s="1">
        <v>57980</v>
      </c>
      <c r="HY24" s="1">
        <v>237255</v>
      </c>
      <c r="HZ24" s="1">
        <v>295235</v>
      </c>
      <c r="IA24" s="1">
        <v>427483</v>
      </c>
      <c r="IB24" s="1">
        <v>117448</v>
      </c>
      <c r="IC24" s="1">
        <v>370889</v>
      </c>
      <c r="ID24" s="1">
        <v>1628493</v>
      </c>
      <c r="IE24" s="1">
        <v>1628493</v>
      </c>
      <c r="IF24" s="1">
        <v>1923728</v>
      </c>
      <c r="IG24" s="1">
        <v>738163</v>
      </c>
      <c r="IH24" s="1">
        <v>22116</v>
      </c>
      <c r="IK24">
        <v>1</v>
      </c>
      <c r="IL24" s="3">
        <v>4.8599999999999997E-2</v>
      </c>
      <c r="IM24" s="3">
        <v>1.1000000000000001E-3</v>
      </c>
      <c r="IN24" s="3">
        <v>0.13589999999999999</v>
      </c>
      <c r="IO24" s="3">
        <v>0</v>
      </c>
      <c r="IP24" s="3">
        <v>9.8299999999999998E-2</v>
      </c>
      <c r="IQ24" s="3">
        <v>1E-4</v>
      </c>
      <c r="IR24" s="3">
        <v>0.75880000000000003</v>
      </c>
      <c r="IS24" s="3">
        <v>8.2400000000000001E-2</v>
      </c>
      <c r="IT24" s="3">
        <v>0.45329999999999998</v>
      </c>
      <c r="IU24" s="1">
        <v>179165</v>
      </c>
      <c r="IV24" s="1">
        <v>27429</v>
      </c>
      <c r="IW24" s="1">
        <v>206594</v>
      </c>
      <c r="IX24" s="3">
        <v>0.62819999999999998</v>
      </c>
      <c r="IY24" s="1">
        <v>1262216</v>
      </c>
      <c r="JA24" s="1">
        <v>1058</v>
      </c>
      <c r="JB24">
        <v>643</v>
      </c>
      <c r="JC24" s="1">
        <v>1944</v>
      </c>
      <c r="JD24">
        <v>34</v>
      </c>
      <c r="JE24">
        <v>54</v>
      </c>
      <c r="JF24">
        <v>561</v>
      </c>
      <c r="JG24" s="1">
        <v>1092</v>
      </c>
      <c r="JH24">
        <v>697</v>
      </c>
      <c r="JI24" s="1">
        <v>2505</v>
      </c>
      <c r="JJ24" s="1">
        <v>4294</v>
      </c>
      <c r="JK24" s="1">
        <v>3645</v>
      </c>
      <c r="JL24">
        <v>649</v>
      </c>
      <c r="JM24" s="1">
        <v>15757</v>
      </c>
      <c r="JN24" s="1">
        <v>19092</v>
      </c>
      <c r="JO24" s="1">
        <v>53295</v>
      </c>
      <c r="JP24">
        <v>807</v>
      </c>
      <c r="JQ24" s="1">
        <v>3157</v>
      </c>
      <c r="JR24" s="1">
        <v>21375</v>
      </c>
      <c r="JS24" s="1">
        <v>16564</v>
      </c>
      <c r="JT24" s="1">
        <v>22249</v>
      </c>
      <c r="JU24" s="1">
        <v>74670</v>
      </c>
      <c r="JV24" s="1">
        <v>113483</v>
      </c>
      <c r="JW24" s="1">
        <v>88144</v>
      </c>
      <c r="JX24" s="1">
        <v>25339</v>
      </c>
      <c r="JY24">
        <v>26.43</v>
      </c>
      <c r="JZ24">
        <v>15.17</v>
      </c>
      <c r="KA24">
        <v>29.81</v>
      </c>
      <c r="KB24">
        <v>0.15</v>
      </c>
      <c r="KC24">
        <v>0.66</v>
      </c>
      <c r="KD24">
        <v>233</v>
      </c>
      <c r="KE24" s="1">
        <v>4005</v>
      </c>
      <c r="KF24">
        <v>210</v>
      </c>
      <c r="KG24" s="1">
        <v>1398</v>
      </c>
      <c r="KN24" s="1">
        <v>236732</v>
      </c>
      <c r="KO24" s="1">
        <v>110738</v>
      </c>
      <c r="KP24" s="1">
        <v>7147</v>
      </c>
      <c r="KR24" s="1">
        <v>11409</v>
      </c>
      <c r="KS24" s="1">
        <v>65193</v>
      </c>
      <c r="KT24" s="1">
        <v>36302</v>
      </c>
      <c r="KU24" s="1">
        <v>28814</v>
      </c>
      <c r="KV24">
        <v>227</v>
      </c>
      <c r="KW24">
        <v>427</v>
      </c>
      <c r="KX24" s="1">
        <v>350665</v>
      </c>
      <c r="KZ24" s="1">
        <v>475322</v>
      </c>
      <c r="LA24" s="1">
        <v>608189</v>
      </c>
      <c r="LD24" t="s">
        <v>650</v>
      </c>
      <c r="LE24" t="s">
        <v>379</v>
      </c>
      <c r="LF24" t="s">
        <v>647</v>
      </c>
      <c r="LG24" t="s">
        <v>648</v>
      </c>
      <c r="LH24">
        <v>28301</v>
      </c>
      <c r="LI24">
        <v>5032</v>
      </c>
      <c r="LJ24" t="s">
        <v>649</v>
      </c>
      <c r="LK24" t="s">
        <v>648</v>
      </c>
      <c r="LL24">
        <v>28301</v>
      </c>
      <c r="LM24">
        <v>5032</v>
      </c>
      <c r="LN24" t="s">
        <v>651</v>
      </c>
      <c r="LO24">
        <v>9104837727</v>
      </c>
      <c r="LP24">
        <v>9104865372</v>
      </c>
      <c r="LQ24" s="1">
        <v>196169</v>
      </c>
      <c r="LR24">
        <v>183.82</v>
      </c>
      <c r="LT24" s="1">
        <v>29514</v>
      </c>
      <c r="LU24">
        <v>468</v>
      </c>
      <c r="LX24">
        <v>2</v>
      </c>
      <c r="LY24" t="s">
        <v>657</v>
      </c>
      <c r="LZ24">
        <v>0</v>
      </c>
      <c r="MA24" t="s">
        <v>363</v>
      </c>
      <c r="MB24">
        <v>354.91</v>
      </c>
      <c r="MC24">
        <v>213.35</v>
      </c>
      <c r="ME24" s="574">
        <v>6.73</v>
      </c>
      <c r="MF24" s="574">
        <v>5.19</v>
      </c>
      <c r="MG24" s="574">
        <v>0.7</v>
      </c>
      <c r="MH24" s="574">
        <v>53.04</v>
      </c>
      <c r="MI24" s="574">
        <v>40.93</v>
      </c>
      <c r="MJ24" s="574">
        <v>5.5</v>
      </c>
      <c r="MK24" s="574">
        <v>8.68</v>
      </c>
      <c r="ML24" s="574">
        <v>6.7</v>
      </c>
      <c r="MM24" s="574">
        <v>0.9</v>
      </c>
      <c r="MN24" s="574">
        <v>46.29</v>
      </c>
      <c r="MO24" s="574">
        <v>35.72</v>
      </c>
      <c r="MP24" s="574">
        <v>4.8</v>
      </c>
      <c r="MQ24" s="574">
        <v>96.56</v>
      </c>
      <c r="MR24" s="574">
        <v>74.52</v>
      </c>
      <c r="MS24" s="574">
        <v>10.02</v>
      </c>
      <c r="MT24" s="574">
        <v>14.84</v>
      </c>
      <c r="MU24" s="574">
        <v>11.46</v>
      </c>
      <c r="MV24" s="574">
        <v>1.54</v>
      </c>
      <c r="MW24" s="1">
        <v>1288</v>
      </c>
      <c r="MX24" s="1">
        <v>5037</v>
      </c>
      <c r="MY24" s="1">
        <v>5037</v>
      </c>
      <c r="MZ24" s="1">
        <v>6867</v>
      </c>
      <c r="NA24" s="1">
        <v>26856</v>
      </c>
      <c r="NB24" s="1">
        <v>26856</v>
      </c>
      <c r="NC24" s="1">
        <v>34649</v>
      </c>
      <c r="ND24" s="1">
        <v>34649</v>
      </c>
      <c r="NE24">
        <v>2.62</v>
      </c>
      <c r="NF24" s="1">
        <v>8860</v>
      </c>
      <c r="NG24">
        <v>4.26</v>
      </c>
      <c r="NH24">
        <v>4.952</v>
      </c>
      <c r="NI24">
        <v>3.84</v>
      </c>
      <c r="NJ24">
        <v>175.72</v>
      </c>
      <c r="NK24">
        <v>139.47</v>
      </c>
      <c r="NL24">
        <v>0.71989999999999998</v>
      </c>
      <c r="NM24">
        <v>2.2446000000000002</v>
      </c>
      <c r="NN24">
        <v>0.63</v>
      </c>
      <c r="NO24">
        <v>0.35</v>
      </c>
      <c r="NP24">
        <v>0.11</v>
      </c>
      <c r="NQ24">
        <v>0.09</v>
      </c>
      <c r="NR24">
        <v>1.07</v>
      </c>
      <c r="NS24">
        <v>0.05</v>
      </c>
      <c r="NT24">
        <v>0.23</v>
      </c>
      <c r="NU24" s="574">
        <v>25.72</v>
      </c>
      <c r="NV24">
        <v>1.891</v>
      </c>
      <c r="NW24">
        <v>0</v>
      </c>
      <c r="NX24">
        <v>2E-3</v>
      </c>
      <c r="NY24">
        <v>0.186</v>
      </c>
      <c r="NZ24">
        <v>0</v>
      </c>
      <c r="OA24">
        <v>0.22750000000000001</v>
      </c>
      <c r="OB24">
        <v>0.88970000000000005</v>
      </c>
      <c r="OC24">
        <v>3.3879999999999999</v>
      </c>
      <c r="OD24">
        <v>1.4350000000000001</v>
      </c>
      <c r="OE24">
        <v>0.41599999999999998</v>
      </c>
      <c r="OF24">
        <v>295.72500000000002</v>
      </c>
      <c r="OG24">
        <v>0.44500000000000001</v>
      </c>
      <c r="OH24" s="574">
        <v>4.1500000000000004</v>
      </c>
      <c r="OI24">
        <v>248</v>
      </c>
      <c r="OJ24">
        <v>146</v>
      </c>
      <c r="OK24" s="574">
        <v>33.32</v>
      </c>
      <c r="OL24" s="574">
        <v>3.46</v>
      </c>
      <c r="OM24" s="574">
        <v>2.5099999999999998</v>
      </c>
      <c r="ON24">
        <v>0.55889999999999995</v>
      </c>
      <c r="OO24">
        <v>0.1429</v>
      </c>
      <c r="OP24">
        <v>0.66220000000000001</v>
      </c>
      <c r="OQ24" s="574">
        <v>1.47</v>
      </c>
      <c r="OR24" s="574">
        <v>31.45</v>
      </c>
      <c r="OS24" s="574">
        <v>0.12</v>
      </c>
      <c r="OT24" s="574">
        <v>0.36</v>
      </c>
      <c r="OU24" s="574">
        <v>33.4</v>
      </c>
      <c r="OV24">
        <v>698</v>
      </c>
      <c r="OW24">
        <v>554</v>
      </c>
      <c r="OX24">
        <v>1.29</v>
      </c>
      <c r="OY24" s="1">
        <v>31317</v>
      </c>
      <c r="OZ24">
        <v>41.92</v>
      </c>
      <c r="PA24" s="1">
        <v>24273</v>
      </c>
      <c r="PB24">
        <v>7.86</v>
      </c>
      <c r="PC24">
        <v>54.09</v>
      </c>
      <c r="PD24">
        <v>0.19</v>
      </c>
      <c r="PE24" s="1">
        <v>4553</v>
      </c>
      <c r="PF24">
        <v>0.38</v>
      </c>
      <c r="PG24" s="574">
        <v>0.9</v>
      </c>
      <c r="PH24">
        <v>0.49</v>
      </c>
      <c r="PI24">
        <v>9.16</v>
      </c>
      <c r="PJ24">
        <v>7.88</v>
      </c>
      <c r="PK24" s="574">
        <v>8.68</v>
      </c>
      <c r="PL24">
        <v>52.64</v>
      </c>
      <c r="PM24" s="4">
        <v>46012</v>
      </c>
      <c r="PN24" s="4">
        <v>34191</v>
      </c>
      <c r="PO24">
        <v>0.1129</v>
      </c>
      <c r="PP24">
        <v>0.77639999999999998</v>
      </c>
      <c r="PQ24">
        <v>0.14560000000000001</v>
      </c>
      <c r="PR24">
        <v>2.8899999999999999E-2</v>
      </c>
      <c r="PS24">
        <v>0.19850000000000001</v>
      </c>
      <c r="PT24">
        <v>3.7199999999999997E-2</v>
      </c>
      <c r="PU24" s="3">
        <v>1</v>
      </c>
      <c r="PV24" s="3">
        <v>0.25569999999999998</v>
      </c>
      <c r="PW24" s="3">
        <v>0.74429999999999996</v>
      </c>
      <c r="PX24" s="3">
        <v>0.25690000000000002</v>
      </c>
      <c r="PY24" s="3">
        <v>0.74309999999999998</v>
      </c>
      <c r="PZ24" s="3">
        <v>0.1037</v>
      </c>
      <c r="QA24" s="3">
        <v>2.5700000000000001E-2</v>
      </c>
      <c r="QB24" s="3">
        <v>0.1983</v>
      </c>
      <c r="QC24" s="3">
        <v>2.7000000000000001E-3</v>
      </c>
      <c r="QD24" s="3">
        <v>0.1245</v>
      </c>
      <c r="QE24" s="3">
        <v>7.5300000000000006E-2</v>
      </c>
      <c r="QF24" s="3">
        <v>0.57350000000000001</v>
      </c>
      <c r="QG24" s="3">
        <v>0.77180000000000004</v>
      </c>
      <c r="QH24" s="3">
        <v>3.7000000000000002E-3</v>
      </c>
      <c r="QI24" s="3">
        <v>0.94169999999999998</v>
      </c>
      <c r="QJ24" s="3">
        <v>1.06E-2</v>
      </c>
      <c r="QK24" s="3">
        <v>4.3900000000000002E-2</v>
      </c>
      <c r="QL24" s="4">
        <v>11821</v>
      </c>
      <c r="QM24">
        <v>6.11</v>
      </c>
      <c r="QN24" s="1">
        <v>6997</v>
      </c>
      <c r="QO24" s="1">
        <v>6997</v>
      </c>
      <c r="QP24" s="1">
        <v>1789</v>
      </c>
      <c r="QQ24" s="3">
        <v>0.72560000000000002</v>
      </c>
      <c r="QR24" s="3">
        <v>0.24790000000000001</v>
      </c>
      <c r="QS24" s="3">
        <v>2.64E-2</v>
      </c>
      <c r="QT24" s="3">
        <v>0.25569999999999998</v>
      </c>
      <c r="QU24">
        <v>0.26</v>
      </c>
      <c r="QV24">
        <v>0.75</v>
      </c>
      <c r="QW24">
        <v>0.19</v>
      </c>
      <c r="QX24">
        <v>6</v>
      </c>
      <c r="QY24">
        <v>1.97</v>
      </c>
      <c r="QZ24">
        <v>54</v>
      </c>
      <c r="RA24">
        <v>1.43</v>
      </c>
      <c r="RB24">
        <v>0.15</v>
      </c>
      <c r="RC24">
        <v>0.15</v>
      </c>
    </row>
    <row r="25" spans="1:471" x14ac:dyDescent="0.25">
      <c r="A25" t="s">
        <v>658</v>
      </c>
      <c r="B25">
        <v>11666</v>
      </c>
      <c r="C25" t="s">
        <v>1754</v>
      </c>
      <c r="D25" t="s">
        <v>1754</v>
      </c>
      <c r="E25" t="s">
        <v>1754</v>
      </c>
      <c r="F25" t="s">
        <v>1755</v>
      </c>
      <c r="G25" t="s">
        <v>1755</v>
      </c>
      <c r="H25" t="s">
        <v>659</v>
      </c>
      <c r="I25" t="s">
        <v>342</v>
      </c>
      <c r="J25" t="s">
        <v>343</v>
      </c>
      <c r="K25" t="s">
        <v>344</v>
      </c>
      <c r="L25" t="s">
        <v>345</v>
      </c>
      <c r="M25" t="s">
        <v>457</v>
      </c>
      <c r="N25" t="s">
        <v>347</v>
      </c>
      <c r="O25" s="1">
        <v>165193</v>
      </c>
      <c r="P25" t="s">
        <v>348</v>
      </c>
      <c r="Q25">
        <v>985</v>
      </c>
      <c r="R25">
        <v>166</v>
      </c>
      <c r="S25">
        <v>211</v>
      </c>
      <c r="T25">
        <v>64</v>
      </c>
      <c r="U25" s="1">
        <v>6097</v>
      </c>
      <c r="V25">
        <v>483</v>
      </c>
      <c r="W25" s="1">
        <v>43223</v>
      </c>
      <c r="X25" s="1">
        <v>6673</v>
      </c>
      <c r="Y25" s="1">
        <v>498628</v>
      </c>
      <c r="Z25" s="1">
        <v>112380</v>
      </c>
      <c r="AC25" t="s">
        <v>660</v>
      </c>
      <c r="AD25" t="s">
        <v>661</v>
      </c>
      <c r="AE25">
        <v>27292</v>
      </c>
      <c r="AF25">
        <v>3239</v>
      </c>
      <c r="AG25" t="s">
        <v>660</v>
      </c>
      <c r="AH25" t="s">
        <v>661</v>
      </c>
      <c r="AI25">
        <v>27292</v>
      </c>
      <c r="AJ25">
        <v>2</v>
      </c>
      <c r="AK25" t="s">
        <v>662</v>
      </c>
      <c r="AM25" t="s">
        <v>0</v>
      </c>
      <c r="AN25" t="s">
        <v>663</v>
      </c>
      <c r="AO25" t="s">
        <v>664</v>
      </c>
      <c r="AP25">
        <v>3362422064</v>
      </c>
      <c r="AQ25" t="s">
        <v>665</v>
      </c>
      <c r="AR25" t="s">
        <v>666</v>
      </c>
      <c r="AS25" t="s">
        <v>667</v>
      </c>
      <c r="AT25" t="s">
        <v>668</v>
      </c>
      <c r="AU25" t="s">
        <v>669</v>
      </c>
      <c r="AV25" t="s">
        <v>665</v>
      </c>
      <c r="AW25" t="s">
        <v>670</v>
      </c>
      <c r="AX25" t="s">
        <v>671</v>
      </c>
      <c r="AY25">
        <v>0</v>
      </c>
      <c r="AZ25">
        <v>0</v>
      </c>
      <c r="BA25">
        <v>0</v>
      </c>
      <c r="BB25" s="573">
        <v>42186</v>
      </c>
      <c r="BC25" s="573">
        <v>42551</v>
      </c>
      <c r="BD25">
        <v>1</v>
      </c>
      <c r="BE25">
        <v>4</v>
      </c>
      <c r="BF25">
        <v>1</v>
      </c>
      <c r="BG25">
        <v>0</v>
      </c>
      <c r="BH25">
        <v>6</v>
      </c>
      <c r="BJ25" s="1">
        <v>16068</v>
      </c>
      <c r="BK25">
        <v>7.5</v>
      </c>
      <c r="BL25">
        <v>0</v>
      </c>
      <c r="BM25">
        <v>7.5</v>
      </c>
      <c r="BN25">
        <v>50.98</v>
      </c>
      <c r="BO25">
        <v>58.48</v>
      </c>
      <c r="BP25" s="3">
        <v>0.12820000000000001</v>
      </c>
      <c r="BQ25" s="1">
        <v>2665</v>
      </c>
      <c r="BR25" s="4">
        <v>71097</v>
      </c>
      <c r="DW25" s="4">
        <v>0</v>
      </c>
      <c r="DX25" s="4">
        <v>3280820</v>
      </c>
      <c r="DY25" s="4">
        <v>3280820</v>
      </c>
      <c r="DZ25" s="4">
        <v>186015</v>
      </c>
      <c r="EA25" s="4">
        <v>0</v>
      </c>
      <c r="EB25" s="4">
        <v>186015</v>
      </c>
      <c r="EC25" s="4">
        <v>5750</v>
      </c>
      <c r="ED25" s="4">
        <v>1000</v>
      </c>
      <c r="EE25" s="4">
        <v>6750</v>
      </c>
      <c r="EF25" s="4">
        <v>107146</v>
      </c>
      <c r="EG25" s="4">
        <v>3580731</v>
      </c>
      <c r="EH25" s="4">
        <v>1726943</v>
      </c>
      <c r="EI25" s="4">
        <v>634829</v>
      </c>
      <c r="EJ25" s="4">
        <v>2361772</v>
      </c>
      <c r="EK25" s="4">
        <v>240286</v>
      </c>
      <c r="EL25" s="4">
        <v>97349</v>
      </c>
      <c r="EM25" s="4">
        <v>14936</v>
      </c>
      <c r="EN25" s="4">
        <v>352571</v>
      </c>
      <c r="EO25" s="4">
        <v>775156</v>
      </c>
      <c r="EP25" s="4">
        <v>3489499</v>
      </c>
      <c r="EQ25" s="4">
        <v>91232</v>
      </c>
      <c r="ER25" s="3">
        <v>2.5499999999999998E-2</v>
      </c>
      <c r="ES25" s="4">
        <v>38585</v>
      </c>
      <c r="ET25" s="4">
        <v>0</v>
      </c>
      <c r="EU25" s="4">
        <v>0</v>
      </c>
      <c r="EV25" s="4">
        <v>0</v>
      </c>
      <c r="EW25" s="4">
        <v>38585</v>
      </c>
      <c r="EX25" s="4">
        <v>38585</v>
      </c>
      <c r="EY25" s="1">
        <v>53313</v>
      </c>
      <c r="EZ25" s="1">
        <v>429587</v>
      </c>
      <c r="FA25" s="1">
        <v>110019</v>
      </c>
      <c r="FB25" s="1">
        <v>15610</v>
      </c>
      <c r="FC25" s="1">
        <v>59229</v>
      </c>
      <c r="FD25" s="1">
        <v>96905</v>
      </c>
      <c r="FE25" s="1">
        <v>4437</v>
      </c>
      <c r="FF25" s="1">
        <v>24166</v>
      </c>
      <c r="FG25" s="1">
        <v>206924</v>
      </c>
      <c r="FH25" s="1">
        <v>20047</v>
      </c>
      <c r="FI25" s="1">
        <v>83395</v>
      </c>
      <c r="FJ25" s="1">
        <v>310366</v>
      </c>
      <c r="FK25" s="1">
        <v>1974</v>
      </c>
      <c r="FL25" s="1">
        <v>1618</v>
      </c>
      <c r="FN25" s="1">
        <v>310366</v>
      </c>
      <c r="FO25" s="1">
        <v>13400</v>
      </c>
      <c r="FP25" s="1">
        <v>16163</v>
      </c>
      <c r="FQ25">
        <v>265</v>
      </c>
      <c r="FR25">
        <v>22</v>
      </c>
      <c r="FS25">
        <v>74</v>
      </c>
      <c r="FT25">
        <v>96</v>
      </c>
      <c r="FU25" s="1">
        <v>26725</v>
      </c>
      <c r="FV25" s="1">
        <v>2022</v>
      </c>
      <c r="FW25">
        <v>0</v>
      </c>
      <c r="GG25" s="1">
        <v>34298</v>
      </c>
      <c r="GH25" s="1">
        <v>13913</v>
      </c>
      <c r="GI25">
        <v>370</v>
      </c>
      <c r="GJ25">
        <v>87</v>
      </c>
      <c r="GK25">
        <v>696</v>
      </c>
      <c r="GL25" s="1">
        <v>7329</v>
      </c>
      <c r="GM25">
        <v>116</v>
      </c>
      <c r="GN25">
        <v>149</v>
      </c>
      <c r="GO25" s="1">
        <v>61719</v>
      </c>
      <c r="GP25" s="1">
        <v>23264</v>
      </c>
      <c r="GQ25">
        <v>486</v>
      </c>
      <c r="GR25">
        <v>236</v>
      </c>
      <c r="GS25">
        <v>100</v>
      </c>
      <c r="GU25" s="1">
        <v>156583</v>
      </c>
      <c r="GV25" s="1">
        <v>17119</v>
      </c>
      <c r="GW25" s="1">
        <v>110631</v>
      </c>
      <c r="GX25" s="1">
        <v>35246</v>
      </c>
      <c r="GY25" s="1">
        <v>1462</v>
      </c>
      <c r="GZ25" s="1">
        <v>21124</v>
      </c>
      <c r="HA25" s="1">
        <v>191829</v>
      </c>
      <c r="HB25" s="1">
        <v>18581</v>
      </c>
      <c r="HC25" s="1">
        <v>131755</v>
      </c>
      <c r="HD25" s="1">
        <v>342165</v>
      </c>
      <c r="HE25">
        <v>819</v>
      </c>
      <c r="HF25" s="1">
        <v>345957</v>
      </c>
      <c r="HG25" s="1">
        <v>18214</v>
      </c>
      <c r="HH25" s="1">
        <v>104342</v>
      </c>
      <c r="HI25" s="1">
        <v>2973</v>
      </c>
      <c r="HJ25">
        <v>64</v>
      </c>
      <c r="HK25" s="1">
        <v>122620</v>
      </c>
      <c r="HL25" s="1">
        <v>468577</v>
      </c>
      <c r="HM25">
        <v>47</v>
      </c>
      <c r="HN25" s="1">
        <v>59430</v>
      </c>
      <c r="HO25" s="1">
        <v>59477</v>
      </c>
      <c r="HP25">
        <v>194</v>
      </c>
      <c r="HQ25" s="1">
        <v>13062</v>
      </c>
      <c r="HR25" s="1">
        <v>13256</v>
      </c>
      <c r="HS25">
        <v>0</v>
      </c>
      <c r="HT25">
        <v>678</v>
      </c>
      <c r="HU25">
        <v>678</v>
      </c>
      <c r="HV25" s="1">
        <v>2522</v>
      </c>
      <c r="HW25" s="1">
        <v>75933</v>
      </c>
      <c r="HX25" s="1">
        <v>31371</v>
      </c>
      <c r="HZ25" s="1">
        <v>31371</v>
      </c>
      <c r="IA25" s="1">
        <v>107304</v>
      </c>
      <c r="IB25" s="1">
        <v>31470</v>
      </c>
      <c r="IC25" s="1">
        <v>136490</v>
      </c>
      <c r="ID25" s="1">
        <v>544510</v>
      </c>
      <c r="IE25" s="1">
        <v>544510</v>
      </c>
      <c r="IF25" s="1">
        <v>575881</v>
      </c>
      <c r="IG25" s="1">
        <v>161030</v>
      </c>
      <c r="IH25" s="1">
        <v>4908</v>
      </c>
      <c r="IK25">
        <v>1</v>
      </c>
      <c r="IL25" s="3">
        <v>3.8800000000000001E-2</v>
      </c>
      <c r="IM25" s="3">
        <v>3.8E-3</v>
      </c>
      <c r="IN25" s="3">
        <v>0.19950000000000001</v>
      </c>
      <c r="IO25" s="3">
        <v>0</v>
      </c>
      <c r="IP25" s="3">
        <v>0.14369999999999999</v>
      </c>
      <c r="IQ25" s="3">
        <v>2.0000000000000001E-4</v>
      </c>
      <c r="IR25" s="3">
        <v>0.72250000000000003</v>
      </c>
      <c r="IS25" s="3">
        <v>8.5300000000000001E-2</v>
      </c>
      <c r="IT25" s="3">
        <v>0.29570000000000002</v>
      </c>
      <c r="IU25" s="1">
        <v>69759</v>
      </c>
      <c r="IV25" s="1">
        <v>32389</v>
      </c>
      <c r="IW25" s="1">
        <v>102148</v>
      </c>
      <c r="IX25" s="3">
        <v>0.61839999999999995</v>
      </c>
      <c r="IY25" s="1">
        <v>516959</v>
      </c>
      <c r="JA25" s="1">
        <v>1592</v>
      </c>
      <c r="JB25">
        <v>338</v>
      </c>
      <c r="JC25" s="1">
        <v>1355</v>
      </c>
      <c r="JD25">
        <v>22</v>
      </c>
      <c r="JE25">
        <v>76</v>
      </c>
      <c r="JF25">
        <v>613</v>
      </c>
      <c r="JG25" s="1">
        <v>1614</v>
      </c>
      <c r="JH25">
        <v>414</v>
      </c>
      <c r="JI25" s="1">
        <v>1968</v>
      </c>
      <c r="JJ25" s="1">
        <v>3996</v>
      </c>
      <c r="JK25" s="1">
        <v>3285</v>
      </c>
      <c r="JL25">
        <v>711</v>
      </c>
      <c r="JM25" s="1">
        <v>21135</v>
      </c>
      <c r="JN25" s="1">
        <v>2213</v>
      </c>
      <c r="JO25" s="1">
        <v>23292</v>
      </c>
      <c r="JP25">
        <v>629</v>
      </c>
      <c r="JQ25" s="1">
        <v>3029</v>
      </c>
      <c r="JR25" s="1">
        <v>25580</v>
      </c>
      <c r="JS25" s="1">
        <v>21764</v>
      </c>
      <c r="JT25" s="1">
        <v>5242</v>
      </c>
      <c r="JU25" s="1">
        <v>48872</v>
      </c>
      <c r="JV25" s="1">
        <v>75878</v>
      </c>
      <c r="JW25" s="1">
        <v>46640</v>
      </c>
      <c r="JX25" s="1">
        <v>29238</v>
      </c>
      <c r="JY25">
        <v>18.989999999999998</v>
      </c>
      <c r="JZ25">
        <v>13.48</v>
      </c>
      <c r="KA25">
        <v>24.83</v>
      </c>
      <c r="KB25">
        <v>0.28999999999999998</v>
      </c>
      <c r="KC25">
        <v>0.64</v>
      </c>
      <c r="KD25">
        <v>32</v>
      </c>
      <c r="KE25">
        <v>141</v>
      </c>
      <c r="KF25">
        <v>908</v>
      </c>
      <c r="KG25" s="1">
        <v>1241</v>
      </c>
      <c r="KN25" s="1">
        <v>101198</v>
      </c>
      <c r="KO25" s="1">
        <v>95737</v>
      </c>
      <c r="KP25" s="1">
        <v>5461</v>
      </c>
      <c r="KR25" s="1">
        <v>1449</v>
      </c>
      <c r="KS25" s="1">
        <v>13437</v>
      </c>
      <c r="KT25" s="1">
        <v>32971</v>
      </c>
      <c r="KU25" s="1">
        <v>33201</v>
      </c>
      <c r="KV25">
        <v>73</v>
      </c>
      <c r="KW25">
        <v>126</v>
      </c>
      <c r="KX25" s="1">
        <v>72101</v>
      </c>
      <c r="KZ25" s="1">
        <v>135599</v>
      </c>
      <c r="LD25" t="s">
        <v>672</v>
      </c>
      <c r="LE25" t="s">
        <v>379</v>
      </c>
      <c r="LF25" t="s">
        <v>660</v>
      </c>
      <c r="LG25" t="s">
        <v>661</v>
      </c>
      <c r="LH25">
        <v>27292</v>
      </c>
      <c r="LI25">
        <v>3239</v>
      </c>
      <c r="LJ25" t="s">
        <v>660</v>
      </c>
      <c r="LK25" t="s">
        <v>661</v>
      </c>
      <c r="LL25">
        <v>27292</v>
      </c>
      <c r="LM25">
        <v>3239</v>
      </c>
      <c r="LN25" t="s">
        <v>663</v>
      </c>
      <c r="LO25">
        <v>3362422040</v>
      </c>
      <c r="LP25">
        <v>3362484122</v>
      </c>
      <c r="LQ25" s="1">
        <v>67854</v>
      </c>
      <c r="LR25">
        <v>55.54</v>
      </c>
      <c r="LT25" s="1">
        <v>16068</v>
      </c>
      <c r="LU25">
        <v>312</v>
      </c>
      <c r="LX25">
        <v>2</v>
      </c>
      <c r="LY25" t="s">
        <v>673</v>
      </c>
      <c r="LZ25">
        <v>0</v>
      </c>
      <c r="MA25" t="s">
        <v>363</v>
      </c>
      <c r="MB25">
        <v>86.52</v>
      </c>
      <c r="MC25">
        <v>58.63</v>
      </c>
      <c r="ME25" s="574">
        <v>6.41</v>
      </c>
      <c r="MF25" s="574">
        <v>4.34</v>
      </c>
      <c r="MG25" s="574">
        <v>0.65</v>
      </c>
      <c r="MH25" s="574">
        <v>34.159999999999997</v>
      </c>
      <c r="MI25" s="574">
        <v>23.12</v>
      </c>
      <c r="MJ25" s="574">
        <v>3.45</v>
      </c>
      <c r="MK25" s="574">
        <v>6.75</v>
      </c>
      <c r="ML25" s="574">
        <v>4.57</v>
      </c>
      <c r="MM25" s="574">
        <v>0.68</v>
      </c>
      <c r="MN25" s="574">
        <v>34.479999999999997</v>
      </c>
      <c r="MO25" s="574">
        <v>23.34</v>
      </c>
      <c r="MP25" s="574">
        <v>3.48</v>
      </c>
      <c r="MQ25" s="574">
        <v>45.99</v>
      </c>
      <c r="MR25" s="574">
        <v>31.13</v>
      </c>
      <c r="MS25" s="574">
        <v>4.6500000000000004</v>
      </c>
      <c r="MT25" s="574">
        <v>21.67</v>
      </c>
      <c r="MU25" s="574">
        <v>14.67</v>
      </c>
      <c r="MV25" s="574">
        <v>2.19</v>
      </c>
      <c r="MW25" s="1">
        <v>1730</v>
      </c>
      <c r="MX25" s="1">
        <v>13493</v>
      </c>
      <c r="MY25" s="1">
        <v>13493</v>
      </c>
      <c r="MZ25" s="1">
        <v>8840</v>
      </c>
      <c r="NA25" s="1">
        <v>68928</v>
      </c>
      <c r="NB25" s="1">
        <v>68928</v>
      </c>
      <c r="NC25" s="1">
        <v>72601</v>
      </c>
      <c r="ND25" s="1">
        <v>72601</v>
      </c>
      <c r="NE25">
        <v>1.27</v>
      </c>
      <c r="NF25" s="1">
        <v>9311</v>
      </c>
      <c r="NG25">
        <v>4.4800000000000004</v>
      </c>
      <c r="NH25">
        <v>3.2959999999999998</v>
      </c>
      <c r="NI25">
        <v>3.13</v>
      </c>
      <c r="NJ25">
        <v>322.77999999999997</v>
      </c>
      <c r="NK25">
        <v>325.02999999999997</v>
      </c>
      <c r="NL25">
        <v>0.61260000000000003</v>
      </c>
      <c r="NM25">
        <v>0.9748</v>
      </c>
      <c r="NN25">
        <v>0.62</v>
      </c>
      <c r="NO25">
        <v>0.46</v>
      </c>
      <c r="NP25">
        <v>0.2</v>
      </c>
      <c r="NQ25">
        <v>0.2</v>
      </c>
      <c r="NR25">
        <v>0.44</v>
      </c>
      <c r="NS25">
        <v>0.13</v>
      </c>
      <c r="NT25">
        <v>0.3</v>
      </c>
      <c r="NU25" s="574">
        <v>14.3</v>
      </c>
      <c r="NV25">
        <v>2.601</v>
      </c>
      <c r="NW25">
        <v>0</v>
      </c>
      <c r="NX25">
        <v>0.01</v>
      </c>
      <c r="NY25">
        <v>0.374</v>
      </c>
      <c r="NZ25">
        <v>1E-3</v>
      </c>
      <c r="OA25">
        <v>7.3400000000000007E-2</v>
      </c>
      <c r="OB25">
        <v>0.57250000000000001</v>
      </c>
      <c r="OC25">
        <v>15.84</v>
      </c>
      <c r="OD25">
        <v>1.879</v>
      </c>
      <c r="OE25">
        <v>0.30859999999999999</v>
      </c>
      <c r="OF25">
        <v>604.21199999999999</v>
      </c>
      <c r="OG25">
        <v>0.94</v>
      </c>
      <c r="OH25" s="574">
        <v>4.6900000000000004</v>
      </c>
      <c r="OI25">
        <v>359</v>
      </c>
      <c r="OJ25">
        <v>163</v>
      </c>
      <c r="OK25" s="574">
        <v>21.12</v>
      </c>
      <c r="OL25" s="574">
        <v>2.13</v>
      </c>
      <c r="OM25" s="574">
        <v>1.45</v>
      </c>
      <c r="ON25">
        <v>0.35399999999999998</v>
      </c>
      <c r="OO25">
        <v>4.5400000000000003E-2</v>
      </c>
      <c r="OP25">
        <v>0.49909999999999999</v>
      </c>
      <c r="OQ25" s="574">
        <v>1.1299999999999999</v>
      </c>
      <c r="OR25" s="574">
        <v>19.86</v>
      </c>
      <c r="OS25" s="574">
        <v>0.04</v>
      </c>
      <c r="OT25" s="574">
        <v>0.65</v>
      </c>
      <c r="OU25" s="574">
        <v>21.68</v>
      </c>
      <c r="OV25">
        <v>634</v>
      </c>
      <c r="OW25">
        <v>638</v>
      </c>
      <c r="OX25">
        <v>1.05</v>
      </c>
      <c r="OY25" s="1">
        <v>10471</v>
      </c>
      <c r="OZ25">
        <v>32.17</v>
      </c>
      <c r="PA25" s="1">
        <v>9942</v>
      </c>
      <c r="PB25">
        <v>6.3</v>
      </c>
      <c r="PC25">
        <v>33.89</v>
      </c>
      <c r="PD25">
        <v>0.2</v>
      </c>
      <c r="PE25" s="1">
        <v>1946</v>
      </c>
      <c r="PF25">
        <v>0.79</v>
      </c>
      <c r="PG25" s="574">
        <v>0.68</v>
      </c>
      <c r="PH25">
        <v>0.83</v>
      </c>
      <c r="PI25">
        <v>9.73</v>
      </c>
      <c r="PJ25">
        <v>5.33</v>
      </c>
      <c r="PK25" s="574">
        <v>6.75</v>
      </c>
      <c r="PL25">
        <v>51.5</v>
      </c>
      <c r="PM25" s="4">
        <v>40386</v>
      </c>
      <c r="PN25" s="4">
        <v>29530</v>
      </c>
      <c r="PO25">
        <v>0.1074</v>
      </c>
      <c r="PP25">
        <v>0.57789999999999997</v>
      </c>
      <c r="PQ25">
        <v>0.11310000000000001</v>
      </c>
      <c r="PR25">
        <v>1.38E-2</v>
      </c>
      <c r="PS25">
        <v>7.4099999999999999E-2</v>
      </c>
      <c r="PT25">
        <v>1.4500000000000001E-2</v>
      </c>
      <c r="PU25" s="3">
        <v>1</v>
      </c>
      <c r="PV25" s="3">
        <v>0.12820000000000001</v>
      </c>
      <c r="PW25" s="3">
        <v>0.87180000000000002</v>
      </c>
      <c r="PX25" s="3">
        <v>0.26879999999999998</v>
      </c>
      <c r="PY25" s="3">
        <v>0.73119999999999996</v>
      </c>
      <c r="PZ25" s="3">
        <v>0.10100000000000001</v>
      </c>
      <c r="QA25" s="3">
        <v>2.7900000000000001E-2</v>
      </c>
      <c r="QB25" s="3">
        <v>0.18190000000000001</v>
      </c>
      <c r="QC25" s="3">
        <v>4.3E-3</v>
      </c>
      <c r="QD25" s="3">
        <v>0.22209999999999999</v>
      </c>
      <c r="QE25" s="3">
        <v>6.8900000000000003E-2</v>
      </c>
      <c r="QF25" s="3">
        <v>0.49490000000000001</v>
      </c>
      <c r="QG25" s="3">
        <v>0.67679999999999996</v>
      </c>
      <c r="QH25" s="3">
        <v>1.9E-3</v>
      </c>
      <c r="QI25" s="3">
        <v>0.91620000000000001</v>
      </c>
      <c r="QJ25" s="3">
        <v>2.9899999999999999E-2</v>
      </c>
      <c r="QK25" s="3">
        <v>5.1900000000000002E-2</v>
      </c>
      <c r="QL25" s="4">
        <v>10855</v>
      </c>
      <c r="QM25">
        <v>5.0599999999999996</v>
      </c>
      <c r="QN25" s="1">
        <v>22026</v>
      </c>
      <c r="QO25" s="1">
        <v>22026</v>
      </c>
      <c r="QP25" s="1">
        <v>2825</v>
      </c>
      <c r="QQ25" s="3">
        <v>0.68149999999999999</v>
      </c>
      <c r="QR25" s="3">
        <v>0.27610000000000001</v>
      </c>
      <c r="QS25" s="3">
        <v>4.24E-2</v>
      </c>
      <c r="QT25" s="3">
        <v>0.12820000000000001</v>
      </c>
      <c r="QU25">
        <v>0.32</v>
      </c>
      <c r="QV25">
        <v>0.86</v>
      </c>
      <c r="QW25">
        <v>0.23</v>
      </c>
      <c r="QX25">
        <v>6</v>
      </c>
      <c r="QY25">
        <v>2.27</v>
      </c>
      <c r="QZ25">
        <v>36</v>
      </c>
      <c r="RA25">
        <v>1.54</v>
      </c>
      <c r="RB25">
        <v>0.16</v>
      </c>
      <c r="RC25">
        <v>0.15</v>
      </c>
    </row>
    <row r="26" spans="1:471" x14ac:dyDescent="0.25">
      <c r="A26" t="s">
        <v>674</v>
      </c>
      <c r="B26">
        <v>11667</v>
      </c>
      <c r="C26" t="s">
        <v>1754</v>
      </c>
      <c r="D26" t="s">
        <v>1754</v>
      </c>
      <c r="E26" t="s">
        <v>1754</v>
      </c>
      <c r="F26" t="s">
        <v>1755</v>
      </c>
      <c r="G26" t="s">
        <v>1755</v>
      </c>
      <c r="H26" t="s">
        <v>675</v>
      </c>
      <c r="I26" t="s">
        <v>342</v>
      </c>
      <c r="J26" t="s">
        <v>343</v>
      </c>
      <c r="K26" t="s">
        <v>344</v>
      </c>
      <c r="L26" t="s">
        <v>345</v>
      </c>
      <c r="M26" t="s">
        <v>346</v>
      </c>
      <c r="N26" t="s">
        <v>347</v>
      </c>
      <c r="O26" s="1">
        <v>41743</v>
      </c>
      <c r="P26" t="s">
        <v>348</v>
      </c>
      <c r="Q26">
        <v>240</v>
      </c>
      <c r="R26">
        <v>35</v>
      </c>
      <c r="S26">
        <v>63</v>
      </c>
      <c r="T26">
        <v>88</v>
      </c>
      <c r="U26" s="1">
        <v>1652</v>
      </c>
      <c r="V26">
        <v>349</v>
      </c>
      <c r="W26" s="1">
        <v>11291</v>
      </c>
      <c r="X26" s="1">
        <v>1182</v>
      </c>
      <c r="Y26" s="1">
        <v>229680</v>
      </c>
      <c r="Z26" s="1">
        <v>46260</v>
      </c>
      <c r="AC26" t="s">
        <v>676</v>
      </c>
      <c r="AD26" t="s">
        <v>677</v>
      </c>
      <c r="AE26">
        <v>27028</v>
      </c>
      <c r="AF26">
        <v>2115</v>
      </c>
      <c r="AG26" t="s">
        <v>676</v>
      </c>
      <c r="AH26" t="s">
        <v>677</v>
      </c>
      <c r="AI26">
        <v>27028</v>
      </c>
      <c r="AJ26">
        <v>2</v>
      </c>
      <c r="AK26" t="s">
        <v>678</v>
      </c>
      <c r="AM26" t="s">
        <v>0</v>
      </c>
      <c r="AN26" t="s">
        <v>679</v>
      </c>
      <c r="AO26" t="s">
        <v>680</v>
      </c>
      <c r="AP26">
        <v>3367536034</v>
      </c>
      <c r="AQ26" t="s">
        <v>682</v>
      </c>
      <c r="AR26" t="s">
        <v>683</v>
      </c>
      <c r="AS26" t="s">
        <v>680</v>
      </c>
      <c r="AT26" t="s">
        <v>376</v>
      </c>
      <c r="AU26" t="s">
        <v>681</v>
      </c>
      <c r="AV26" t="s">
        <v>682</v>
      </c>
      <c r="AW26" t="s">
        <v>683</v>
      </c>
      <c r="AX26" t="s">
        <v>684</v>
      </c>
      <c r="AY26">
        <v>0</v>
      </c>
      <c r="AZ26">
        <v>0</v>
      </c>
      <c r="BA26">
        <v>0</v>
      </c>
      <c r="BB26" s="573">
        <v>42186</v>
      </c>
      <c r="BC26" s="573">
        <v>42551</v>
      </c>
      <c r="BD26">
        <v>1</v>
      </c>
      <c r="BE26">
        <v>1</v>
      </c>
      <c r="BF26">
        <v>0</v>
      </c>
      <c r="BG26">
        <v>1</v>
      </c>
      <c r="BH26">
        <v>3</v>
      </c>
      <c r="BJ26" s="1">
        <v>4640</v>
      </c>
      <c r="BK26">
        <v>1.88</v>
      </c>
      <c r="BL26">
        <v>0.94</v>
      </c>
      <c r="BM26">
        <v>2.82</v>
      </c>
      <c r="BN26">
        <v>7.2</v>
      </c>
      <c r="BO26">
        <v>10.02</v>
      </c>
      <c r="BP26" s="3">
        <v>0.18759999999999999</v>
      </c>
      <c r="BQ26" s="1">
        <v>1999</v>
      </c>
      <c r="BR26" s="4">
        <v>61021</v>
      </c>
      <c r="DW26" s="4">
        <v>49831</v>
      </c>
      <c r="DX26" s="4">
        <v>448125</v>
      </c>
      <c r="DY26" s="4">
        <v>497956</v>
      </c>
      <c r="DZ26" s="4">
        <v>91007</v>
      </c>
      <c r="EA26" s="4">
        <v>0</v>
      </c>
      <c r="EB26" s="4">
        <v>91007</v>
      </c>
      <c r="EC26" s="4">
        <v>750</v>
      </c>
      <c r="ED26" s="4">
        <v>0</v>
      </c>
      <c r="EE26" s="4">
        <v>750</v>
      </c>
      <c r="EF26" s="4">
        <v>59814</v>
      </c>
      <c r="EG26" s="4">
        <v>649527</v>
      </c>
      <c r="EH26" s="4">
        <v>337199</v>
      </c>
      <c r="EI26" s="4">
        <v>100183</v>
      </c>
      <c r="EJ26" s="4">
        <v>437382</v>
      </c>
      <c r="EK26" s="4">
        <v>85117</v>
      </c>
      <c r="EL26" s="4">
        <v>17558</v>
      </c>
      <c r="EM26" s="4">
        <v>14809</v>
      </c>
      <c r="EN26" s="4">
        <v>117484</v>
      </c>
      <c r="EO26" s="4">
        <v>94661</v>
      </c>
      <c r="EP26" s="4">
        <v>649527</v>
      </c>
      <c r="EQ26" s="4">
        <v>0</v>
      </c>
      <c r="ER26" s="3">
        <v>0</v>
      </c>
      <c r="ES26" s="4">
        <v>8085</v>
      </c>
      <c r="ET26" s="4">
        <v>0</v>
      </c>
      <c r="EU26" s="4">
        <v>0</v>
      </c>
      <c r="EV26" s="4">
        <v>0</v>
      </c>
      <c r="EW26" s="4">
        <v>8085</v>
      </c>
      <c r="EX26" s="4">
        <v>8085</v>
      </c>
      <c r="EY26" s="1">
        <v>9605</v>
      </c>
      <c r="EZ26" s="1">
        <v>134570</v>
      </c>
      <c r="FA26" s="1">
        <v>21669</v>
      </c>
      <c r="FB26" s="1">
        <v>2883</v>
      </c>
      <c r="FC26" s="1">
        <v>16867</v>
      </c>
      <c r="FD26" s="1">
        <v>21845</v>
      </c>
      <c r="FE26">
        <v>546</v>
      </c>
      <c r="FF26" s="1">
        <v>9733</v>
      </c>
      <c r="FG26" s="1">
        <v>43514</v>
      </c>
      <c r="FH26" s="1">
        <v>3429</v>
      </c>
      <c r="FI26" s="1">
        <v>26600</v>
      </c>
      <c r="FJ26" s="1">
        <v>73543</v>
      </c>
      <c r="FK26">
        <v>195</v>
      </c>
      <c r="FL26">
        <v>80</v>
      </c>
      <c r="FN26" s="1">
        <v>73543</v>
      </c>
      <c r="FO26" s="1">
        <v>4067</v>
      </c>
      <c r="FP26" s="1">
        <v>2331</v>
      </c>
      <c r="FQ26">
        <v>57</v>
      </c>
      <c r="FR26">
        <v>9</v>
      </c>
      <c r="FS26">
        <v>74</v>
      </c>
      <c r="FT26">
        <v>83</v>
      </c>
      <c r="FU26" s="1">
        <v>26725</v>
      </c>
      <c r="FV26" s="1">
        <v>2022</v>
      </c>
      <c r="FW26">
        <v>0</v>
      </c>
      <c r="GC26" s="1">
        <v>23798</v>
      </c>
      <c r="GD26" s="1">
        <v>1183</v>
      </c>
      <c r="GE26">
        <v>205</v>
      </c>
      <c r="GK26">
        <v>280</v>
      </c>
      <c r="GL26">
        <v>2</v>
      </c>
      <c r="GM26">
        <v>0</v>
      </c>
      <c r="GN26">
        <v>-1</v>
      </c>
      <c r="GO26" s="1">
        <v>50803</v>
      </c>
      <c r="GP26" s="1">
        <v>3207</v>
      </c>
      <c r="GQ26">
        <v>205</v>
      </c>
      <c r="GR26">
        <v>-1</v>
      </c>
      <c r="GS26">
        <v>35</v>
      </c>
      <c r="GU26" s="1">
        <v>25756</v>
      </c>
      <c r="GV26" s="1">
        <v>3101</v>
      </c>
      <c r="GW26" s="1">
        <v>26771</v>
      </c>
      <c r="GX26" s="1">
        <v>6733</v>
      </c>
      <c r="GY26">
        <v>195</v>
      </c>
      <c r="GZ26" s="1">
        <v>5650</v>
      </c>
      <c r="HA26" s="1">
        <v>32489</v>
      </c>
      <c r="HB26" s="1">
        <v>3296</v>
      </c>
      <c r="HC26" s="1">
        <v>32421</v>
      </c>
      <c r="HD26" s="1">
        <v>68206</v>
      </c>
      <c r="HE26">
        <v>292</v>
      </c>
      <c r="HF26" s="1">
        <v>69658</v>
      </c>
      <c r="HG26" s="1">
        <v>4965</v>
      </c>
      <c r="HH26" s="1">
        <v>7608</v>
      </c>
      <c r="HI26" s="1">
        <v>1160</v>
      </c>
      <c r="HJ26" s="1">
        <v>1501</v>
      </c>
      <c r="HK26" s="1">
        <v>14074</v>
      </c>
      <c r="HL26" s="1">
        <v>83732</v>
      </c>
      <c r="HM26">
        <v>6</v>
      </c>
      <c r="HN26" s="1">
        <v>9366</v>
      </c>
      <c r="HO26" s="1">
        <v>9372</v>
      </c>
      <c r="HP26">
        <v>5</v>
      </c>
      <c r="HQ26">
        <v>781</v>
      </c>
      <c r="HR26">
        <v>786</v>
      </c>
      <c r="HS26">
        <v>0</v>
      </c>
      <c r="HT26">
        <v>27</v>
      </c>
      <c r="HU26">
        <v>27</v>
      </c>
      <c r="HV26">
        <v>0</v>
      </c>
      <c r="HW26" s="1">
        <v>10185</v>
      </c>
      <c r="HX26" s="1">
        <v>7314</v>
      </c>
      <c r="HY26" s="1">
        <v>9762</v>
      </c>
      <c r="HZ26" s="1">
        <v>17076</v>
      </c>
      <c r="IA26" s="1">
        <v>27261</v>
      </c>
      <c r="IB26" s="1">
        <v>5751</v>
      </c>
      <c r="IC26" s="1">
        <v>13386</v>
      </c>
      <c r="ID26" s="1">
        <v>93917</v>
      </c>
      <c r="IE26" s="1">
        <v>93917</v>
      </c>
      <c r="IF26" s="1">
        <v>110993</v>
      </c>
      <c r="IG26" s="1">
        <v>35717</v>
      </c>
      <c r="IH26">
        <v>557</v>
      </c>
      <c r="IK26">
        <v>1</v>
      </c>
      <c r="IL26" s="3">
        <v>1.8800000000000001E-2</v>
      </c>
      <c r="IM26" s="3">
        <v>5.9999999999999995E-4</v>
      </c>
      <c r="IN26" s="3">
        <v>0.40289999999999998</v>
      </c>
      <c r="IO26" s="3">
        <v>0</v>
      </c>
      <c r="IP26" s="3">
        <v>0.3775</v>
      </c>
      <c r="IQ26" s="3">
        <v>5.9999999999999995E-4</v>
      </c>
      <c r="IR26" s="3">
        <v>0.54649999999999999</v>
      </c>
      <c r="IS26" s="3">
        <v>5.4100000000000002E-2</v>
      </c>
      <c r="IT26" s="3">
        <v>0.38030000000000003</v>
      </c>
      <c r="IU26" s="1">
        <v>16050</v>
      </c>
      <c r="IV26" s="1">
        <v>5459</v>
      </c>
      <c r="IW26" s="1">
        <v>21509</v>
      </c>
      <c r="IX26" s="3">
        <v>0.51529999999999998</v>
      </c>
      <c r="IY26" s="1">
        <v>60961</v>
      </c>
      <c r="JA26">
        <v>107</v>
      </c>
      <c r="JB26">
        <v>100</v>
      </c>
      <c r="JC26">
        <v>167</v>
      </c>
      <c r="JD26">
        <v>12</v>
      </c>
      <c r="JE26">
        <v>10</v>
      </c>
      <c r="JF26">
        <v>624</v>
      </c>
      <c r="JG26">
        <v>119</v>
      </c>
      <c r="JH26">
        <v>110</v>
      </c>
      <c r="JI26">
        <v>791</v>
      </c>
      <c r="JJ26" s="1">
        <v>1020</v>
      </c>
      <c r="JK26">
        <v>374</v>
      </c>
      <c r="JL26">
        <v>646</v>
      </c>
      <c r="JM26">
        <v>625</v>
      </c>
      <c r="JN26">
        <v>747</v>
      </c>
      <c r="JO26" s="1">
        <v>4044</v>
      </c>
      <c r="JP26">
        <v>70</v>
      </c>
      <c r="JQ26">
        <v>100</v>
      </c>
      <c r="JR26" s="1">
        <v>20239</v>
      </c>
      <c r="JS26">
        <v>695</v>
      </c>
      <c r="JT26">
        <v>847</v>
      </c>
      <c r="JU26" s="1">
        <v>24283</v>
      </c>
      <c r="JV26" s="1">
        <v>25825</v>
      </c>
      <c r="JW26" s="1">
        <v>5416</v>
      </c>
      <c r="JX26" s="1">
        <v>20409</v>
      </c>
      <c r="JY26">
        <v>25.32</v>
      </c>
      <c r="JZ26">
        <v>5.84</v>
      </c>
      <c r="KA26">
        <v>30.7</v>
      </c>
      <c r="KB26">
        <v>0.03</v>
      </c>
      <c r="KC26">
        <v>0.94</v>
      </c>
      <c r="KD26">
        <v>90</v>
      </c>
      <c r="KE26">
        <v>150</v>
      </c>
      <c r="KF26">
        <v>11</v>
      </c>
      <c r="KG26">
        <v>25</v>
      </c>
      <c r="KN26" s="1">
        <v>3981</v>
      </c>
      <c r="KO26" s="1">
        <v>1563</v>
      </c>
      <c r="KP26">
        <v>327</v>
      </c>
      <c r="KR26">
        <v>992</v>
      </c>
      <c r="KS26" s="1">
        <v>7586</v>
      </c>
      <c r="KT26" s="1">
        <v>6682</v>
      </c>
      <c r="KU26" s="1">
        <v>6320</v>
      </c>
      <c r="KV26">
        <v>15</v>
      </c>
      <c r="KW26">
        <v>37</v>
      </c>
      <c r="KX26" s="1">
        <v>11146</v>
      </c>
      <c r="KZ26" s="1">
        <v>15723</v>
      </c>
      <c r="LA26" s="1">
        <v>4153</v>
      </c>
      <c r="LD26" t="s">
        <v>678</v>
      </c>
      <c r="LE26" t="s">
        <v>379</v>
      </c>
      <c r="LF26" t="s">
        <v>676</v>
      </c>
      <c r="LG26" t="s">
        <v>677</v>
      </c>
      <c r="LH26">
        <v>27028</v>
      </c>
      <c r="LI26">
        <v>2115</v>
      </c>
      <c r="LJ26" t="s">
        <v>676</v>
      </c>
      <c r="LK26" t="s">
        <v>677</v>
      </c>
      <c r="LL26">
        <v>27028</v>
      </c>
      <c r="LM26">
        <v>2115</v>
      </c>
      <c r="LN26" t="s">
        <v>679</v>
      </c>
      <c r="LO26">
        <v>3367536030</v>
      </c>
      <c r="LP26">
        <v>3367511370</v>
      </c>
      <c r="LQ26" s="1">
        <v>18120</v>
      </c>
      <c r="LR26">
        <v>10.01</v>
      </c>
      <c r="LT26" s="1">
        <v>4640</v>
      </c>
      <c r="LU26">
        <v>104</v>
      </c>
      <c r="LX26">
        <v>2</v>
      </c>
      <c r="LY26" t="s">
        <v>685</v>
      </c>
      <c r="LZ26">
        <v>0</v>
      </c>
      <c r="MA26" t="s">
        <v>363</v>
      </c>
      <c r="MB26">
        <v>5.2</v>
      </c>
      <c r="MC26">
        <v>17.28</v>
      </c>
      <c r="ME26" s="574">
        <v>6.92</v>
      </c>
      <c r="MF26" s="574">
        <v>4.66</v>
      </c>
      <c r="MG26" s="574">
        <v>1.25</v>
      </c>
      <c r="MH26" s="574">
        <v>30.2</v>
      </c>
      <c r="MI26" s="574">
        <v>20.329999999999998</v>
      </c>
      <c r="MJ26" s="574">
        <v>5.46</v>
      </c>
      <c r="MK26" s="574">
        <v>10.65</v>
      </c>
      <c r="ML26" s="574">
        <v>7.17</v>
      </c>
      <c r="MM26" s="574">
        <v>1.93</v>
      </c>
      <c r="MN26" s="574">
        <v>163.16</v>
      </c>
      <c r="MO26" s="574">
        <v>109.87</v>
      </c>
      <c r="MP26" s="574">
        <v>29.51</v>
      </c>
      <c r="MQ26" s="574">
        <v>25.15</v>
      </c>
      <c r="MR26" s="574">
        <v>16.940000000000001</v>
      </c>
      <c r="MS26" s="574">
        <v>4.55</v>
      </c>
      <c r="MT26" s="574">
        <v>18.190000000000001</v>
      </c>
      <c r="MU26" s="574">
        <v>12.25</v>
      </c>
      <c r="MV26" s="574">
        <v>3.29</v>
      </c>
      <c r="MW26">
        <v>397</v>
      </c>
      <c r="MX26" s="1">
        <v>2118</v>
      </c>
      <c r="MY26" s="1">
        <v>1412</v>
      </c>
      <c r="MZ26" s="1">
        <v>6084</v>
      </c>
      <c r="NA26" s="1">
        <v>32426</v>
      </c>
      <c r="NB26" s="1">
        <v>21617</v>
      </c>
      <c r="NC26" s="1">
        <v>33304</v>
      </c>
      <c r="ND26" s="1">
        <v>49956</v>
      </c>
      <c r="NE26">
        <v>0.7</v>
      </c>
      <c r="NF26" s="1">
        <v>9373</v>
      </c>
      <c r="NG26">
        <v>4.51</v>
      </c>
      <c r="NH26">
        <v>2.25</v>
      </c>
      <c r="NI26">
        <v>1.46</v>
      </c>
      <c r="NJ26">
        <v>310.66000000000003</v>
      </c>
      <c r="NK26">
        <v>293.83</v>
      </c>
      <c r="NL26">
        <v>9.5399999999999999E-2</v>
      </c>
      <c r="NM26">
        <v>0.85560000000000003</v>
      </c>
      <c r="NN26">
        <v>0.52</v>
      </c>
      <c r="NO26">
        <v>0.62</v>
      </c>
      <c r="NP26">
        <v>0.16</v>
      </c>
      <c r="NQ26">
        <v>0.15</v>
      </c>
      <c r="NR26">
        <v>0.27</v>
      </c>
      <c r="NS26">
        <v>0.02</v>
      </c>
      <c r="NT26">
        <v>0.57999999999999996</v>
      </c>
      <c r="NU26" s="574">
        <v>10.48</v>
      </c>
      <c r="NV26">
        <v>3.2240000000000002</v>
      </c>
      <c r="NW26">
        <v>0</v>
      </c>
      <c r="NX26">
        <v>2E-3</v>
      </c>
      <c r="NY26">
        <v>1.2170000000000001</v>
      </c>
      <c r="NZ26">
        <v>2E-3</v>
      </c>
      <c r="OA26">
        <v>8.7400000000000005E-2</v>
      </c>
      <c r="OB26">
        <v>0.46589999999999998</v>
      </c>
      <c r="OC26">
        <v>3.7189999999999999</v>
      </c>
      <c r="OD26">
        <v>1.762</v>
      </c>
      <c r="OE26">
        <v>0.17249999999999999</v>
      </c>
      <c r="OF26" s="2">
        <v>2361.942</v>
      </c>
      <c r="OG26">
        <v>3.859</v>
      </c>
      <c r="OH26" s="574">
        <v>2.27</v>
      </c>
      <c r="OI26">
        <v>338</v>
      </c>
      <c r="OJ26">
        <v>118</v>
      </c>
      <c r="OK26" s="574">
        <v>15.56</v>
      </c>
      <c r="OL26" s="574">
        <v>2.81</v>
      </c>
      <c r="OM26" s="574">
        <v>2.04</v>
      </c>
      <c r="ON26">
        <v>0.24</v>
      </c>
      <c r="OO26">
        <v>4.4999999999999998E-2</v>
      </c>
      <c r="OP26">
        <v>0.3347</v>
      </c>
      <c r="OQ26" s="574">
        <v>2.1800000000000002</v>
      </c>
      <c r="OR26" s="574">
        <v>11.93</v>
      </c>
      <c r="OS26" s="574">
        <v>0.02</v>
      </c>
      <c r="OT26" s="574">
        <v>1.43</v>
      </c>
      <c r="OU26" s="574">
        <v>15.56</v>
      </c>
      <c r="OV26">
        <v>129</v>
      </c>
      <c r="OW26">
        <v>122</v>
      </c>
      <c r="OX26">
        <v>1.54</v>
      </c>
      <c r="OY26" s="1">
        <v>1806</v>
      </c>
      <c r="OZ26">
        <v>13.14</v>
      </c>
      <c r="PA26" s="1">
        <v>1172</v>
      </c>
      <c r="PB26">
        <v>0.86</v>
      </c>
      <c r="PC26">
        <v>20.239999999999998</v>
      </c>
      <c r="PD26">
        <v>7.0000000000000007E-2</v>
      </c>
      <c r="PE26">
        <v>77</v>
      </c>
      <c r="PF26">
        <v>1.43</v>
      </c>
      <c r="PG26" s="574">
        <v>1.93</v>
      </c>
      <c r="PH26">
        <v>2.21</v>
      </c>
      <c r="PI26">
        <v>11.12</v>
      </c>
      <c r="PJ26">
        <v>4.37</v>
      </c>
      <c r="PK26" s="574">
        <v>10.65</v>
      </c>
      <c r="PL26">
        <v>29.74</v>
      </c>
      <c r="PM26" s="4">
        <v>43651</v>
      </c>
      <c r="PN26" s="4">
        <v>33653</v>
      </c>
      <c r="PO26">
        <v>0.1067</v>
      </c>
      <c r="PP26">
        <v>2.5169999999999999</v>
      </c>
      <c r="PQ26">
        <v>0.16439999999999999</v>
      </c>
      <c r="PR26">
        <v>0.02</v>
      </c>
      <c r="PS26">
        <v>0.47220000000000001</v>
      </c>
      <c r="PT26">
        <v>3.0800000000000001E-2</v>
      </c>
      <c r="PU26" s="3">
        <v>0.66669999999999996</v>
      </c>
      <c r="PV26" s="3">
        <v>0.28139999999999998</v>
      </c>
      <c r="PW26" s="3">
        <v>0.71860000000000002</v>
      </c>
      <c r="PX26" s="3">
        <v>0.2291</v>
      </c>
      <c r="PY26" s="3">
        <v>0.77090000000000003</v>
      </c>
      <c r="PZ26" s="3">
        <v>0.18090000000000001</v>
      </c>
      <c r="QA26" s="3">
        <v>2.7E-2</v>
      </c>
      <c r="QB26" s="3">
        <v>0.1542</v>
      </c>
      <c r="QC26" s="3">
        <v>2.2800000000000001E-2</v>
      </c>
      <c r="QD26" s="3">
        <v>0.1457</v>
      </c>
      <c r="QE26" s="3">
        <v>0.13100000000000001</v>
      </c>
      <c r="QF26" s="3">
        <v>0.51910000000000001</v>
      </c>
      <c r="QG26" s="3">
        <v>0.6734</v>
      </c>
      <c r="QH26" s="3">
        <v>1.1999999999999999E-3</v>
      </c>
      <c r="QI26" s="3">
        <v>0.76659999999999995</v>
      </c>
      <c r="QJ26" s="3">
        <v>9.2100000000000001E-2</v>
      </c>
      <c r="QK26" s="3">
        <v>0.1401</v>
      </c>
      <c r="QL26" s="4">
        <v>9998</v>
      </c>
      <c r="QM26">
        <v>2.83</v>
      </c>
      <c r="QN26" s="1">
        <v>14802</v>
      </c>
      <c r="QO26" s="1">
        <v>22204</v>
      </c>
      <c r="QP26" s="1">
        <v>4166</v>
      </c>
      <c r="QQ26" s="3">
        <v>0.72450000000000003</v>
      </c>
      <c r="QR26" s="3">
        <v>0.14949999999999999</v>
      </c>
      <c r="QS26" s="3">
        <v>0.12609999999999999</v>
      </c>
      <c r="QT26" s="3">
        <v>0.18759999999999999</v>
      </c>
      <c r="QU26">
        <v>0.28000000000000003</v>
      </c>
      <c r="QV26">
        <v>0.94</v>
      </c>
      <c r="QW26">
        <v>0.21</v>
      </c>
      <c r="QX26">
        <v>5</v>
      </c>
      <c r="QY26">
        <v>1.1000000000000001</v>
      </c>
      <c r="QZ26">
        <v>6</v>
      </c>
      <c r="RA26">
        <v>0.8</v>
      </c>
      <c r="RB26">
        <v>0.14000000000000001</v>
      </c>
      <c r="RC26">
        <v>0.14000000000000001</v>
      </c>
    </row>
    <row r="27" spans="1:471" x14ac:dyDescent="0.25">
      <c r="A27" t="s">
        <v>686</v>
      </c>
      <c r="B27">
        <v>11668</v>
      </c>
      <c r="C27" t="s">
        <v>1754</v>
      </c>
      <c r="D27" t="s">
        <v>1754</v>
      </c>
      <c r="E27" t="s">
        <v>1754</v>
      </c>
      <c r="F27" t="s">
        <v>1755</v>
      </c>
      <c r="G27" t="s">
        <v>1755</v>
      </c>
      <c r="H27" t="s">
        <v>687</v>
      </c>
      <c r="I27" t="s">
        <v>342</v>
      </c>
      <c r="J27" t="s">
        <v>343</v>
      </c>
      <c r="K27" t="s">
        <v>344</v>
      </c>
      <c r="L27" t="s">
        <v>345</v>
      </c>
      <c r="M27" t="s">
        <v>346</v>
      </c>
      <c r="N27" t="s">
        <v>347</v>
      </c>
      <c r="O27" s="1">
        <v>59868</v>
      </c>
      <c r="P27" t="s">
        <v>348</v>
      </c>
      <c r="Q27">
        <v>173</v>
      </c>
      <c r="R27">
        <v>0</v>
      </c>
      <c r="S27">
        <v>21</v>
      </c>
      <c r="T27">
        <v>0</v>
      </c>
      <c r="U27">
        <v>561</v>
      </c>
      <c r="V27">
        <v>0</v>
      </c>
      <c r="W27" s="1">
        <v>7583</v>
      </c>
      <c r="X27">
        <v>0</v>
      </c>
      <c r="Y27" s="1">
        <v>26715</v>
      </c>
      <c r="Z27">
        <v>0</v>
      </c>
      <c r="AC27" t="s">
        <v>688</v>
      </c>
      <c r="AD27" t="s">
        <v>689</v>
      </c>
      <c r="AE27">
        <v>28349</v>
      </c>
      <c r="AF27">
        <v>930</v>
      </c>
      <c r="AG27" t="s">
        <v>690</v>
      </c>
      <c r="AH27" t="s">
        <v>689</v>
      </c>
      <c r="AI27">
        <v>28349</v>
      </c>
      <c r="AJ27">
        <v>2</v>
      </c>
      <c r="AK27" t="s">
        <v>691</v>
      </c>
      <c r="AM27" t="s">
        <v>0</v>
      </c>
      <c r="AN27" t="s">
        <v>692</v>
      </c>
      <c r="AO27" t="s">
        <v>1909</v>
      </c>
      <c r="AP27">
        <v>9102962117</v>
      </c>
      <c r="AQ27" t="s">
        <v>694</v>
      </c>
      <c r="AR27" t="s">
        <v>1910</v>
      </c>
      <c r="AS27" t="s">
        <v>1909</v>
      </c>
      <c r="AT27" t="s">
        <v>1</v>
      </c>
      <c r="AU27" t="s">
        <v>693</v>
      </c>
      <c r="AV27" t="s">
        <v>694</v>
      </c>
      <c r="AW27" t="s">
        <v>1910</v>
      </c>
      <c r="AX27" t="s">
        <v>696</v>
      </c>
      <c r="AY27">
        <v>0</v>
      </c>
      <c r="AZ27">
        <v>0</v>
      </c>
      <c r="BA27">
        <v>0</v>
      </c>
      <c r="BB27" s="573">
        <v>42186</v>
      </c>
      <c r="BC27" s="573">
        <v>42551</v>
      </c>
      <c r="BD27">
        <v>1</v>
      </c>
      <c r="BE27">
        <v>5</v>
      </c>
      <c r="BF27">
        <v>0</v>
      </c>
      <c r="BG27">
        <v>0</v>
      </c>
      <c r="BH27">
        <v>6</v>
      </c>
      <c r="BJ27" s="1">
        <v>7496</v>
      </c>
      <c r="BK27">
        <v>1</v>
      </c>
      <c r="BL27">
        <v>0</v>
      </c>
      <c r="BM27">
        <v>1</v>
      </c>
      <c r="BN27">
        <v>9.35</v>
      </c>
      <c r="BO27">
        <v>10.35</v>
      </c>
      <c r="BP27" s="3">
        <v>9.6600000000000005E-2</v>
      </c>
      <c r="BQ27">
        <v>0</v>
      </c>
      <c r="BR27" s="4">
        <v>61556</v>
      </c>
      <c r="DW27" s="4">
        <v>36880</v>
      </c>
      <c r="DX27" s="4">
        <v>480946</v>
      </c>
      <c r="DY27" s="4">
        <v>517826</v>
      </c>
      <c r="DZ27" s="4">
        <v>124675</v>
      </c>
      <c r="EA27" s="4">
        <v>0</v>
      </c>
      <c r="EB27" s="4">
        <v>124675</v>
      </c>
      <c r="EC27" s="4">
        <v>0</v>
      </c>
      <c r="ED27" s="4">
        <v>0</v>
      </c>
      <c r="EE27" s="4">
        <v>0</v>
      </c>
      <c r="EF27" s="4">
        <v>0</v>
      </c>
      <c r="EG27" s="4">
        <v>642501</v>
      </c>
      <c r="EH27" s="4">
        <v>239868</v>
      </c>
      <c r="EI27" s="4">
        <v>80426</v>
      </c>
      <c r="EJ27" s="4">
        <v>320294</v>
      </c>
      <c r="EK27" s="4">
        <v>93847</v>
      </c>
      <c r="EL27" s="4">
        <v>6000</v>
      </c>
      <c r="EM27" s="4">
        <v>26369</v>
      </c>
      <c r="EN27" s="4">
        <v>126216</v>
      </c>
      <c r="EO27" s="4">
        <v>133278</v>
      </c>
      <c r="EP27" s="4">
        <v>579788</v>
      </c>
      <c r="EQ27" s="4">
        <v>62713</v>
      </c>
      <c r="ER27" s="3">
        <v>9.7600000000000006E-2</v>
      </c>
      <c r="ES27" s="4">
        <v>0</v>
      </c>
      <c r="ET27" s="4">
        <v>0</v>
      </c>
      <c r="EU27" s="4">
        <v>0</v>
      </c>
      <c r="EV27" s="4">
        <v>0</v>
      </c>
      <c r="EW27" s="4">
        <v>0</v>
      </c>
      <c r="EX27" s="4">
        <v>0</v>
      </c>
      <c r="EY27" s="1">
        <v>10008</v>
      </c>
      <c r="EZ27" s="1">
        <v>138507</v>
      </c>
      <c r="FA27" s="1">
        <v>26884</v>
      </c>
      <c r="FB27">
        <v>762</v>
      </c>
      <c r="FC27" s="1">
        <v>19571</v>
      </c>
      <c r="FD27" s="1">
        <v>18256</v>
      </c>
      <c r="FE27">
        <v>0</v>
      </c>
      <c r="FF27" s="1">
        <v>11369</v>
      </c>
      <c r="FG27" s="1">
        <v>45140</v>
      </c>
      <c r="FH27">
        <v>762</v>
      </c>
      <c r="FI27" s="1">
        <v>30940</v>
      </c>
      <c r="FJ27" s="1">
        <v>76842</v>
      </c>
      <c r="FK27">
        <v>2</v>
      </c>
      <c r="FL27">
        <v>45</v>
      </c>
      <c r="FN27" s="1">
        <v>76842</v>
      </c>
      <c r="FO27" s="1">
        <v>2668</v>
      </c>
      <c r="FP27" s="1">
        <v>4135</v>
      </c>
      <c r="FQ27">
        <v>808</v>
      </c>
      <c r="FR27">
        <v>0</v>
      </c>
      <c r="FS27">
        <v>74</v>
      </c>
      <c r="FT27">
        <v>74</v>
      </c>
      <c r="FU27" s="1">
        <v>26725</v>
      </c>
      <c r="FV27" s="1">
        <v>2022</v>
      </c>
      <c r="FW27">
        <v>0</v>
      </c>
      <c r="GC27" s="1">
        <v>23798</v>
      </c>
      <c r="GD27" s="1">
        <v>1183</v>
      </c>
      <c r="GE27">
        <v>205</v>
      </c>
      <c r="GK27">
        <v>0</v>
      </c>
      <c r="GL27">
        <v>0</v>
      </c>
      <c r="GM27">
        <v>0</v>
      </c>
      <c r="GN27">
        <v>0</v>
      </c>
      <c r="GO27" s="1">
        <v>50523</v>
      </c>
      <c r="GP27" s="1">
        <v>3205</v>
      </c>
      <c r="GQ27">
        <v>205</v>
      </c>
      <c r="GR27">
        <v>0</v>
      </c>
      <c r="GS27">
        <v>9</v>
      </c>
      <c r="GU27" s="1">
        <v>20641</v>
      </c>
      <c r="GV27">
        <v>791</v>
      </c>
      <c r="GW27" s="1">
        <v>12840</v>
      </c>
      <c r="GX27" s="1">
        <v>6415</v>
      </c>
      <c r="GY27">
        <v>0</v>
      </c>
      <c r="GZ27" s="1">
        <v>3375</v>
      </c>
      <c r="HA27" s="1">
        <v>27056</v>
      </c>
      <c r="HB27">
        <v>791</v>
      </c>
      <c r="HC27" s="1">
        <v>16215</v>
      </c>
      <c r="HD27" s="1">
        <v>44062</v>
      </c>
      <c r="HE27">
        <v>148</v>
      </c>
      <c r="HF27" s="1">
        <v>44210</v>
      </c>
      <c r="HG27" s="1">
        <v>2058</v>
      </c>
      <c r="HH27" s="1">
        <v>8588</v>
      </c>
      <c r="HI27">
        <v>0</v>
      </c>
      <c r="HJ27">
        <v>0</v>
      </c>
      <c r="HK27" s="1">
        <v>10646</v>
      </c>
      <c r="HL27" s="1">
        <v>54856</v>
      </c>
      <c r="HM27">
        <v>35</v>
      </c>
      <c r="HN27" s="1">
        <v>3664</v>
      </c>
      <c r="HO27" s="1">
        <v>3699</v>
      </c>
      <c r="HP27">
        <v>1</v>
      </c>
      <c r="HQ27">
        <v>180</v>
      </c>
      <c r="HR27">
        <v>181</v>
      </c>
      <c r="HS27">
        <v>0</v>
      </c>
      <c r="HT27">
        <v>6</v>
      </c>
      <c r="HU27">
        <v>6</v>
      </c>
      <c r="HV27">
        <v>0</v>
      </c>
      <c r="HW27" s="1">
        <v>3886</v>
      </c>
      <c r="HX27" s="1">
        <v>1971</v>
      </c>
      <c r="HY27">
        <v>0</v>
      </c>
      <c r="HZ27" s="1">
        <v>1971</v>
      </c>
      <c r="IA27" s="1">
        <v>5857</v>
      </c>
      <c r="IB27" s="1">
        <v>2239</v>
      </c>
      <c r="IC27" s="1">
        <v>10833</v>
      </c>
      <c r="ID27" s="1">
        <v>58742</v>
      </c>
      <c r="IE27" s="1">
        <v>58742</v>
      </c>
      <c r="IF27" s="1">
        <v>60713</v>
      </c>
      <c r="IG27" s="1">
        <v>18864</v>
      </c>
      <c r="IH27">
        <v>-1</v>
      </c>
      <c r="IL27" s="3">
        <v>3.1300000000000001E-2</v>
      </c>
      <c r="IM27" s="3">
        <v>2.9999999999999997E-4</v>
      </c>
      <c r="IN27" s="3">
        <v>0.38940000000000002</v>
      </c>
      <c r="IO27" s="3">
        <v>0</v>
      </c>
      <c r="IP27" s="3">
        <v>0.36480000000000001</v>
      </c>
      <c r="IQ27" s="3">
        <v>5.0000000000000001E-4</v>
      </c>
      <c r="IR27" s="3">
        <v>0.55479999999999996</v>
      </c>
      <c r="IS27" s="3">
        <v>4.24E-2</v>
      </c>
      <c r="IT27" s="3">
        <v>0.3211</v>
      </c>
      <c r="IU27" s="1">
        <v>3481</v>
      </c>
      <c r="IV27" s="1">
        <v>1177</v>
      </c>
      <c r="IW27" s="1">
        <v>4658</v>
      </c>
      <c r="IX27" s="3">
        <v>7.7799999999999994E-2</v>
      </c>
      <c r="IY27" s="1">
        <v>36864</v>
      </c>
      <c r="JA27">
        <v>2</v>
      </c>
      <c r="JB27">
        <v>0</v>
      </c>
      <c r="JC27">
        <v>92</v>
      </c>
      <c r="JD27">
        <v>1</v>
      </c>
      <c r="JE27">
        <v>0</v>
      </c>
      <c r="JF27">
        <v>6</v>
      </c>
      <c r="JG27">
        <v>3</v>
      </c>
      <c r="JH27">
        <v>0</v>
      </c>
      <c r="JI27">
        <v>98</v>
      </c>
      <c r="JJ27">
        <v>101</v>
      </c>
      <c r="JK27">
        <v>94</v>
      </c>
      <c r="JL27">
        <v>7</v>
      </c>
      <c r="JM27">
        <v>19</v>
      </c>
      <c r="JN27">
        <v>0</v>
      </c>
      <c r="JO27" s="1">
        <v>2346</v>
      </c>
      <c r="JP27">
        <v>30</v>
      </c>
      <c r="JQ27">
        <v>0</v>
      </c>
      <c r="JR27">
        <v>814</v>
      </c>
      <c r="JS27">
        <v>49</v>
      </c>
      <c r="JT27">
        <v>0</v>
      </c>
      <c r="JU27" s="1">
        <v>3160</v>
      </c>
      <c r="JV27" s="1">
        <v>3209</v>
      </c>
      <c r="JW27" s="1">
        <v>2365</v>
      </c>
      <c r="JX27">
        <v>844</v>
      </c>
      <c r="JY27">
        <v>31.77</v>
      </c>
      <c r="JZ27">
        <v>16.329999999999998</v>
      </c>
      <c r="KA27">
        <v>32.24</v>
      </c>
      <c r="KB27">
        <v>0.02</v>
      </c>
      <c r="KC27">
        <v>0.98</v>
      </c>
      <c r="KD27">
        <v>0</v>
      </c>
      <c r="KE27">
        <v>0</v>
      </c>
      <c r="KF27">
        <v>0</v>
      </c>
      <c r="KG27">
        <v>0</v>
      </c>
      <c r="KN27" s="1">
        <v>5268</v>
      </c>
      <c r="KO27" s="1">
        <v>2208</v>
      </c>
      <c r="KP27">
        <v>234</v>
      </c>
      <c r="KR27">
        <v>146</v>
      </c>
      <c r="KS27">
        <v>928</v>
      </c>
      <c r="KT27">
        <v>10</v>
      </c>
      <c r="KU27">
        <v>267</v>
      </c>
      <c r="KV27">
        <v>13</v>
      </c>
      <c r="KW27">
        <v>42</v>
      </c>
      <c r="KX27" s="1">
        <v>8560</v>
      </c>
      <c r="LD27" t="s">
        <v>697</v>
      </c>
      <c r="LE27" t="s">
        <v>379</v>
      </c>
      <c r="LF27" t="s">
        <v>688</v>
      </c>
      <c r="LG27" t="s">
        <v>689</v>
      </c>
      <c r="LH27">
        <v>28349</v>
      </c>
      <c r="LI27">
        <v>930</v>
      </c>
      <c r="LJ27" t="s">
        <v>690</v>
      </c>
      <c r="LK27" t="s">
        <v>689</v>
      </c>
      <c r="LL27">
        <v>28349</v>
      </c>
      <c r="LM27">
        <v>930</v>
      </c>
      <c r="LN27" t="s">
        <v>692</v>
      </c>
      <c r="LO27">
        <v>9102962117</v>
      </c>
      <c r="LP27" t="s">
        <v>694</v>
      </c>
      <c r="LQ27" s="1">
        <v>14634</v>
      </c>
      <c r="LR27">
        <v>10.35</v>
      </c>
      <c r="LT27" s="1">
        <v>7496</v>
      </c>
      <c r="LU27">
        <v>300</v>
      </c>
      <c r="LX27">
        <v>2</v>
      </c>
      <c r="LY27" t="s">
        <v>698</v>
      </c>
      <c r="LZ27">
        <v>0</v>
      </c>
      <c r="MA27" t="s">
        <v>363</v>
      </c>
      <c r="MB27">
        <v>30.43</v>
      </c>
      <c r="MC27">
        <v>29.44</v>
      </c>
      <c r="ME27" s="574">
        <v>9.8699999999999992</v>
      </c>
      <c r="MF27" s="574">
        <v>5.45</v>
      </c>
      <c r="MG27" s="574">
        <v>2.15</v>
      </c>
      <c r="MH27" s="574">
        <v>124.47</v>
      </c>
      <c r="MI27" s="574">
        <v>68.760000000000005</v>
      </c>
      <c r="MJ27" s="574">
        <v>27.1</v>
      </c>
      <c r="MK27" s="574">
        <v>15.73</v>
      </c>
      <c r="ML27" s="574">
        <v>8.69</v>
      </c>
      <c r="MM27" s="574">
        <v>3.42</v>
      </c>
      <c r="MN27" s="574">
        <v>110.06</v>
      </c>
      <c r="MO27" s="574">
        <v>60.8</v>
      </c>
      <c r="MP27" s="574">
        <v>23.96</v>
      </c>
      <c r="MQ27" s="574">
        <v>180.68</v>
      </c>
      <c r="MR27" s="574">
        <v>99.81</v>
      </c>
      <c r="MS27" s="574">
        <v>39.33</v>
      </c>
      <c r="MT27" s="574">
        <v>30.74</v>
      </c>
      <c r="MU27" s="574">
        <v>16.98</v>
      </c>
      <c r="MV27" s="574">
        <v>6.69</v>
      </c>
      <c r="MW27">
        <v>509</v>
      </c>
      <c r="MX27" s="1">
        <v>5268</v>
      </c>
      <c r="MY27" s="1">
        <v>5268</v>
      </c>
      <c r="MZ27" s="1">
        <v>3562</v>
      </c>
      <c r="NA27" s="1">
        <v>36864</v>
      </c>
      <c r="NB27" s="1">
        <v>36864</v>
      </c>
      <c r="NC27" s="1">
        <v>58742</v>
      </c>
      <c r="ND27" s="1">
        <v>58742</v>
      </c>
      <c r="NE27">
        <v>0.42</v>
      </c>
      <c r="NF27" s="1">
        <v>5676</v>
      </c>
      <c r="NG27">
        <v>2.73</v>
      </c>
      <c r="NH27">
        <v>0.98099999999999998</v>
      </c>
      <c r="NI27">
        <v>0.62</v>
      </c>
      <c r="NJ27">
        <v>2.15</v>
      </c>
      <c r="NK27">
        <v>57.32</v>
      </c>
      <c r="NL27">
        <v>8.7999999999999995E-2</v>
      </c>
      <c r="NM27">
        <v>0.31509999999999999</v>
      </c>
      <c r="NN27">
        <v>0.08</v>
      </c>
      <c r="NO27">
        <v>0.05</v>
      </c>
      <c r="NP27">
        <v>0</v>
      </c>
      <c r="NQ27">
        <v>0</v>
      </c>
      <c r="NR27">
        <v>0.14000000000000001</v>
      </c>
      <c r="NS27">
        <v>0</v>
      </c>
      <c r="NT27">
        <v>0.05</v>
      </c>
      <c r="NU27" s="574">
        <v>5.35</v>
      </c>
      <c r="NV27">
        <v>2.3140000000000001</v>
      </c>
      <c r="NW27">
        <v>0</v>
      </c>
      <c r="NX27">
        <v>1E-3</v>
      </c>
      <c r="NY27">
        <v>0.84399999999999997</v>
      </c>
      <c r="NZ27">
        <v>1E-3</v>
      </c>
      <c r="OA27">
        <v>0.2147</v>
      </c>
      <c r="OB27">
        <v>2.222</v>
      </c>
      <c r="OC27">
        <v>9.6609999999999996</v>
      </c>
      <c r="OD27">
        <v>1.284</v>
      </c>
      <c r="OE27">
        <v>0.15620000000000001</v>
      </c>
      <c r="OF27" s="2">
        <v>10846.501</v>
      </c>
      <c r="OG27">
        <v>15.887</v>
      </c>
      <c r="OH27" s="574">
        <v>2.23</v>
      </c>
      <c r="OI27" s="1">
        <v>1261</v>
      </c>
      <c r="OJ27">
        <v>932</v>
      </c>
      <c r="OK27" s="574">
        <v>9.68</v>
      </c>
      <c r="OL27" s="574">
        <v>2.11</v>
      </c>
      <c r="OM27" s="574">
        <v>1.57</v>
      </c>
      <c r="ON27">
        <v>0.1729</v>
      </c>
      <c r="OO27">
        <v>1.67E-2</v>
      </c>
      <c r="OP27">
        <v>2.0072999999999999</v>
      </c>
      <c r="OQ27" s="574">
        <v>2.08</v>
      </c>
      <c r="OR27" s="574">
        <v>8.65</v>
      </c>
      <c r="OS27" s="574">
        <v>0</v>
      </c>
      <c r="OT27" s="574">
        <v>0</v>
      </c>
      <c r="OU27" s="574">
        <v>10.73</v>
      </c>
      <c r="OV27">
        <v>0</v>
      </c>
      <c r="OW27">
        <v>5</v>
      </c>
      <c r="OX27">
        <v>1.59</v>
      </c>
      <c r="OY27" s="1">
        <v>1130</v>
      </c>
      <c r="OZ27">
        <v>4.92</v>
      </c>
      <c r="PA27">
        <v>709</v>
      </c>
      <c r="PB27">
        <v>0.7</v>
      </c>
      <c r="PC27">
        <v>7.84</v>
      </c>
      <c r="PD27">
        <v>0.14000000000000001</v>
      </c>
      <c r="PE27">
        <v>101</v>
      </c>
      <c r="PF27">
        <v>2.36</v>
      </c>
      <c r="PG27" s="574">
        <v>3.42</v>
      </c>
      <c r="PH27">
        <v>3.76</v>
      </c>
      <c r="PI27">
        <v>12.52</v>
      </c>
      <c r="PJ27">
        <v>12.61</v>
      </c>
      <c r="PK27" s="574">
        <v>15.73</v>
      </c>
      <c r="PL27">
        <v>24.03</v>
      </c>
      <c r="PM27" s="4">
        <v>30946</v>
      </c>
      <c r="PN27" s="4">
        <v>23176</v>
      </c>
      <c r="PO27">
        <v>0.1762</v>
      </c>
      <c r="PP27">
        <v>1.9646999999999999</v>
      </c>
      <c r="PQ27">
        <v>0.28079999999999999</v>
      </c>
      <c r="PR27">
        <v>1.7000000000000001E-2</v>
      </c>
      <c r="PS27">
        <v>0.1898</v>
      </c>
      <c r="PT27">
        <v>2.7099999999999999E-2</v>
      </c>
      <c r="PU27" s="3">
        <v>1</v>
      </c>
      <c r="PV27" s="3">
        <v>9.6600000000000005E-2</v>
      </c>
      <c r="PW27" s="3">
        <v>0.90339999999999998</v>
      </c>
      <c r="PX27" s="3">
        <v>0.25109999999999999</v>
      </c>
      <c r="PY27" s="3">
        <v>0.74890000000000001</v>
      </c>
      <c r="PZ27" s="3">
        <v>0.2177</v>
      </c>
      <c r="QA27" s="3">
        <v>1.03E-2</v>
      </c>
      <c r="QB27" s="3">
        <v>0.13869999999999999</v>
      </c>
      <c r="QC27" s="3">
        <v>4.5499999999999999E-2</v>
      </c>
      <c r="QD27" s="3">
        <v>0.22989999999999999</v>
      </c>
      <c r="QE27" s="3">
        <v>0.16189999999999999</v>
      </c>
      <c r="QF27" s="3">
        <v>0.41370000000000001</v>
      </c>
      <c r="QG27" s="3">
        <v>0.5524</v>
      </c>
      <c r="QH27" s="3">
        <v>0</v>
      </c>
      <c r="QI27" s="3">
        <v>0.80600000000000005</v>
      </c>
      <c r="QJ27" s="3">
        <v>0</v>
      </c>
      <c r="QK27" s="3">
        <v>0.19400000000000001</v>
      </c>
      <c r="QL27" s="4">
        <v>7771</v>
      </c>
      <c r="QM27">
        <v>7.91</v>
      </c>
      <c r="QN27" s="1">
        <v>59868</v>
      </c>
      <c r="QO27" s="1">
        <v>59868</v>
      </c>
      <c r="QP27" s="1">
        <v>5784</v>
      </c>
      <c r="QQ27" s="3">
        <v>0.74350000000000005</v>
      </c>
      <c r="QR27" s="3">
        <v>4.7500000000000001E-2</v>
      </c>
      <c r="QS27" s="3">
        <v>0.2089</v>
      </c>
      <c r="QT27" s="3">
        <v>9.6600000000000005E-2</v>
      </c>
      <c r="QU27">
        <v>0.24</v>
      </c>
      <c r="QV27">
        <v>0.73</v>
      </c>
      <c r="QW27">
        <v>0.18</v>
      </c>
      <c r="QX27">
        <v>10</v>
      </c>
      <c r="QY27">
        <v>0.63</v>
      </c>
      <c r="QZ27">
        <v>2</v>
      </c>
      <c r="RA27">
        <v>0.47</v>
      </c>
      <c r="RB27">
        <v>0.1</v>
      </c>
      <c r="RC27">
        <v>0.09</v>
      </c>
    </row>
    <row r="28" spans="1:471" x14ac:dyDescent="0.25">
      <c r="A28" t="s">
        <v>699</v>
      </c>
      <c r="B28">
        <v>11669</v>
      </c>
      <c r="C28" t="s">
        <v>1754</v>
      </c>
      <c r="D28" t="s">
        <v>1754</v>
      </c>
      <c r="E28" t="s">
        <v>1754</v>
      </c>
      <c r="F28" t="s">
        <v>1755</v>
      </c>
      <c r="G28" t="s">
        <v>1755</v>
      </c>
      <c r="H28" t="s">
        <v>700</v>
      </c>
      <c r="I28" t="s">
        <v>342</v>
      </c>
      <c r="J28" t="s">
        <v>343</v>
      </c>
      <c r="K28" t="s">
        <v>344</v>
      </c>
      <c r="L28" t="s">
        <v>345</v>
      </c>
      <c r="M28" t="s">
        <v>457</v>
      </c>
      <c r="N28" t="s">
        <v>347</v>
      </c>
      <c r="O28" s="1">
        <v>297219</v>
      </c>
      <c r="P28" t="s">
        <v>348</v>
      </c>
      <c r="Q28" s="1">
        <v>3839</v>
      </c>
      <c r="R28">
        <v>806</v>
      </c>
      <c r="S28">
        <v>576</v>
      </c>
      <c r="T28">
        <v>37</v>
      </c>
      <c r="U28" s="1">
        <v>24340</v>
      </c>
      <c r="V28">
        <v>361</v>
      </c>
      <c r="W28" s="1">
        <v>287035</v>
      </c>
      <c r="X28" s="1">
        <v>24922</v>
      </c>
      <c r="Y28" s="1">
        <v>1704349</v>
      </c>
      <c r="Z28" s="1">
        <v>230260</v>
      </c>
      <c r="AC28" t="s">
        <v>712</v>
      </c>
      <c r="AD28" t="s">
        <v>701</v>
      </c>
      <c r="AE28">
        <v>27702</v>
      </c>
      <c r="AF28">
        <v>3809</v>
      </c>
      <c r="AG28" t="s">
        <v>713</v>
      </c>
      <c r="AH28" t="s">
        <v>701</v>
      </c>
      <c r="AI28">
        <v>27701</v>
      </c>
      <c r="AJ28">
        <v>3</v>
      </c>
      <c r="AK28" t="s">
        <v>702</v>
      </c>
      <c r="AM28" t="s">
        <v>0</v>
      </c>
      <c r="AN28" t="s">
        <v>701</v>
      </c>
      <c r="AO28" t="s">
        <v>703</v>
      </c>
      <c r="AP28">
        <v>9195600164</v>
      </c>
      <c r="AQ28" t="s">
        <v>704</v>
      </c>
      <c r="AR28" t="s">
        <v>705</v>
      </c>
      <c r="AS28" t="s">
        <v>706</v>
      </c>
      <c r="AT28" t="s">
        <v>707</v>
      </c>
      <c r="AU28" t="s">
        <v>708</v>
      </c>
      <c r="AV28" t="s">
        <v>709</v>
      </c>
      <c r="AW28" t="s">
        <v>710</v>
      </c>
      <c r="AX28" t="s">
        <v>711</v>
      </c>
      <c r="AY28">
        <v>0</v>
      </c>
      <c r="AZ28">
        <v>0</v>
      </c>
      <c r="BA28">
        <v>0</v>
      </c>
      <c r="BB28" s="573">
        <v>42186</v>
      </c>
      <c r="BC28" s="573">
        <v>42551</v>
      </c>
      <c r="BD28">
        <v>1</v>
      </c>
      <c r="BE28">
        <v>6</v>
      </c>
      <c r="BF28">
        <v>0</v>
      </c>
      <c r="BG28">
        <v>2</v>
      </c>
      <c r="BH28">
        <v>9</v>
      </c>
      <c r="BJ28" s="1">
        <v>19018</v>
      </c>
      <c r="BK28">
        <v>50.77</v>
      </c>
      <c r="BL28">
        <v>0</v>
      </c>
      <c r="BM28">
        <v>50.77</v>
      </c>
      <c r="BN28">
        <v>78.03</v>
      </c>
      <c r="BO28">
        <v>128.80000000000001</v>
      </c>
      <c r="BP28" s="3">
        <v>0.39419999999999999</v>
      </c>
      <c r="BQ28" s="1">
        <v>31532</v>
      </c>
      <c r="BR28" s="4">
        <v>121944</v>
      </c>
      <c r="DW28" s="4">
        <v>0</v>
      </c>
      <c r="DX28" s="4">
        <v>11122872</v>
      </c>
      <c r="DY28" s="4">
        <v>11122872</v>
      </c>
      <c r="DZ28" s="4">
        <v>234962</v>
      </c>
      <c r="EA28" s="4">
        <v>0</v>
      </c>
      <c r="EB28" s="4">
        <v>234962</v>
      </c>
      <c r="EC28" s="4">
        <v>70557</v>
      </c>
      <c r="ED28" s="4">
        <v>10000</v>
      </c>
      <c r="EE28" s="4">
        <v>80557</v>
      </c>
      <c r="EF28" s="4">
        <v>14783</v>
      </c>
      <c r="EG28" s="4">
        <v>11453174</v>
      </c>
      <c r="EH28" s="4">
        <v>5688675</v>
      </c>
      <c r="EI28" s="4">
        <v>1882094</v>
      </c>
      <c r="EJ28" s="4">
        <v>7570769</v>
      </c>
      <c r="EK28" s="4">
        <v>997810</v>
      </c>
      <c r="EL28" s="4">
        <v>386760</v>
      </c>
      <c r="EM28" s="4">
        <v>233447</v>
      </c>
      <c r="EN28" s="4">
        <v>1618017</v>
      </c>
      <c r="EO28" s="4">
        <v>1382673</v>
      </c>
      <c r="EP28" s="4">
        <v>10571459</v>
      </c>
      <c r="EQ28" s="4">
        <v>881715</v>
      </c>
      <c r="ER28" s="3">
        <v>7.6999999999999999E-2</v>
      </c>
      <c r="ES28" s="4">
        <v>255292</v>
      </c>
      <c r="ET28" s="4">
        <v>0</v>
      </c>
      <c r="EU28" s="4">
        <v>0</v>
      </c>
      <c r="EV28" s="4">
        <v>0</v>
      </c>
      <c r="EW28" s="4">
        <v>255292</v>
      </c>
      <c r="EX28" s="4">
        <v>513064</v>
      </c>
      <c r="EY28" s="1">
        <v>101664</v>
      </c>
      <c r="EZ28" s="1">
        <v>719347</v>
      </c>
      <c r="FA28" s="1">
        <v>176307</v>
      </c>
      <c r="FB28" s="1">
        <v>23358</v>
      </c>
      <c r="FC28" s="1">
        <v>156985</v>
      </c>
      <c r="FD28" s="1">
        <v>148826</v>
      </c>
      <c r="FE28" s="1">
        <v>3229</v>
      </c>
      <c r="FF28" s="1">
        <v>65329</v>
      </c>
      <c r="FG28" s="1">
        <v>325133</v>
      </c>
      <c r="FH28" s="1">
        <v>26587</v>
      </c>
      <c r="FI28" s="1">
        <v>222314</v>
      </c>
      <c r="FJ28" s="1">
        <v>574034</v>
      </c>
      <c r="FK28">
        <v>0</v>
      </c>
      <c r="FL28">
        <v>490</v>
      </c>
      <c r="FN28" s="1">
        <v>574034</v>
      </c>
      <c r="FO28" s="1">
        <v>47072</v>
      </c>
      <c r="FP28" s="1">
        <v>49404</v>
      </c>
      <c r="FQ28" s="1">
        <v>4005</v>
      </c>
      <c r="FR28">
        <v>13</v>
      </c>
      <c r="FS28">
        <v>74</v>
      </c>
      <c r="FT28">
        <v>87</v>
      </c>
      <c r="FU28" s="1">
        <v>26725</v>
      </c>
      <c r="FV28" s="1">
        <v>2022</v>
      </c>
      <c r="FW28">
        <v>0</v>
      </c>
      <c r="GK28" s="1">
        <v>12230</v>
      </c>
      <c r="GL28" s="1">
        <v>3166</v>
      </c>
      <c r="GM28">
        <v>0</v>
      </c>
      <c r="GN28">
        <v>112</v>
      </c>
      <c r="GO28" s="1">
        <v>38955</v>
      </c>
      <c r="GP28" s="1">
        <v>5188</v>
      </c>
      <c r="GQ28">
        <v>0</v>
      </c>
      <c r="GR28">
        <v>112</v>
      </c>
      <c r="GS28">
        <v>136</v>
      </c>
      <c r="GU28" s="1">
        <v>454110</v>
      </c>
      <c r="GV28" s="1">
        <v>74836</v>
      </c>
      <c r="GW28" s="1">
        <v>852266</v>
      </c>
      <c r="GX28" s="1">
        <v>357654</v>
      </c>
      <c r="GY28" s="1">
        <v>5144</v>
      </c>
      <c r="GZ28" s="1">
        <v>176769</v>
      </c>
      <c r="HA28" s="1">
        <v>811764</v>
      </c>
      <c r="HB28" s="1">
        <v>79980</v>
      </c>
      <c r="HC28" s="1">
        <v>1029035</v>
      </c>
      <c r="HD28" s="1">
        <v>1920779</v>
      </c>
      <c r="HE28">
        <v>0</v>
      </c>
      <c r="HF28" s="1">
        <v>1920779</v>
      </c>
      <c r="HG28" s="1">
        <v>180494</v>
      </c>
      <c r="HH28" s="1">
        <v>561796</v>
      </c>
      <c r="HI28">
        <v>0</v>
      </c>
      <c r="HJ28" s="1">
        <v>21134</v>
      </c>
      <c r="HK28" s="1">
        <v>763424</v>
      </c>
      <c r="HL28" s="1">
        <v>2684203</v>
      </c>
      <c r="HM28">
        <v>449</v>
      </c>
      <c r="HN28" s="1">
        <v>107461</v>
      </c>
      <c r="HO28" s="1">
        <v>107910</v>
      </c>
      <c r="HP28" s="1">
        <v>1694</v>
      </c>
      <c r="HQ28" s="1">
        <v>43773</v>
      </c>
      <c r="HR28" s="1">
        <v>45467</v>
      </c>
      <c r="HS28">
        <v>0</v>
      </c>
      <c r="HT28" s="1">
        <v>27239</v>
      </c>
      <c r="HU28" s="1">
        <v>27239</v>
      </c>
      <c r="HV28" s="1">
        <v>16771</v>
      </c>
      <c r="HW28" s="1">
        <v>197387</v>
      </c>
      <c r="HX28" s="1">
        <v>110604</v>
      </c>
      <c r="HY28" s="1">
        <v>110684</v>
      </c>
      <c r="HZ28" s="1">
        <v>221288</v>
      </c>
      <c r="IA28" s="1">
        <v>418675</v>
      </c>
      <c r="IB28" s="1">
        <v>225961</v>
      </c>
      <c r="IC28" s="1">
        <v>814996</v>
      </c>
      <c r="ID28" s="1">
        <v>2881590</v>
      </c>
      <c r="IE28" s="1">
        <v>2881590</v>
      </c>
      <c r="IF28" s="1">
        <v>3102878</v>
      </c>
      <c r="IG28" s="1">
        <v>1358304</v>
      </c>
      <c r="IH28">
        <v>0</v>
      </c>
      <c r="IK28">
        <v>1</v>
      </c>
      <c r="IL28" s="3">
        <v>6.8699999999999997E-2</v>
      </c>
      <c r="IM28" s="3">
        <v>6.9999999999999999E-4</v>
      </c>
      <c r="IN28" s="3">
        <v>6.1499999999999999E-2</v>
      </c>
      <c r="IO28" s="3">
        <v>0</v>
      </c>
      <c r="IP28" s="3">
        <v>5.4199999999999998E-2</v>
      </c>
      <c r="IQ28" s="3">
        <v>1E-4</v>
      </c>
      <c r="IR28" s="3">
        <v>0.79800000000000004</v>
      </c>
      <c r="IS28" s="3">
        <v>7.2599999999999998E-2</v>
      </c>
      <c r="IT28" s="3">
        <v>0.47139999999999999</v>
      </c>
      <c r="IU28" s="1">
        <v>162784</v>
      </c>
      <c r="IV28" s="1">
        <v>53645</v>
      </c>
      <c r="IW28" s="1">
        <v>216429</v>
      </c>
      <c r="IX28" s="3">
        <v>0.72819999999999996</v>
      </c>
      <c r="IY28" s="1">
        <v>1106403</v>
      </c>
      <c r="JA28" s="1">
        <v>1768</v>
      </c>
      <c r="JB28" s="1">
        <v>1105</v>
      </c>
      <c r="JC28" s="1">
        <v>3060</v>
      </c>
      <c r="JD28">
        <v>114</v>
      </c>
      <c r="JE28">
        <v>183</v>
      </c>
      <c r="JF28">
        <v>156</v>
      </c>
      <c r="JG28" s="1">
        <v>1882</v>
      </c>
      <c r="JH28" s="1">
        <v>1288</v>
      </c>
      <c r="JI28" s="1">
        <v>3216</v>
      </c>
      <c r="JJ28" s="1">
        <v>6386</v>
      </c>
      <c r="JK28" s="1">
        <v>5933</v>
      </c>
      <c r="JL28">
        <v>453</v>
      </c>
      <c r="JM28" s="1">
        <v>14013</v>
      </c>
      <c r="JN28" s="1">
        <v>10145</v>
      </c>
      <c r="JO28" s="1">
        <v>85960</v>
      </c>
      <c r="JP28" s="1">
        <v>2578</v>
      </c>
      <c r="JQ28">
        <v>801</v>
      </c>
      <c r="JR28" s="1">
        <v>6539</v>
      </c>
      <c r="JS28" s="1">
        <v>16591</v>
      </c>
      <c r="JT28" s="1">
        <v>10946</v>
      </c>
      <c r="JU28" s="1">
        <v>92499</v>
      </c>
      <c r="JV28" s="1">
        <v>120036</v>
      </c>
      <c r="JW28" s="1">
        <v>110118</v>
      </c>
      <c r="JX28" s="1">
        <v>9918</v>
      </c>
      <c r="JY28">
        <v>18.8</v>
      </c>
      <c r="JZ28">
        <v>8.82</v>
      </c>
      <c r="KA28">
        <v>28.76</v>
      </c>
      <c r="KB28">
        <v>0.14000000000000001</v>
      </c>
      <c r="KC28">
        <v>0.77</v>
      </c>
      <c r="KD28">
        <v>13</v>
      </c>
      <c r="KE28">
        <v>66</v>
      </c>
      <c r="KF28">
        <v>221</v>
      </c>
      <c r="KG28">
        <v>948</v>
      </c>
      <c r="KN28" s="1">
        <v>178152</v>
      </c>
      <c r="KO28" s="1">
        <v>82732</v>
      </c>
      <c r="KP28" s="1">
        <v>121732</v>
      </c>
      <c r="KR28" s="1">
        <v>11637</v>
      </c>
      <c r="KS28" s="1">
        <v>46365</v>
      </c>
      <c r="KT28" s="1">
        <v>1141</v>
      </c>
      <c r="KU28" s="1">
        <v>2524</v>
      </c>
      <c r="KV28">
        <v>159</v>
      </c>
      <c r="KW28">
        <v>236</v>
      </c>
      <c r="KX28" s="1">
        <v>320315</v>
      </c>
      <c r="KZ28" s="1">
        <v>1350913</v>
      </c>
      <c r="LD28" t="s">
        <v>702</v>
      </c>
      <c r="LE28" t="s">
        <v>379</v>
      </c>
      <c r="LF28" t="s">
        <v>712</v>
      </c>
      <c r="LG28" t="s">
        <v>701</v>
      </c>
      <c r="LH28">
        <v>27702</v>
      </c>
      <c r="LI28">
        <v>3809</v>
      </c>
      <c r="LJ28" t="s">
        <v>713</v>
      </c>
      <c r="LK28" t="s">
        <v>701</v>
      </c>
      <c r="LL28">
        <v>27701</v>
      </c>
      <c r="LM28">
        <v>3414</v>
      </c>
      <c r="LN28" t="s">
        <v>701</v>
      </c>
      <c r="LO28">
        <v>9195600100</v>
      </c>
      <c r="LP28">
        <v>9195600137</v>
      </c>
      <c r="LQ28" s="1">
        <v>184952</v>
      </c>
      <c r="LR28">
        <v>120.92</v>
      </c>
      <c r="LT28" s="1">
        <v>19370</v>
      </c>
      <c r="LU28">
        <v>364</v>
      </c>
      <c r="LX28">
        <v>1</v>
      </c>
      <c r="LY28" t="s">
        <v>714</v>
      </c>
      <c r="LZ28">
        <v>0</v>
      </c>
      <c r="MA28" t="s">
        <v>363</v>
      </c>
      <c r="MB28">
        <v>66.150000000000006</v>
      </c>
      <c r="MC28">
        <v>94.87</v>
      </c>
      <c r="ME28" s="574">
        <v>3.67</v>
      </c>
      <c r="MF28" s="574">
        <v>2.63</v>
      </c>
      <c r="MG28" s="574">
        <v>0.56000000000000005</v>
      </c>
      <c r="MH28" s="574">
        <v>48.84</v>
      </c>
      <c r="MI28" s="574">
        <v>34.979999999999997</v>
      </c>
      <c r="MJ28" s="574">
        <v>7.48</v>
      </c>
      <c r="MK28" s="574">
        <v>9.5500000000000007</v>
      </c>
      <c r="ML28" s="574">
        <v>6.84</v>
      </c>
      <c r="MM28" s="574">
        <v>1.46</v>
      </c>
      <c r="MN28" s="574">
        <v>59.34</v>
      </c>
      <c r="MO28" s="574">
        <v>42.5</v>
      </c>
      <c r="MP28" s="574">
        <v>9.08</v>
      </c>
      <c r="MQ28" s="574">
        <v>88.07</v>
      </c>
      <c r="MR28" s="574">
        <v>63.07</v>
      </c>
      <c r="MS28" s="574">
        <v>13.48</v>
      </c>
      <c r="MT28" s="574">
        <v>7.78</v>
      </c>
      <c r="MU28" s="574">
        <v>5.57</v>
      </c>
      <c r="MV28" s="574">
        <v>1.19</v>
      </c>
      <c r="MW28" s="1">
        <v>1383</v>
      </c>
      <c r="MX28" s="1">
        <v>3509</v>
      </c>
      <c r="MY28" s="1">
        <v>3509</v>
      </c>
      <c r="MZ28" s="1">
        <v>8590</v>
      </c>
      <c r="NA28" s="1">
        <v>21792</v>
      </c>
      <c r="NB28" s="1">
        <v>21792</v>
      </c>
      <c r="NC28" s="1">
        <v>56758</v>
      </c>
      <c r="ND28" s="1">
        <v>56758</v>
      </c>
      <c r="NE28">
        <v>4.01</v>
      </c>
      <c r="NF28" s="1">
        <v>22373</v>
      </c>
      <c r="NG28">
        <v>10.76</v>
      </c>
      <c r="NH28">
        <v>9.6950000000000003</v>
      </c>
      <c r="NI28">
        <v>3.72</v>
      </c>
      <c r="NJ28">
        <v>5.27</v>
      </c>
      <c r="NK28">
        <v>11.66</v>
      </c>
      <c r="NL28">
        <v>0.59940000000000004</v>
      </c>
      <c r="NM28">
        <v>4.57</v>
      </c>
      <c r="NN28">
        <v>0.73</v>
      </c>
      <c r="NO28">
        <v>0.4</v>
      </c>
      <c r="NP28">
        <v>0</v>
      </c>
      <c r="NQ28">
        <v>0.01</v>
      </c>
      <c r="NR28">
        <v>1.08</v>
      </c>
      <c r="NS28">
        <v>0.06</v>
      </c>
      <c r="NT28">
        <v>0.31</v>
      </c>
      <c r="NU28" s="574">
        <v>25.47</v>
      </c>
      <c r="NV28">
        <v>2.42</v>
      </c>
      <c r="NW28">
        <v>0</v>
      </c>
      <c r="NX28">
        <v>2E-3</v>
      </c>
      <c r="NY28">
        <v>0.13100000000000001</v>
      </c>
      <c r="NZ28">
        <v>0</v>
      </c>
      <c r="OA28">
        <v>0.2346</v>
      </c>
      <c r="OB28">
        <v>0.59509999999999996</v>
      </c>
      <c r="OC28">
        <v>2.2639999999999998</v>
      </c>
      <c r="OD28">
        <v>1.931</v>
      </c>
      <c r="OE28">
        <v>0.26250000000000001</v>
      </c>
      <c r="OF28">
        <v>179.99</v>
      </c>
      <c r="OG28">
        <v>0.40200000000000002</v>
      </c>
      <c r="OH28" s="574">
        <v>4.6500000000000004</v>
      </c>
      <c r="OI28">
        <v>241</v>
      </c>
      <c r="OJ28">
        <v>228</v>
      </c>
      <c r="OK28" s="574">
        <v>35.57</v>
      </c>
      <c r="OL28" s="574">
        <v>5.44</v>
      </c>
      <c r="OM28" s="574">
        <v>3.36</v>
      </c>
      <c r="ON28">
        <v>0.43340000000000001</v>
      </c>
      <c r="OO28">
        <v>0.17080000000000001</v>
      </c>
      <c r="OP28">
        <v>0.36049999999999999</v>
      </c>
      <c r="OQ28" s="574">
        <v>0.79</v>
      </c>
      <c r="OR28" s="574">
        <v>37.42</v>
      </c>
      <c r="OS28" s="574">
        <v>0.27</v>
      </c>
      <c r="OT28" s="574">
        <v>0.05</v>
      </c>
      <c r="OU28" s="574">
        <v>38.53</v>
      </c>
      <c r="OV28">
        <v>22</v>
      </c>
      <c r="OW28">
        <v>49</v>
      </c>
      <c r="OX28">
        <v>2.6</v>
      </c>
      <c r="OY28" s="1">
        <v>55415</v>
      </c>
      <c r="OZ28">
        <v>58.18</v>
      </c>
      <c r="PA28" s="1">
        <v>21277</v>
      </c>
      <c r="PB28">
        <v>9.3699999999999992</v>
      </c>
      <c r="PC28">
        <v>151.52000000000001</v>
      </c>
      <c r="PD28">
        <v>0.16</v>
      </c>
      <c r="PE28" s="1">
        <v>3426</v>
      </c>
      <c r="PF28">
        <v>0.25</v>
      </c>
      <c r="PG28" s="574">
        <v>1.46</v>
      </c>
      <c r="PH28">
        <v>0.65</v>
      </c>
      <c r="PI28">
        <v>6.4</v>
      </c>
      <c r="PJ28">
        <v>13.31</v>
      </c>
      <c r="PK28" s="574">
        <v>9.5500000000000007</v>
      </c>
      <c r="PL28">
        <v>40.64</v>
      </c>
      <c r="PM28" s="4">
        <v>58779</v>
      </c>
      <c r="PN28" s="4">
        <v>44167</v>
      </c>
      <c r="PO28">
        <v>4.4699999999999997E-2</v>
      </c>
      <c r="PP28">
        <v>0.72299999999999998</v>
      </c>
      <c r="PQ28">
        <v>0.1164</v>
      </c>
      <c r="PR28">
        <v>1.7600000000000001E-2</v>
      </c>
      <c r="PS28">
        <v>0.28499999999999998</v>
      </c>
      <c r="PT28">
        <v>4.5900000000000003E-2</v>
      </c>
      <c r="PU28" s="3">
        <v>1</v>
      </c>
      <c r="PV28" s="3">
        <v>0.39419999999999999</v>
      </c>
      <c r="PW28" s="3">
        <v>0.60580000000000001</v>
      </c>
      <c r="PX28" s="3">
        <v>0.24859999999999999</v>
      </c>
      <c r="PY28" s="3">
        <v>0.75139999999999996</v>
      </c>
      <c r="PZ28" s="3">
        <v>0.15310000000000001</v>
      </c>
      <c r="QA28" s="3">
        <v>3.6600000000000001E-2</v>
      </c>
      <c r="QB28" s="3">
        <v>0.17799999999999999</v>
      </c>
      <c r="QC28" s="3">
        <v>2.2100000000000002E-2</v>
      </c>
      <c r="QD28" s="3">
        <v>0.1308</v>
      </c>
      <c r="QE28" s="3">
        <v>9.4399999999999998E-2</v>
      </c>
      <c r="QF28" s="3">
        <v>0.53810000000000002</v>
      </c>
      <c r="QG28" s="3">
        <v>0.71619999999999995</v>
      </c>
      <c r="QH28" s="3">
        <v>7.0000000000000001E-3</v>
      </c>
      <c r="QI28" s="3">
        <v>0.97119999999999995</v>
      </c>
      <c r="QJ28" s="3">
        <v>1.2999999999999999E-3</v>
      </c>
      <c r="QK28" s="3">
        <v>2.0500000000000001E-2</v>
      </c>
      <c r="QL28" s="4">
        <v>14613</v>
      </c>
      <c r="QM28">
        <v>5.1100000000000003</v>
      </c>
      <c r="QN28" s="1">
        <v>5854</v>
      </c>
      <c r="QO28" s="1">
        <v>5854</v>
      </c>
      <c r="QP28" s="1">
        <v>2308</v>
      </c>
      <c r="QQ28" s="3">
        <v>0.61670000000000003</v>
      </c>
      <c r="QR28" s="3">
        <v>0.23899999999999999</v>
      </c>
      <c r="QS28" s="3">
        <v>0.14430000000000001</v>
      </c>
      <c r="QT28" s="3">
        <v>0.39419999999999999</v>
      </c>
      <c r="QU28">
        <v>0.51</v>
      </c>
      <c r="QV28">
        <v>1.53</v>
      </c>
      <c r="QW28">
        <v>0.38</v>
      </c>
      <c r="QX28">
        <v>7</v>
      </c>
      <c r="QY28">
        <v>2.89</v>
      </c>
      <c r="QZ28">
        <v>12</v>
      </c>
      <c r="RA28">
        <v>1.78</v>
      </c>
      <c r="RB28">
        <v>0.27</v>
      </c>
      <c r="RC28">
        <v>0.25</v>
      </c>
    </row>
    <row r="29" spans="1:471" x14ac:dyDescent="0.25">
      <c r="A29" t="s">
        <v>715</v>
      </c>
      <c r="B29">
        <v>11646</v>
      </c>
      <c r="C29" t="s">
        <v>1754</v>
      </c>
      <c r="D29" t="s">
        <v>1754</v>
      </c>
      <c r="E29" t="s">
        <v>1754</v>
      </c>
      <c r="F29" t="s">
        <v>1755</v>
      </c>
      <c r="G29" t="s">
        <v>1755</v>
      </c>
      <c r="H29" t="s">
        <v>716</v>
      </c>
      <c r="I29" t="s">
        <v>342</v>
      </c>
      <c r="J29" t="s">
        <v>366</v>
      </c>
      <c r="K29" t="s">
        <v>344</v>
      </c>
      <c r="L29" t="s">
        <v>345</v>
      </c>
      <c r="M29" t="s">
        <v>367</v>
      </c>
      <c r="N29" t="s">
        <v>347</v>
      </c>
      <c r="O29" s="1">
        <v>111583</v>
      </c>
      <c r="P29" t="s">
        <v>348</v>
      </c>
      <c r="Q29">
        <v>796</v>
      </c>
      <c r="R29">
        <v>86</v>
      </c>
      <c r="S29">
        <v>138</v>
      </c>
      <c r="T29">
        <v>14</v>
      </c>
      <c r="U29" s="1">
        <v>4191</v>
      </c>
      <c r="V29">
        <v>111</v>
      </c>
      <c r="W29" s="1">
        <v>40775</v>
      </c>
      <c r="X29" s="1">
        <v>3759</v>
      </c>
      <c r="Y29" s="1">
        <v>182544</v>
      </c>
      <c r="Z29" s="1">
        <v>35713</v>
      </c>
      <c r="AC29" t="s">
        <v>717</v>
      </c>
      <c r="AD29" t="s">
        <v>718</v>
      </c>
      <c r="AE29">
        <v>27909</v>
      </c>
      <c r="AG29" t="s">
        <v>717</v>
      </c>
      <c r="AH29" t="s">
        <v>718</v>
      </c>
      <c r="AI29">
        <v>27909</v>
      </c>
      <c r="AJ29">
        <v>2</v>
      </c>
      <c r="AK29" t="s">
        <v>719</v>
      </c>
      <c r="AM29" t="s">
        <v>372</v>
      </c>
      <c r="AN29" t="s">
        <v>720</v>
      </c>
      <c r="AO29" t="s">
        <v>721</v>
      </c>
      <c r="AP29">
        <v>2523352511</v>
      </c>
      <c r="AQ29" t="s">
        <v>722</v>
      </c>
      <c r="AR29" t="s">
        <v>723</v>
      </c>
      <c r="AS29" t="s">
        <v>721</v>
      </c>
      <c r="AT29" t="s">
        <v>376</v>
      </c>
      <c r="AU29" t="s">
        <v>724</v>
      </c>
      <c r="AV29" t="s">
        <v>725</v>
      </c>
      <c r="AW29" t="s">
        <v>723</v>
      </c>
      <c r="AX29" t="s">
        <v>726</v>
      </c>
      <c r="AY29">
        <v>0</v>
      </c>
      <c r="AZ29">
        <v>0</v>
      </c>
      <c r="BA29">
        <v>0</v>
      </c>
      <c r="BB29" s="573">
        <v>42186</v>
      </c>
      <c r="BC29" s="573">
        <v>42551</v>
      </c>
      <c r="BD29">
        <v>1</v>
      </c>
      <c r="BE29">
        <v>7</v>
      </c>
      <c r="BF29">
        <v>1</v>
      </c>
      <c r="BG29">
        <v>2</v>
      </c>
      <c r="BH29">
        <v>11</v>
      </c>
      <c r="BJ29" s="1">
        <v>19640</v>
      </c>
      <c r="BK29">
        <v>5.69</v>
      </c>
      <c r="BL29">
        <v>0</v>
      </c>
      <c r="BM29">
        <v>5.69</v>
      </c>
      <c r="BN29">
        <v>39.200000000000003</v>
      </c>
      <c r="BO29">
        <v>44.89</v>
      </c>
      <c r="BP29" s="3">
        <v>0.1268</v>
      </c>
      <c r="BQ29" s="1">
        <v>2243</v>
      </c>
      <c r="BR29" s="4">
        <v>65267</v>
      </c>
      <c r="DW29" s="4">
        <v>800</v>
      </c>
      <c r="DX29" s="4">
        <v>2301572</v>
      </c>
      <c r="DY29" s="4">
        <v>2302372</v>
      </c>
      <c r="DZ29" s="4">
        <v>391261</v>
      </c>
      <c r="EA29" s="4">
        <v>0</v>
      </c>
      <c r="EB29" s="4">
        <v>391261</v>
      </c>
      <c r="EC29" s="4">
        <v>0</v>
      </c>
      <c r="ED29" s="4">
        <v>0</v>
      </c>
      <c r="EE29" s="4">
        <v>0</v>
      </c>
      <c r="EF29" s="4">
        <v>81124</v>
      </c>
      <c r="EG29" s="4">
        <v>2774757</v>
      </c>
      <c r="EH29" s="4">
        <v>1475117</v>
      </c>
      <c r="EI29" s="4">
        <v>595950</v>
      </c>
      <c r="EJ29" s="4">
        <v>2071067</v>
      </c>
      <c r="EK29" s="4">
        <v>116542</v>
      </c>
      <c r="EL29" s="4">
        <v>31373</v>
      </c>
      <c r="EM29" s="4">
        <v>21183</v>
      </c>
      <c r="EN29" s="4">
        <v>169098</v>
      </c>
      <c r="EO29" s="4">
        <v>470995</v>
      </c>
      <c r="EP29" s="4">
        <v>2711160</v>
      </c>
      <c r="EQ29" s="4">
        <v>63597</v>
      </c>
      <c r="ER29" s="3">
        <v>2.29E-2</v>
      </c>
      <c r="ES29" s="4">
        <v>0</v>
      </c>
      <c r="ET29" s="4">
        <v>0</v>
      </c>
      <c r="EU29" s="4">
        <v>0</v>
      </c>
      <c r="EV29" s="4">
        <v>0</v>
      </c>
      <c r="EW29" s="4">
        <v>0</v>
      </c>
      <c r="EX29" s="4">
        <v>26543</v>
      </c>
      <c r="EY29" s="1">
        <v>27611</v>
      </c>
      <c r="EZ29" s="1">
        <v>283747</v>
      </c>
      <c r="FA29" s="1">
        <v>72774</v>
      </c>
      <c r="FB29" s="1">
        <v>7215</v>
      </c>
      <c r="FC29" s="1">
        <v>52385</v>
      </c>
      <c r="FD29" s="1">
        <v>71644</v>
      </c>
      <c r="FE29" s="1">
        <v>1373</v>
      </c>
      <c r="FF29" s="1">
        <v>18635</v>
      </c>
      <c r="FG29" s="1">
        <v>144418</v>
      </c>
      <c r="FH29" s="1">
        <v>8588</v>
      </c>
      <c r="FI29" s="1">
        <v>71020</v>
      </c>
      <c r="FJ29" s="1">
        <v>224026</v>
      </c>
      <c r="FK29" s="1">
        <v>2000</v>
      </c>
      <c r="FL29">
        <v>121</v>
      </c>
      <c r="FN29" s="1">
        <v>224026</v>
      </c>
      <c r="FO29" s="1">
        <v>7994</v>
      </c>
      <c r="FP29" s="1">
        <v>17595</v>
      </c>
      <c r="FQ29" s="1">
        <v>1290</v>
      </c>
      <c r="FR29">
        <v>8</v>
      </c>
      <c r="FS29">
        <v>74</v>
      </c>
      <c r="FT29">
        <v>82</v>
      </c>
      <c r="FU29" s="1">
        <v>26725</v>
      </c>
      <c r="FV29" s="1">
        <v>2022</v>
      </c>
      <c r="FW29">
        <v>0</v>
      </c>
      <c r="GK29" s="1">
        <v>1863</v>
      </c>
      <c r="GL29">
        <v>0</v>
      </c>
      <c r="GM29">
        <v>0</v>
      </c>
      <c r="GN29">
        <v>29</v>
      </c>
      <c r="GO29" s="1">
        <v>28588</v>
      </c>
      <c r="GP29" s="1">
        <v>2022</v>
      </c>
      <c r="GQ29">
        <v>0</v>
      </c>
      <c r="GR29">
        <v>29</v>
      </c>
      <c r="GS29">
        <v>53</v>
      </c>
      <c r="GU29" s="1">
        <v>123051</v>
      </c>
      <c r="GV29" s="1">
        <v>9360</v>
      </c>
      <c r="GW29" s="1">
        <v>113154</v>
      </c>
      <c r="GX29" s="1">
        <v>40649</v>
      </c>
      <c r="GY29">
        <v>971</v>
      </c>
      <c r="GZ29" s="1">
        <v>18291</v>
      </c>
      <c r="HA29" s="1">
        <v>163700</v>
      </c>
      <c r="HB29" s="1">
        <v>10331</v>
      </c>
      <c r="HC29" s="1">
        <v>131445</v>
      </c>
      <c r="HD29" s="1">
        <v>305476</v>
      </c>
      <c r="HE29" s="1">
        <v>2579</v>
      </c>
      <c r="HF29" s="1">
        <v>314651</v>
      </c>
      <c r="HG29" s="1">
        <v>21436</v>
      </c>
      <c r="HH29" s="1">
        <v>78209</v>
      </c>
      <c r="HI29" s="1">
        <v>6596</v>
      </c>
      <c r="HJ29">
        <v>216</v>
      </c>
      <c r="HK29" s="1">
        <v>99861</v>
      </c>
      <c r="HL29" s="1">
        <v>414512</v>
      </c>
      <c r="HM29">
        <v>89</v>
      </c>
      <c r="HN29" s="1">
        <v>17729</v>
      </c>
      <c r="HO29" s="1">
        <v>17818</v>
      </c>
      <c r="HP29">
        <v>952</v>
      </c>
      <c r="HQ29">
        <v>0</v>
      </c>
      <c r="HR29">
        <v>952</v>
      </c>
      <c r="HS29">
        <v>0</v>
      </c>
      <c r="HT29">
        <v>0</v>
      </c>
      <c r="HU29">
        <v>0</v>
      </c>
      <c r="HV29">
        <v>311</v>
      </c>
      <c r="HW29" s="1">
        <v>19081</v>
      </c>
      <c r="HX29" s="1">
        <v>14088</v>
      </c>
      <c r="HY29" s="1">
        <v>26856</v>
      </c>
      <c r="HZ29" s="1">
        <v>40944</v>
      </c>
      <c r="IA29" s="1">
        <v>60025</v>
      </c>
      <c r="IB29" s="1">
        <v>22388</v>
      </c>
      <c r="IC29" s="1">
        <v>100597</v>
      </c>
      <c r="ID29" s="1">
        <v>433593</v>
      </c>
      <c r="IE29" s="1">
        <v>433593</v>
      </c>
      <c r="IF29" s="1">
        <v>474537</v>
      </c>
      <c r="IG29" s="1">
        <v>168224</v>
      </c>
      <c r="IH29">
        <v>23</v>
      </c>
      <c r="IK29">
        <v>1</v>
      </c>
      <c r="IL29" s="3">
        <v>6.2E-2</v>
      </c>
      <c r="IM29" s="3">
        <v>4.0000000000000002E-4</v>
      </c>
      <c r="IN29" s="3">
        <v>0.108</v>
      </c>
      <c r="IO29" s="3">
        <v>0</v>
      </c>
      <c r="IP29" s="3">
        <v>0.1008</v>
      </c>
      <c r="IQ29" s="3">
        <v>2.9999999999999997E-4</v>
      </c>
      <c r="IR29" s="3">
        <v>0.78949999999999998</v>
      </c>
      <c r="IS29" s="3">
        <v>3.5299999999999998E-2</v>
      </c>
      <c r="IT29" s="3">
        <v>0.38800000000000001</v>
      </c>
      <c r="IU29" s="1">
        <v>36303</v>
      </c>
      <c r="IV29" s="1">
        <v>13391</v>
      </c>
      <c r="IW29" s="1">
        <v>49694</v>
      </c>
      <c r="IX29" s="3">
        <v>0.44540000000000002</v>
      </c>
      <c r="IY29" s="1">
        <v>340821</v>
      </c>
      <c r="JA29">
        <v>348</v>
      </c>
      <c r="JB29">
        <v>19</v>
      </c>
      <c r="JC29">
        <v>901</v>
      </c>
      <c r="JD29">
        <v>4</v>
      </c>
      <c r="JE29">
        <v>0</v>
      </c>
      <c r="JF29">
        <v>284</v>
      </c>
      <c r="JG29">
        <v>352</v>
      </c>
      <c r="JH29">
        <v>19</v>
      </c>
      <c r="JI29" s="1">
        <v>1185</v>
      </c>
      <c r="JJ29" s="1">
        <v>1556</v>
      </c>
      <c r="JK29" s="1">
        <v>1268</v>
      </c>
      <c r="JL29">
        <v>288</v>
      </c>
      <c r="JM29" s="1">
        <v>4326</v>
      </c>
      <c r="JN29">
        <v>141</v>
      </c>
      <c r="JO29" s="1">
        <v>15651</v>
      </c>
      <c r="JP29">
        <v>241</v>
      </c>
      <c r="JQ29">
        <v>0</v>
      </c>
      <c r="JR29" s="1">
        <v>5962</v>
      </c>
      <c r="JS29" s="1">
        <v>4567</v>
      </c>
      <c r="JT29">
        <v>141</v>
      </c>
      <c r="JU29" s="1">
        <v>21613</v>
      </c>
      <c r="JV29" s="1">
        <v>26321</v>
      </c>
      <c r="JW29" s="1">
        <v>20118</v>
      </c>
      <c r="JX29" s="1">
        <v>6203</v>
      </c>
      <c r="JY29">
        <v>16.920000000000002</v>
      </c>
      <c r="JZ29">
        <v>12.97</v>
      </c>
      <c r="KA29">
        <v>18.239999999999998</v>
      </c>
      <c r="KB29">
        <v>0.17</v>
      </c>
      <c r="KC29">
        <v>0.82</v>
      </c>
      <c r="KD29">
        <v>3</v>
      </c>
      <c r="KE29">
        <v>35</v>
      </c>
      <c r="KF29">
        <v>189</v>
      </c>
      <c r="KG29">
        <v>521</v>
      </c>
      <c r="KN29" s="1">
        <v>43142</v>
      </c>
      <c r="KO29" s="1">
        <v>12487</v>
      </c>
      <c r="KP29" s="1">
        <v>5311</v>
      </c>
      <c r="KR29" s="1">
        <v>1397</v>
      </c>
      <c r="KS29" s="1">
        <v>19336</v>
      </c>
      <c r="KT29">
        <v>507</v>
      </c>
      <c r="KU29" s="1">
        <v>1465</v>
      </c>
      <c r="KV29">
        <v>59</v>
      </c>
      <c r="KW29">
        <v>101</v>
      </c>
      <c r="KX29" s="1">
        <v>73483</v>
      </c>
      <c r="KZ29" s="1">
        <v>213255</v>
      </c>
      <c r="LA29" s="1">
        <v>31925</v>
      </c>
      <c r="LD29" t="s">
        <v>727</v>
      </c>
      <c r="LE29" t="s">
        <v>379</v>
      </c>
      <c r="LF29" t="s">
        <v>717</v>
      </c>
      <c r="LG29" t="s">
        <v>718</v>
      </c>
      <c r="LH29">
        <v>27909</v>
      </c>
      <c r="LI29">
        <v>4423</v>
      </c>
      <c r="LJ29" t="s">
        <v>717</v>
      </c>
      <c r="LK29" t="s">
        <v>718</v>
      </c>
      <c r="LL29">
        <v>27909</v>
      </c>
      <c r="LM29">
        <v>4423</v>
      </c>
      <c r="LN29" t="s">
        <v>720</v>
      </c>
      <c r="LO29">
        <v>2523352473</v>
      </c>
      <c r="LP29">
        <v>2523317449</v>
      </c>
      <c r="LQ29" s="1">
        <v>69888</v>
      </c>
      <c r="LR29">
        <v>43.37</v>
      </c>
      <c r="LT29" s="1">
        <v>19640</v>
      </c>
      <c r="LU29">
        <v>466</v>
      </c>
      <c r="LX29">
        <v>9</v>
      </c>
      <c r="LY29" t="s">
        <v>728</v>
      </c>
      <c r="LZ29">
        <v>0</v>
      </c>
      <c r="MA29" t="s">
        <v>363</v>
      </c>
      <c r="MB29">
        <v>4.0999999999999996</v>
      </c>
      <c r="MC29">
        <v>3.7</v>
      </c>
      <c r="ME29" s="574">
        <v>6.25</v>
      </c>
      <c r="MF29" s="574">
        <v>4.78</v>
      </c>
      <c r="MG29" s="574">
        <v>0.39</v>
      </c>
      <c r="MH29" s="574">
        <v>54.56</v>
      </c>
      <c r="MI29" s="574">
        <v>41.68</v>
      </c>
      <c r="MJ29" s="574">
        <v>3.4</v>
      </c>
      <c r="MK29" s="574">
        <v>7.95</v>
      </c>
      <c r="ML29" s="574">
        <v>6.08</v>
      </c>
      <c r="MM29" s="574">
        <v>0.5</v>
      </c>
      <c r="MN29" s="574">
        <v>62.84</v>
      </c>
      <c r="MO29" s="574">
        <v>48.01</v>
      </c>
      <c r="MP29" s="574">
        <v>3.92</v>
      </c>
      <c r="MQ29" s="574">
        <v>103</v>
      </c>
      <c r="MR29" s="574">
        <v>78.680000000000007</v>
      </c>
      <c r="MS29" s="574">
        <v>6.42</v>
      </c>
      <c r="MT29" s="574">
        <v>16.12</v>
      </c>
      <c r="MU29" s="574">
        <v>12.31</v>
      </c>
      <c r="MV29" s="574">
        <v>1.01</v>
      </c>
      <c r="MW29">
        <v>961</v>
      </c>
      <c r="MX29" s="1">
        <v>7582</v>
      </c>
      <c r="MY29" s="1">
        <v>7582</v>
      </c>
      <c r="MZ29" s="1">
        <v>7592</v>
      </c>
      <c r="NA29" s="1">
        <v>59898</v>
      </c>
      <c r="NB29" s="1">
        <v>59898</v>
      </c>
      <c r="NC29" s="1">
        <v>76203</v>
      </c>
      <c r="ND29" s="1">
        <v>76203</v>
      </c>
      <c r="NE29">
        <v>1.53</v>
      </c>
      <c r="NF29" s="1">
        <v>9659</v>
      </c>
      <c r="NG29">
        <v>4.6399999999999997</v>
      </c>
      <c r="NH29">
        <v>3.8860000000000001</v>
      </c>
      <c r="NI29">
        <v>3.05</v>
      </c>
      <c r="NJ29">
        <v>10.199999999999999</v>
      </c>
      <c r="NK29">
        <v>29.48</v>
      </c>
      <c r="NL29">
        <v>0.3866</v>
      </c>
      <c r="NM29">
        <v>1.5076000000000001</v>
      </c>
      <c r="NN29">
        <v>0.45</v>
      </c>
      <c r="NO29">
        <v>0.24</v>
      </c>
      <c r="NP29">
        <v>0</v>
      </c>
      <c r="NQ29">
        <v>0.01</v>
      </c>
      <c r="NR29">
        <v>0.66</v>
      </c>
      <c r="NS29">
        <v>0.04</v>
      </c>
      <c r="NT29">
        <v>0.19</v>
      </c>
      <c r="NU29" s="574">
        <v>18.559999999999999</v>
      </c>
      <c r="NV29">
        <v>2.5430000000000001</v>
      </c>
      <c r="NW29">
        <v>0</v>
      </c>
      <c r="NX29">
        <v>1E-3</v>
      </c>
      <c r="NY29">
        <v>0.25600000000000001</v>
      </c>
      <c r="NZ29">
        <v>1E-3</v>
      </c>
      <c r="OA29">
        <v>0.1145</v>
      </c>
      <c r="OB29">
        <v>0.90329999999999999</v>
      </c>
      <c r="OC29">
        <v>2.4350000000000001</v>
      </c>
      <c r="OD29">
        <v>2.008</v>
      </c>
      <c r="OE29">
        <v>0.3513</v>
      </c>
      <c r="OF29">
        <v>575.28099999999995</v>
      </c>
      <c r="OG29">
        <v>1.65</v>
      </c>
      <c r="OH29" s="574">
        <v>4.22</v>
      </c>
      <c r="OI29">
        <v>202</v>
      </c>
      <c r="OJ29">
        <v>354</v>
      </c>
      <c r="OK29" s="574">
        <v>24.3</v>
      </c>
      <c r="OL29" s="574">
        <v>1.52</v>
      </c>
      <c r="OM29" s="574">
        <v>1.04</v>
      </c>
      <c r="ON29">
        <v>0.40229999999999999</v>
      </c>
      <c r="OO29">
        <v>5.0999999999999997E-2</v>
      </c>
      <c r="OP29">
        <v>0.78879999999999995</v>
      </c>
      <c r="OQ29" s="574">
        <v>3.51</v>
      </c>
      <c r="OR29" s="574">
        <v>20.63</v>
      </c>
      <c r="OS29" s="574">
        <v>0</v>
      </c>
      <c r="OT29" s="574">
        <v>0.73</v>
      </c>
      <c r="OU29" s="574">
        <v>24.87</v>
      </c>
      <c r="OV29">
        <v>10</v>
      </c>
      <c r="OW29">
        <v>28</v>
      </c>
      <c r="OX29">
        <v>1.27</v>
      </c>
      <c r="OY29" s="1">
        <v>8338</v>
      </c>
      <c r="OZ29">
        <v>17.350000000000001</v>
      </c>
      <c r="PA29" s="1">
        <v>6554</v>
      </c>
      <c r="PB29">
        <v>2.2000000000000002</v>
      </c>
      <c r="PC29">
        <v>22.08</v>
      </c>
      <c r="PD29">
        <v>0.13</v>
      </c>
      <c r="PE29">
        <v>830</v>
      </c>
      <c r="PF29">
        <v>0.65</v>
      </c>
      <c r="PG29" s="574">
        <v>0.5</v>
      </c>
      <c r="PH29">
        <v>0.83</v>
      </c>
      <c r="PI29">
        <v>17.600000000000001</v>
      </c>
      <c r="PJ29">
        <v>8.73</v>
      </c>
      <c r="PK29" s="574">
        <v>7.95</v>
      </c>
      <c r="PL29">
        <v>34.340000000000003</v>
      </c>
      <c r="PM29" s="4">
        <v>46136</v>
      </c>
      <c r="PN29" s="4">
        <v>32861</v>
      </c>
      <c r="PO29">
        <v>0.10349999999999999</v>
      </c>
      <c r="PP29">
        <v>1.0405</v>
      </c>
      <c r="PQ29">
        <v>0.13170000000000001</v>
      </c>
      <c r="PR29">
        <v>1.3100000000000001E-2</v>
      </c>
      <c r="PS29">
        <v>0.13189999999999999</v>
      </c>
      <c r="PT29">
        <v>1.67E-2</v>
      </c>
      <c r="PU29" s="3">
        <v>1</v>
      </c>
      <c r="PV29" s="3">
        <v>0.1268</v>
      </c>
      <c r="PW29" s="3">
        <v>0.87319999999999998</v>
      </c>
      <c r="PX29" s="3">
        <v>0.2878</v>
      </c>
      <c r="PY29" s="3">
        <v>0.71220000000000006</v>
      </c>
      <c r="PZ29" s="3">
        <v>6.2399999999999997E-2</v>
      </c>
      <c r="QA29" s="3">
        <v>1.1599999999999999E-2</v>
      </c>
      <c r="QB29" s="3">
        <v>0.2198</v>
      </c>
      <c r="QC29" s="3">
        <v>7.7999999999999996E-3</v>
      </c>
      <c r="QD29" s="3">
        <v>0.17369999999999999</v>
      </c>
      <c r="QE29" s="3">
        <v>4.2999999999999997E-2</v>
      </c>
      <c r="QF29" s="3">
        <v>0.54410000000000003</v>
      </c>
      <c r="QG29" s="3">
        <v>0.76390000000000002</v>
      </c>
      <c r="QH29" s="3">
        <v>0</v>
      </c>
      <c r="QI29" s="3">
        <v>0.82979999999999998</v>
      </c>
      <c r="QJ29" s="3">
        <v>2.92E-2</v>
      </c>
      <c r="QK29" s="3">
        <v>0.14099999999999999</v>
      </c>
      <c r="QL29" s="4">
        <v>13276</v>
      </c>
      <c r="QM29">
        <v>6.86</v>
      </c>
      <c r="QN29" s="1">
        <v>19610</v>
      </c>
      <c r="QO29" s="1">
        <v>19610</v>
      </c>
      <c r="QP29" s="1">
        <v>2486</v>
      </c>
      <c r="QQ29" s="3">
        <v>0.68920000000000003</v>
      </c>
      <c r="QR29" s="3">
        <v>0.1855</v>
      </c>
      <c r="QS29" s="3">
        <v>0.12529999999999999</v>
      </c>
      <c r="QT29" s="3">
        <v>0.1268</v>
      </c>
      <c r="QU29">
        <v>0.28999999999999998</v>
      </c>
      <c r="QV29">
        <v>0.73</v>
      </c>
      <c r="QW29">
        <v>0.21</v>
      </c>
      <c r="QX29">
        <v>14</v>
      </c>
      <c r="QY29">
        <v>3.72</v>
      </c>
      <c r="QZ29">
        <v>20</v>
      </c>
      <c r="RA29">
        <v>2.56</v>
      </c>
      <c r="RB29">
        <v>0.16</v>
      </c>
      <c r="RC29">
        <v>0.16</v>
      </c>
    </row>
    <row r="30" spans="1:471" x14ac:dyDescent="0.25">
      <c r="A30" t="s">
        <v>729</v>
      </c>
      <c r="B30">
        <v>11670</v>
      </c>
      <c r="C30" t="s">
        <v>1754</v>
      </c>
      <c r="D30" t="s">
        <v>1754</v>
      </c>
      <c r="E30" t="s">
        <v>1754</v>
      </c>
      <c r="F30" t="s">
        <v>1755</v>
      </c>
      <c r="G30" t="s">
        <v>1755</v>
      </c>
      <c r="H30" t="s">
        <v>730</v>
      </c>
      <c r="I30" t="s">
        <v>342</v>
      </c>
      <c r="J30" t="s">
        <v>576</v>
      </c>
      <c r="K30" t="s">
        <v>344</v>
      </c>
      <c r="L30" t="s">
        <v>345</v>
      </c>
      <c r="M30" t="s">
        <v>346</v>
      </c>
      <c r="N30" t="s">
        <v>347</v>
      </c>
      <c r="O30" s="1">
        <v>54367</v>
      </c>
      <c r="P30" t="s">
        <v>348</v>
      </c>
      <c r="Q30">
        <v>527</v>
      </c>
      <c r="R30">
        <v>174</v>
      </c>
      <c r="S30">
        <v>159</v>
      </c>
      <c r="T30">
        <v>159</v>
      </c>
      <c r="U30" s="1">
        <v>3402</v>
      </c>
      <c r="V30" s="1">
        <v>3402</v>
      </c>
      <c r="W30" s="1">
        <v>4575</v>
      </c>
      <c r="X30">
        <v>968</v>
      </c>
      <c r="Y30" s="1">
        <v>6800</v>
      </c>
      <c r="Z30" s="1">
        <v>2980</v>
      </c>
      <c r="AC30" t="s">
        <v>731</v>
      </c>
      <c r="AD30" t="s">
        <v>732</v>
      </c>
      <c r="AE30">
        <v>27886</v>
      </c>
      <c r="AF30">
        <v>3818</v>
      </c>
      <c r="AG30" t="s">
        <v>731</v>
      </c>
      <c r="AH30" t="s">
        <v>732</v>
      </c>
      <c r="AI30">
        <v>27886</v>
      </c>
      <c r="AJ30">
        <v>1</v>
      </c>
      <c r="AK30" t="s">
        <v>733</v>
      </c>
      <c r="AM30" t="s">
        <v>0</v>
      </c>
      <c r="AN30" t="s">
        <v>734</v>
      </c>
      <c r="AO30" t="s">
        <v>735</v>
      </c>
      <c r="AP30">
        <v>2528231141</v>
      </c>
      <c r="AQ30" t="s">
        <v>737</v>
      </c>
      <c r="AR30" t="s">
        <v>738</v>
      </c>
      <c r="AS30" t="s">
        <v>739</v>
      </c>
      <c r="AT30" t="s">
        <v>554</v>
      </c>
      <c r="AU30" t="s">
        <v>736</v>
      </c>
      <c r="AV30" t="s">
        <v>737</v>
      </c>
      <c r="AW30" t="s">
        <v>740</v>
      </c>
      <c r="AX30" t="s">
        <v>741</v>
      </c>
      <c r="AY30">
        <v>0</v>
      </c>
      <c r="AZ30">
        <v>0</v>
      </c>
      <c r="BA30">
        <v>0</v>
      </c>
      <c r="BB30" s="573">
        <v>42186</v>
      </c>
      <c r="BC30" s="573">
        <v>42551</v>
      </c>
      <c r="BD30">
        <v>1</v>
      </c>
      <c r="BE30">
        <v>1</v>
      </c>
      <c r="BF30">
        <v>0</v>
      </c>
      <c r="BG30">
        <v>1</v>
      </c>
      <c r="BH30">
        <v>3</v>
      </c>
      <c r="BJ30" s="1">
        <v>4750</v>
      </c>
      <c r="BK30">
        <v>2</v>
      </c>
      <c r="BL30">
        <v>0</v>
      </c>
      <c r="BM30">
        <v>2</v>
      </c>
      <c r="BN30">
        <v>12.9</v>
      </c>
      <c r="BO30">
        <v>14.9</v>
      </c>
      <c r="BP30" s="3">
        <v>0.13420000000000001</v>
      </c>
      <c r="BQ30">
        <v>283</v>
      </c>
      <c r="BR30" s="4">
        <v>51600</v>
      </c>
      <c r="DW30" s="4">
        <v>146528</v>
      </c>
      <c r="DX30" s="4">
        <v>373850</v>
      </c>
      <c r="DY30" s="4">
        <v>520378</v>
      </c>
      <c r="DZ30" s="4">
        <v>119067</v>
      </c>
      <c r="EA30" s="4">
        <v>0</v>
      </c>
      <c r="EB30" s="4">
        <v>119067</v>
      </c>
      <c r="EC30" s="4">
        <v>2223</v>
      </c>
      <c r="ED30" s="4">
        <v>0</v>
      </c>
      <c r="EE30" s="4">
        <v>2223</v>
      </c>
      <c r="EF30" s="4">
        <v>127862</v>
      </c>
      <c r="EG30" s="4">
        <v>769530</v>
      </c>
      <c r="EH30" s="4">
        <v>326587</v>
      </c>
      <c r="EI30" s="4">
        <v>123715</v>
      </c>
      <c r="EJ30" s="4">
        <v>450302</v>
      </c>
      <c r="EK30" s="4">
        <v>51413</v>
      </c>
      <c r="EL30" s="4">
        <v>3288</v>
      </c>
      <c r="EM30" s="4">
        <v>322</v>
      </c>
      <c r="EN30" s="4">
        <v>55023</v>
      </c>
      <c r="EO30" s="4">
        <v>196122</v>
      </c>
      <c r="EP30" s="4">
        <v>701447</v>
      </c>
      <c r="EQ30" s="4">
        <v>68083</v>
      </c>
      <c r="ER30" s="3">
        <v>8.8499999999999995E-2</v>
      </c>
      <c r="ES30" s="4">
        <v>0</v>
      </c>
      <c r="ET30" s="4">
        <v>0</v>
      </c>
      <c r="EU30" s="4">
        <v>0</v>
      </c>
      <c r="EV30" s="4">
        <v>0</v>
      </c>
      <c r="EW30" s="4">
        <v>0</v>
      </c>
      <c r="EX30" s="4">
        <v>0</v>
      </c>
      <c r="EY30" s="1">
        <v>4135</v>
      </c>
      <c r="EZ30" s="1">
        <v>137596</v>
      </c>
      <c r="FA30" s="1">
        <v>36886</v>
      </c>
      <c r="FB30" s="1">
        <v>1705</v>
      </c>
      <c r="FC30" s="1">
        <v>17188</v>
      </c>
      <c r="FD30" s="1">
        <v>34367</v>
      </c>
      <c r="FE30">
        <v>568</v>
      </c>
      <c r="FF30" s="1">
        <v>14640</v>
      </c>
      <c r="FG30" s="1">
        <v>71253</v>
      </c>
      <c r="FH30" s="1">
        <v>2273</v>
      </c>
      <c r="FI30" s="1">
        <v>31828</v>
      </c>
      <c r="FJ30" s="1">
        <v>105354</v>
      </c>
      <c r="FK30">
        <v>602</v>
      </c>
      <c r="FL30">
        <v>99</v>
      </c>
      <c r="FN30" s="1">
        <v>105354</v>
      </c>
      <c r="FO30" s="1">
        <v>1423</v>
      </c>
      <c r="FP30">
        <v>491</v>
      </c>
      <c r="FQ30">
        <v>445</v>
      </c>
      <c r="FR30">
        <v>1</v>
      </c>
      <c r="FS30">
        <v>74</v>
      </c>
      <c r="FT30">
        <v>75</v>
      </c>
      <c r="FU30" s="1">
        <v>26725</v>
      </c>
      <c r="FV30" s="1">
        <v>2022</v>
      </c>
      <c r="FW30">
        <v>0</v>
      </c>
      <c r="GK30">
        <v>161</v>
      </c>
      <c r="GL30">
        <v>199</v>
      </c>
      <c r="GM30">
        <v>0</v>
      </c>
      <c r="GN30">
        <v>0</v>
      </c>
      <c r="GO30" s="1">
        <v>26886</v>
      </c>
      <c r="GP30" s="1">
        <v>2221</v>
      </c>
      <c r="GQ30">
        <v>0</v>
      </c>
      <c r="GR30">
        <v>0</v>
      </c>
      <c r="GS30">
        <v>39</v>
      </c>
      <c r="GU30" s="1">
        <v>27795</v>
      </c>
      <c r="GV30" s="1">
        <v>1177</v>
      </c>
      <c r="GW30" s="1">
        <v>15694</v>
      </c>
      <c r="GX30" s="1">
        <v>6264</v>
      </c>
      <c r="GY30" s="1">
        <v>1087</v>
      </c>
      <c r="GZ30" s="1">
        <v>4505</v>
      </c>
      <c r="HA30" s="1">
        <v>34059</v>
      </c>
      <c r="HB30" s="1">
        <v>2264</v>
      </c>
      <c r="HC30" s="1">
        <v>20199</v>
      </c>
      <c r="HD30" s="1">
        <v>56522</v>
      </c>
      <c r="HE30">
        <v>119</v>
      </c>
      <c r="HF30" s="1">
        <v>56641</v>
      </c>
      <c r="HG30" s="1">
        <v>1034</v>
      </c>
      <c r="HH30">
        <v>807</v>
      </c>
      <c r="HI30">
        <v>0</v>
      </c>
      <c r="HJ30">
        <v>0</v>
      </c>
      <c r="HK30" s="1">
        <v>1841</v>
      </c>
      <c r="HL30" s="1">
        <v>58482</v>
      </c>
      <c r="HM30">
        <v>46</v>
      </c>
      <c r="HN30">
        <v>282</v>
      </c>
      <c r="HO30">
        <v>328</v>
      </c>
      <c r="HP30">
        <v>137</v>
      </c>
      <c r="HQ30">
        <v>0</v>
      </c>
      <c r="HR30">
        <v>137</v>
      </c>
      <c r="HS30">
        <v>0</v>
      </c>
      <c r="HT30">
        <v>0</v>
      </c>
      <c r="HU30">
        <v>0</v>
      </c>
      <c r="HV30">
        <v>0</v>
      </c>
      <c r="HW30">
        <v>465</v>
      </c>
      <c r="HX30" s="1">
        <v>3556</v>
      </c>
      <c r="HY30" s="1">
        <v>11710</v>
      </c>
      <c r="HZ30" s="1">
        <v>15266</v>
      </c>
      <c r="IA30" s="1">
        <v>15731</v>
      </c>
      <c r="IB30" s="1">
        <v>1171</v>
      </c>
      <c r="IC30" s="1">
        <v>1978</v>
      </c>
      <c r="ID30" s="1">
        <v>58947</v>
      </c>
      <c r="IE30" s="1">
        <v>58947</v>
      </c>
      <c r="IF30" s="1">
        <v>74213</v>
      </c>
      <c r="IG30" s="1">
        <v>22463</v>
      </c>
      <c r="IH30">
        <v>123</v>
      </c>
      <c r="IK30">
        <v>1</v>
      </c>
      <c r="IL30" s="3">
        <v>3.5999999999999999E-3</v>
      </c>
      <c r="IM30" s="3">
        <v>6.9999999999999999E-4</v>
      </c>
      <c r="IN30" s="3">
        <v>0.21149999999999999</v>
      </c>
      <c r="IO30" s="3">
        <v>0</v>
      </c>
      <c r="IP30" s="3">
        <v>0.19539999999999999</v>
      </c>
      <c r="IQ30" s="3">
        <v>5.0000000000000001E-4</v>
      </c>
      <c r="IR30" s="3">
        <v>0.76570000000000005</v>
      </c>
      <c r="IS30" s="3">
        <v>2.6499999999999999E-2</v>
      </c>
      <c r="IT30" s="3">
        <v>0.38109999999999999</v>
      </c>
      <c r="IU30" s="1">
        <v>12895</v>
      </c>
      <c r="IV30" s="1">
        <v>3975</v>
      </c>
      <c r="IW30" s="1">
        <v>16870</v>
      </c>
      <c r="IX30" s="3">
        <v>0.31030000000000002</v>
      </c>
      <c r="IY30" s="1">
        <v>133051</v>
      </c>
      <c r="JA30">
        <v>43</v>
      </c>
      <c r="JB30">
        <v>0</v>
      </c>
      <c r="JC30">
        <v>77</v>
      </c>
      <c r="JD30">
        <v>14</v>
      </c>
      <c r="JE30">
        <v>0</v>
      </c>
      <c r="JF30">
        <v>414</v>
      </c>
      <c r="JG30">
        <v>57</v>
      </c>
      <c r="JH30">
        <v>0</v>
      </c>
      <c r="JI30">
        <v>491</v>
      </c>
      <c r="JJ30">
        <v>548</v>
      </c>
      <c r="JK30">
        <v>120</v>
      </c>
      <c r="JL30">
        <v>428</v>
      </c>
      <c r="JM30">
        <v>480</v>
      </c>
      <c r="JN30">
        <v>0</v>
      </c>
      <c r="JO30" s="1">
        <v>2310</v>
      </c>
      <c r="JP30">
        <v>297</v>
      </c>
      <c r="JQ30">
        <v>0</v>
      </c>
      <c r="JR30" s="1">
        <v>9050</v>
      </c>
      <c r="JS30">
        <v>777</v>
      </c>
      <c r="JT30">
        <v>0</v>
      </c>
      <c r="JU30" s="1">
        <v>11360</v>
      </c>
      <c r="JV30" s="1">
        <v>12137</v>
      </c>
      <c r="JW30" s="1">
        <v>2790</v>
      </c>
      <c r="JX30" s="1">
        <v>9347</v>
      </c>
      <c r="JY30">
        <v>22.15</v>
      </c>
      <c r="JZ30">
        <v>13.63</v>
      </c>
      <c r="KA30">
        <v>23.14</v>
      </c>
      <c r="KB30">
        <v>0.06</v>
      </c>
      <c r="KC30">
        <v>0.94</v>
      </c>
      <c r="KD30">
        <v>0</v>
      </c>
      <c r="KE30">
        <v>0</v>
      </c>
      <c r="KF30">
        <v>2</v>
      </c>
      <c r="KG30">
        <v>14</v>
      </c>
      <c r="KN30" s="1">
        <v>6808</v>
      </c>
      <c r="KO30" s="1">
        <v>4360</v>
      </c>
      <c r="KP30">
        <v>705</v>
      </c>
      <c r="KR30">
        <v>400</v>
      </c>
      <c r="KS30" s="1">
        <v>2550</v>
      </c>
      <c r="KT30">
        <v>41</v>
      </c>
      <c r="KU30">
        <v>30</v>
      </c>
      <c r="KV30">
        <v>18</v>
      </c>
      <c r="KW30">
        <v>34</v>
      </c>
      <c r="KX30" s="1">
        <v>32121</v>
      </c>
      <c r="KZ30" s="1">
        <v>48602</v>
      </c>
      <c r="LA30" s="1">
        <v>19504</v>
      </c>
      <c r="LD30" t="s">
        <v>733</v>
      </c>
      <c r="LE30" t="s">
        <v>469</v>
      </c>
      <c r="LF30" t="s">
        <v>731</v>
      </c>
      <c r="LG30" t="s">
        <v>732</v>
      </c>
      <c r="LH30">
        <v>27886</v>
      </c>
      <c r="LI30">
        <v>3818</v>
      </c>
      <c r="LJ30" t="s">
        <v>731</v>
      </c>
      <c r="LK30" t="s">
        <v>732</v>
      </c>
      <c r="LL30">
        <v>27886</v>
      </c>
      <c r="LM30">
        <v>3818</v>
      </c>
      <c r="LN30" t="s">
        <v>734</v>
      </c>
      <c r="LO30">
        <v>2528231141</v>
      </c>
      <c r="LP30">
        <v>2528237699</v>
      </c>
      <c r="LQ30" s="1">
        <v>23450</v>
      </c>
      <c r="LR30">
        <v>14.9</v>
      </c>
      <c r="LT30" s="1">
        <v>4750</v>
      </c>
      <c r="LU30">
        <v>104</v>
      </c>
      <c r="LX30">
        <v>2</v>
      </c>
      <c r="LY30" t="s">
        <v>742</v>
      </c>
      <c r="LZ30">
        <v>0</v>
      </c>
      <c r="MA30" t="s">
        <v>363</v>
      </c>
      <c r="MB30">
        <v>93.05</v>
      </c>
      <c r="MC30">
        <v>94.79</v>
      </c>
      <c r="ME30" s="574">
        <v>11.9</v>
      </c>
      <c r="MF30" s="574">
        <v>7.64</v>
      </c>
      <c r="MG30" s="574">
        <v>0.93</v>
      </c>
      <c r="MH30" s="574">
        <v>41.58</v>
      </c>
      <c r="MI30" s="574">
        <v>26.69</v>
      </c>
      <c r="MJ30" s="574">
        <v>3.26</v>
      </c>
      <c r="MK30" s="574">
        <v>5.27</v>
      </c>
      <c r="ML30" s="574">
        <v>3.38</v>
      </c>
      <c r="MM30" s="574">
        <v>0.41</v>
      </c>
      <c r="MN30" s="574">
        <v>103.03</v>
      </c>
      <c r="MO30" s="574">
        <v>66.14</v>
      </c>
      <c r="MP30" s="574">
        <v>8.08</v>
      </c>
      <c r="MQ30" s="574">
        <v>57.79</v>
      </c>
      <c r="MR30" s="574">
        <v>37.1</v>
      </c>
      <c r="MS30" s="574">
        <v>4.53</v>
      </c>
      <c r="MT30" s="574">
        <v>31.23</v>
      </c>
      <c r="MU30" s="574">
        <v>20.05</v>
      </c>
      <c r="MV30" s="574">
        <v>2.4500000000000002</v>
      </c>
      <c r="MW30">
        <v>457</v>
      </c>
      <c r="MX30" s="1">
        <v>3404</v>
      </c>
      <c r="MY30" s="1">
        <v>3404</v>
      </c>
      <c r="MZ30" s="1">
        <v>8930</v>
      </c>
      <c r="NA30" s="1">
        <v>66526</v>
      </c>
      <c r="NB30" s="1">
        <v>66526</v>
      </c>
      <c r="NC30" s="1">
        <v>29474</v>
      </c>
      <c r="ND30" s="1">
        <v>29474</v>
      </c>
      <c r="NE30">
        <v>0.43</v>
      </c>
      <c r="NF30" s="1">
        <v>3956</v>
      </c>
      <c r="NG30">
        <v>1.9</v>
      </c>
      <c r="NH30">
        <v>1.0840000000000001</v>
      </c>
      <c r="NI30">
        <v>2.4500000000000002</v>
      </c>
      <c r="NJ30">
        <v>2.4300000000000002</v>
      </c>
      <c r="NK30">
        <v>1.78</v>
      </c>
      <c r="NL30">
        <v>0.12520000000000001</v>
      </c>
      <c r="NM30">
        <v>0.41320000000000001</v>
      </c>
      <c r="NN30">
        <v>0.31</v>
      </c>
      <c r="NO30">
        <v>0.22</v>
      </c>
      <c r="NP30">
        <v>0</v>
      </c>
      <c r="NQ30">
        <v>0</v>
      </c>
      <c r="NR30">
        <v>0.59</v>
      </c>
      <c r="NS30">
        <v>0.01</v>
      </c>
      <c r="NT30">
        <v>0.21</v>
      </c>
      <c r="NU30" s="574">
        <v>8.2799999999999994</v>
      </c>
      <c r="NV30">
        <v>2.5310000000000001</v>
      </c>
      <c r="NW30">
        <v>0</v>
      </c>
      <c r="NX30">
        <v>2E-3</v>
      </c>
      <c r="NY30">
        <v>0.495</v>
      </c>
      <c r="NZ30">
        <v>1E-3</v>
      </c>
      <c r="OA30">
        <v>0.1186</v>
      </c>
      <c r="OB30">
        <v>0.88319999999999999</v>
      </c>
      <c r="OC30">
        <v>5.8680000000000003</v>
      </c>
      <c r="OD30">
        <v>1.9379999999999999</v>
      </c>
      <c r="OE30">
        <v>0.23730000000000001</v>
      </c>
      <c r="OF30" s="2">
        <v>1593.7170000000001</v>
      </c>
      <c r="OG30">
        <v>4.4459999999999997</v>
      </c>
      <c r="OH30" s="574">
        <v>3.61</v>
      </c>
      <c r="OI30">
        <v>216</v>
      </c>
      <c r="OJ30">
        <v>29</v>
      </c>
      <c r="OK30" s="574">
        <v>12.9</v>
      </c>
      <c r="OL30" s="574">
        <v>1.01</v>
      </c>
      <c r="OM30" s="574">
        <v>0.95</v>
      </c>
      <c r="ON30">
        <v>0.27410000000000001</v>
      </c>
      <c r="OO30">
        <v>3.6799999999999999E-2</v>
      </c>
      <c r="OP30">
        <v>0.76470000000000005</v>
      </c>
      <c r="OQ30" s="574">
        <v>2.19</v>
      </c>
      <c r="OR30" s="574">
        <v>9.57</v>
      </c>
      <c r="OS30" s="574">
        <v>0.04</v>
      </c>
      <c r="OT30" s="574">
        <v>2.35</v>
      </c>
      <c r="OU30" s="574">
        <v>14.15</v>
      </c>
      <c r="OV30">
        <v>1</v>
      </c>
      <c r="OW30">
        <v>1</v>
      </c>
      <c r="OX30">
        <v>0.44</v>
      </c>
      <c r="OY30" s="1">
        <v>1134</v>
      </c>
      <c r="OZ30">
        <v>28.01</v>
      </c>
      <c r="PA30" s="1">
        <v>2559</v>
      </c>
      <c r="PB30">
        <v>1.43</v>
      </c>
      <c r="PC30">
        <v>12.41</v>
      </c>
      <c r="PD30">
        <v>0.05</v>
      </c>
      <c r="PE30">
        <v>131</v>
      </c>
      <c r="PF30">
        <v>2.33</v>
      </c>
      <c r="PG30" s="574">
        <v>0.41</v>
      </c>
      <c r="PH30">
        <v>1.03</v>
      </c>
      <c r="PI30">
        <v>8.74</v>
      </c>
      <c r="PJ30">
        <v>3.49</v>
      </c>
      <c r="PK30" s="574">
        <v>5.27</v>
      </c>
      <c r="PL30">
        <v>30.45</v>
      </c>
      <c r="PM30" s="4">
        <v>30222</v>
      </c>
      <c r="PN30" s="4">
        <v>21919</v>
      </c>
      <c r="PO30">
        <v>0.25280000000000002</v>
      </c>
      <c r="PP30">
        <v>2.1886000000000001</v>
      </c>
      <c r="PQ30">
        <v>0.112</v>
      </c>
      <c r="PR30">
        <v>3.39E-2</v>
      </c>
      <c r="PS30">
        <v>0.29380000000000001</v>
      </c>
      <c r="PT30">
        <v>1.4999999999999999E-2</v>
      </c>
      <c r="PU30" s="3">
        <v>1</v>
      </c>
      <c r="PV30" s="3">
        <v>0.13420000000000001</v>
      </c>
      <c r="PW30" s="3">
        <v>0.86580000000000001</v>
      </c>
      <c r="PX30" s="3">
        <v>0.2747</v>
      </c>
      <c r="PY30" s="3">
        <v>0.72529999999999994</v>
      </c>
      <c r="PZ30" s="3">
        <v>7.8399999999999997E-2</v>
      </c>
      <c r="QA30" s="3">
        <v>4.7000000000000002E-3</v>
      </c>
      <c r="QB30" s="3">
        <v>0.1764</v>
      </c>
      <c r="QC30" s="3">
        <v>5.0000000000000001E-4</v>
      </c>
      <c r="QD30" s="3">
        <v>0.27960000000000002</v>
      </c>
      <c r="QE30" s="3">
        <v>7.3300000000000004E-2</v>
      </c>
      <c r="QF30" s="3">
        <v>0.46560000000000001</v>
      </c>
      <c r="QG30" s="3">
        <v>0.64200000000000002</v>
      </c>
      <c r="QH30" s="3">
        <v>2.8999999999999998E-3</v>
      </c>
      <c r="QI30" s="3">
        <v>0.67620000000000002</v>
      </c>
      <c r="QJ30" s="3">
        <v>0.16619999999999999</v>
      </c>
      <c r="QK30" s="3">
        <v>0.1547</v>
      </c>
      <c r="QL30" s="4">
        <v>8303</v>
      </c>
      <c r="QM30">
        <v>7.89</v>
      </c>
      <c r="QN30" s="1">
        <v>27184</v>
      </c>
      <c r="QO30" s="1">
        <v>27184</v>
      </c>
      <c r="QP30" s="1">
        <v>3649</v>
      </c>
      <c r="QQ30" s="3">
        <v>0.93440000000000001</v>
      </c>
      <c r="QR30" s="3">
        <v>5.9799999999999999E-2</v>
      </c>
      <c r="QS30" s="3">
        <v>5.8999999999999999E-3</v>
      </c>
      <c r="QT30" s="3">
        <v>0.13420000000000001</v>
      </c>
      <c r="QU30">
        <v>0.18</v>
      </c>
      <c r="QV30">
        <v>0.48</v>
      </c>
      <c r="QW30">
        <v>0.13</v>
      </c>
      <c r="QX30">
        <v>18</v>
      </c>
      <c r="QY30">
        <v>1.1499999999999999</v>
      </c>
      <c r="QZ30">
        <v>183</v>
      </c>
      <c r="RA30">
        <v>1.07</v>
      </c>
      <c r="RB30">
        <v>0.08</v>
      </c>
      <c r="RC30">
        <v>0.08</v>
      </c>
    </row>
    <row r="31" spans="1:471" x14ac:dyDescent="0.25">
      <c r="A31" t="s">
        <v>743</v>
      </c>
      <c r="B31">
        <v>11706</v>
      </c>
      <c r="C31" t="s">
        <v>1754</v>
      </c>
      <c r="D31" t="s">
        <v>1754</v>
      </c>
      <c r="E31" t="s">
        <v>1754</v>
      </c>
      <c r="F31" t="s">
        <v>1755</v>
      </c>
      <c r="G31" t="s">
        <v>1755</v>
      </c>
      <c r="H31" t="s">
        <v>744</v>
      </c>
      <c r="I31" t="s">
        <v>342</v>
      </c>
      <c r="J31" t="s">
        <v>559</v>
      </c>
      <c r="K31" t="s">
        <v>533</v>
      </c>
      <c r="L31" t="s">
        <v>345</v>
      </c>
      <c r="M31" t="s">
        <v>560</v>
      </c>
      <c r="N31" t="s">
        <v>347</v>
      </c>
      <c r="O31" s="1">
        <v>4702</v>
      </c>
      <c r="P31" t="s">
        <v>348</v>
      </c>
      <c r="Q31">
        <v>85</v>
      </c>
      <c r="R31">
        <v>3</v>
      </c>
      <c r="S31">
        <v>57</v>
      </c>
      <c r="T31">
        <v>2</v>
      </c>
      <c r="U31">
        <v>610</v>
      </c>
      <c r="V31">
        <v>-1</v>
      </c>
      <c r="W31" s="1">
        <v>1750</v>
      </c>
      <c r="X31">
        <v>304</v>
      </c>
      <c r="AC31" t="s">
        <v>745</v>
      </c>
      <c r="AD31" t="s">
        <v>746</v>
      </c>
      <c r="AE31">
        <v>27828</v>
      </c>
      <c r="AG31" t="s">
        <v>745</v>
      </c>
      <c r="AH31" t="s">
        <v>746</v>
      </c>
      <c r="AI31">
        <v>27828</v>
      </c>
      <c r="AJ31">
        <v>2</v>
      </c>
      <c r="AK31" t="s">
        <v>747</v>
      </c>
      <c r="AM31" t="s">
        <v>564</v>
      </c>
      <c r="AN31" t="s">
        <v>748</v>
      </c>
      <c r="AO31" t="s">
        <v>749</v>
      </c>
      <c r="AP31">
        <v>2527536713</v>
      </c>
      <c r="AR31" t="s">
        <v>751</v>
      </c>
      <c r="AS31" t="s">
        <v>749</v>
      </c>
      <c r="AT31" t="s">
        <v>1</v>
      </c>
      <c r="AU31" t="s">
        <v>750</v>
      </c>
      <c r="AW31" t="s">
        <v>751</v>
      </c>
      <c r="AX31" t="s">
        <v>752</v>
      </c>
      <c r="AY31">
        <v>0</v>
      </c>
      <c r="AZ31">
        <v>0</v>
      </c>
      <c r="BA31">
        <v>0</v>
      </c>
      <c r="BB31" s="573">
        <v>42186</v>
      </c>
      <c r="BC31" s="573">
        <v>42551</v>
      </c>
      <c r="BD31">
        <v>1</v>
      </c>
      <c r="BE31">
        <v>0</v>
      </c>
      <c r="BF31">
        <v>0</v>
      </c>
      <c r="BG31">
        <v>0</v>
      </c>
      <c r="BH31">
        <v>1</v>
      </c>
      <c r="BJ31" s="1">
        <v>2652</v>
      </c>
      <c r="BK31">
        <v>1</v>
      </c>
      <c r="BL31">
        <v>1</v>
      </c>
      <c r="BM31">
        <v>2</v>
      </c>
      <c r="BN31">
        <v>2</v>
      </c>
      <c r="BO31">
        <v>4</v>
      </c>
      <c r="BP31" s="3">
        <v>0.25</v>
      </c>
      <c r="BQ31">
        <v>225</v>
      </c>
      <c r="BR31" s="4">
        <v>45240</v>
      </c>
      <c r="DW31" s="4">
        <v>299091</v>
      </c>
      <c r="DX31" s="4">
        <v>5000</v>
      </c>
      <c r="DY31" s="4">
        <v>304091</v>
      </c>
      <c r="DZ31" s="4">
        <v>4465</v>
      </c>
      <c r="EA31" s="4">
        <v>0</v>
      </c>
      <c r="EB31" s="4">
        <v>4465</v>
      </c>
      <c r="EC31" s="4">
        <v>750</v>
      </c>
      <c r="ED31" s="4">
        <v>0</v>
      </c>
      <c r="EE31" s="4">
        <v>750</v>
      </c>
      <c r="EF31" s="4">
        <v>0</v>
      </c>
      <c r="EG31" s="4">
        <v>309306</v>
      </c>
      <c r="EH31" s="4">
        <v>154575</v>
      </c>
      <c r="EI31" s="4">
        <v>75076</v>
      </c>
      <c r="EJ31" s="4">
        <v>229651</v>
      </c>
      <c r="EK31" s="4">
        <v>20725</v>
      </c>
      <c r="EL31" s="4">
        <v>3626</v>
      </c>
      <c r="EM31" s="4">
        <v>2662</v>
      </c>
      <c r="EN31" s="4">
        <v>27013</v>
      </c>
      <c r="EO31" s="4">
        <v>52642</v>
      </c>
      <c r="EP31" s="4">
        <v>309306</v>
      </c>
      <c r="EQ31" s="4">
        <v>0</v>
      </c>
      <c r="ER31" s="3">
        <v>0</v>
      </c>
      <c r="ES31" s="4">
        <v>0</v>
      </c>
      <c r="ET31" s="4">
        <v>0</v>
      </c>
      <c r="EU31" s="4">
        <v>0</v>
      </c>
      <c r="EV31" s="4">
        <v>0</v>
      </c>
      <c r="EW31" s="4">
        <v>0</v>
      </c>
      <c r="EX31" s="4">
        <v>0</v>
      </c>
      <c r="EY31" s="1">
        <v>12556</v>
      </c>
      <c r="EZ31" s="1">
        <v>95598</v>
      </c>
      <c r="FA31" s="1">
        <v>6130</v>
      </c>
      <c r="FB31" s="1">
        <v>1474</v>
      </c>
      <c r="FC31" s="1">
        <v>8459</v>
      </c>
      <c r="FD31" s="1">
        <v>9890</v>
      </c>
      <c r="FE31" s="1">
        <v>1334</v>
      </c>
      <c r="FF31" s="1">
        <v>4182</v>
      </c>
      <c r="FG31" s="1">
        <v>16020</v>
      </c>
      <c r="FH31" s="1">
        <v>2808</v>
      </c>
      <c r="FI31" s="1">
        <v>12641</v>
      </c>
      <c r="FJ31" s="1">
        <v>31469</v>
      </c>
      <c r="FK31">
        <v>539</v>
      </c>
      <c r="FL31">
        <v>90</v>
      </c>
      <c r="FN31" s="1">
        <v>31469</v>
      </c>
      <c r="FO31" s="1">
        <v>8459</v>
      </c>
      <c r="FP31">
        <v>892</v>
      </c>
      <c r="FQ31">
        <v>0</v>
      </c>
      <c r="FR31">
        <v>2</v>
      </c>
      <c r="FS31">
        <v>74</v>
      </c>
      <c r="FT31">
        <v>76</v>
      </c>
      <c r="FU31" s="1">
        <v>26725</v>
      </c>
      <c r="FV31" s="1">
        <v>2022</v>
      </c>
      <c r="FW31">
        <v>0</v>
      </c>
      <c r="GC31" s="1">
        <v>23798</v>
      </c>
      <c r="GD31" s="1">
        <v>1183</v>
      </c>
      <c r="GE31">
        <v>205</v>
      </c>
      <c r="GK31">
        <v>90</v>
      </c>
      <c r="GL31">
        <v>0</v>
      </c>
      <c r="GM31">
        <v>0</v>
      </c>
      <c r="GN31">
        <v>50</v>
      </c>
      <c r="GO31" s="1">
        <v>50613</v>
      </c>
      <c r="GP31" s="1">
        <v>3205</v>
      </c>
      <c r="GQ31">
        <v>205</v>
      </c>
      <c r="GR31">
        <v>50</v>
      </c>
      <c r="GS31">
        <v>20</v>
      </c>
      <c r="GU31" s="1">
        <v>6748</v>
      </c>
      <c r="GV31">
        <v>681</v>
      </c>
      <c r="GW31" s="1">
        <v>4487</v>
      </c>
      <c r="GX31" s="1">
        <v>1835</v>
      </c>
      <c r="GY31">
        <v>98</v>
      </c>
      <c r="GZ31">
        <v>639</v>
      </c>
      <c r="HA31" s="1">
        <v>8583</v>
      </c>
      <c r="HB31">
        <v>779</v>
      </c>
      <c r="HC31" s="1">
        <v>5126</v>
      </c>
      <c r="HD31" s="1">
        <v>14488</v>
      </c>
      <c r="HE31">
        <v>772</v>
      </c>
      <c r="HF31" s="1">
        <v>20325</v>
      </c>
      <c r="HG31">
        <v>298</v>
      </c>
      <c r="HH31">
        <v>919</v>
      </c>
      <c r="HI31" s="1">
        <v>5065</v>
      </c>
      <c r="HJ31">
        <v>0</v>
      </c>
      <c r="HK31" s="1">
        <v>1217</v>
      </c>
      <c r="HL31" s="1">
        <v>21542</v>
      </c>
      <c r="HM31">
        <v>37</v>
      </c>
      <c r="HN31" s="1">
        <v>1506</v>
      </c>
      <c r="HO31" s="1">
        <v>1543</v>
      </c>
      <c r="HP31">
        <v>33</v>
      </c>
      <c r="HQ31">
        <v>270</v>
      </c>
      <c r="HR31">
        <v>303</v>
      </c>
      <c r="HS31">
        <v>0</v>
      </c>
      <c r="HT31">
        <v>17</v>
      </c>
      <c r="HU31">
        <v>17</v>
      </c>
      <c r="HV31">
        <v>120</v>
      </c>
      <c r="HW31" s="1">
        <v>1983</v>
      </c>
      <c r="HX31" s="1">
        <v>5033</v>
      </c>
      <c r="HY31" s="1">
        <v>5650</v>
      </c>
      <c r="HZ31" s="1">
        <v>10683</v>
      </c>
      <c r="IA31" s="1">
        <v>12666</v>
      </c>
      <c r="IB31">
        <v>601</v>
      </c>
      <c r="IC31" s="1">
        <v>1537</v>
      </c>
      <c r="ID31" s="1">
        <v>23525</v>
      </c>
      <c r="IE31" s="1">
        <v>23525</v>
      </c>
      <c r="IF31" s="1">
        <v>34208</v>
      </c>
      <c r="IG31" s="1">
        <v>6185</v>
      </c>
      <c r="IH31">
        <v>275</v>
      </c>
      <c r="IK31">
        <v>1</v>
      </c>
      <c r="IL31" s="3">
        <v>1.15E-2</v>
      </c>
      <c r="IM31" s="3">
        <v>8.9999999999999998E-4</v>
      </c>
      <c r="IN31" s="3">
        <v>0.56559999999999999</v>
      </c>
      <c r="IO31" s="3">
        <v>0</v>
      </c>
      <c r="IP31" s="3">
        <v>0.52939999999999998</v>
      </c>
      <c r="IQ31" s="3">
        <v>8.0000000000000004E-4</v>
      </c>
      <c r="IR31" s="3">
        <v>0.32919999999999999</v>
      </c>
      <c r="IS31" s="3">
        <v>0.122</v>
      </c>
      <c r="IT31" s="3">
        <v>0.26290000000000002</v>
      </c>
      <c r="IU31" s="1">
        <v>8771</v>
      </c>
      <c r="IV31" s="1">
        <v>2247</v>
      </c>
      <c r="IW31" s="1">
        <v>11018</v>
      </c>
      <c r="IX31" s="3">
        <v>2.3433000000000002</v>
      </c>
      <c r="IY31" s="1">
        <v>34327</v>
      </c>
      <c r="JA31">
        <v>52</v>
      </c>
      <c r="JB31">
        <v>2</v>
      </c>
      <c r="JC31">
        <v>232</v>
      </c>
      <c r="JD31">
        <v>12</v>
      </c>
      <c r="JE31">
        <v>0</v>
      </c>
      <c r="JF31">
        <v>40</v>
      </c>
      <c r="JG31">
        <v>64</v>
      </c>
      <c r="JH31">
        <v>2</v>
      </c>
      <c r="JI31">
        <v>272</v>
      </c>
      <c r="JJ31">
        <v>338</v>
      </c>
      <c r="JK31">
        <v>286</v>
      </c>
      <c r="JL31">
        <v>52</v>
      </c>
      <c r="JM31">
        <v>790</v>
      </c>
      <c r="JN31">
        <v>2</v>
      </c>
      <c r="JO31" s="1">
        <v>3603</v>
      </c>
      <c r="JP31">
        <v>72</v>
      </c>
      <c r="JQ31">
        <v>0</v>
      </c>
      <c r="JR31">
        <v>300</v>
      </c>
      <c r="JS31">
        <v>862</v>
      </c>
      <c r="JT31">
        <v>2</v>
      </c>
      <c r="JU31" s="1">
        <v>3903</v>
      </c>
      <c r="JV31" s="1">
        <v>4767</v>
      </c>
      <c r="JW31" s="1">
        <v>4395</v>
      </c>
      <c r="JX31">
        <v>372</v>
      </c>
      <c r="JY31">
        <v>14.1</v>
      </c>
      <c r="JZ31">
        <v>13.47</v>
      </c>
      <c r="KA31">
        <v>14.35</v>
      </c>
      <c r="KB31">
        <v>0.18</v>
      </c>
      <c r="KC31">
        <v>0.82</v>
      </c>
      <c r="KD31">
        <v>0</v>
      </c>
      <c r="KE31">
        <v>0</v>
      </c>
      <c r="KF31">
        <v>12</v>
      </c>
      <c r="KG31">
        <v>57</v>
      </c>
      <c r="KN31" s="1">
        <v>15168</v>
      </c>
      <c r="KO31" s="1">
        <v>3358</v>
      </c>
      <c r="KP31">
        <v>16</v>
      </c>
      <c r="KR31">
        <v>52</v>
      </c>
      <c r="KT31" s="1">
        <v>2660</v>
      </c>
      <c r="KU31" s="1">
        <v>2592</v>
      </c>
      <c r="KV31">
        <v>7</v>
      </c>
      <c r="KW31">
        <v>20</v>
      </c>
      <c r="KX31" s="1">
        <v>10863</v>
      </c>
      <c r="KZ31" s="1">
        <v>34067</v>
      </c>
      <c r="LA31" s="1">
        <v>1712</v>
      </c>
      <c r="LD31" t="s">
        <v>747</v>
      </c>
      <c r="LE31" t="s">
        <v>361</v>
      </c>
      <c r="LF31" t="s">
        <v>745</v>
      </c>
      <c r="LG31" t="s">
        <v>746</v>
      </c>
      <c r="LH31">
        <v>27828</v>
      </c>
      <c r="LI31">
        <v>1621</v>
      </c>
      <c r="LJ31" t="s">
        <v>745</v>
      </c>
      <c r="LK31" t="s">
        <v>746</v>
      </c>
      <c r="LL31">
        <v>27828</v>
      </c>
      <c r="LM31">
        <v>1621</v>
      </c>
      <c r="LN31" t="s">
        <v>748</v>
      </c>
      <c r="LO31">
        <v>2527533355</v>
      </c>
      <c r="LQ31" s="1">
        <v>9366</v>
      </c>
      <c r="LR31">
        <v>4</v>
      </c>
      <c r="LT31" s="1">
        <v>2652</v>
      </c>
      <c r="LU31">
        <v>52</v>
      </c>
      <c r="LX31">
        <v>2</v>
      </c>
      <c r="LY31" t="s">
        <v>753</v>
      </c>
      <c r="LZ31">
        <v>0</v>
      </c>
      <c r="MA31" t="s">
        <v>363</v>
      </c>
      <c r="MB31">
        <v>20</v>
      </c>
      <c r="MC31">
        <v>300</v>
      </c>
      <c r="ME31" s="574">
        <v>13.15</v>
      </c>
      <c r="MF31" s="574">
        <v>9.76</v>
      </c>
      <c r="MG31" s="574">
        <v>1.1499999999999999</v>
      </c>
      <c r="MH31" s="574">
        <v>28.07</v>
      </c>
      <c r="MI31" s="574">
        <v>20.84</v>
      </c>
      <c r="MJ31" s="574">
        <v>2.4500000000000002</v>
      </c>
      <c r="MK31" s="574">
        <v>9.01</v>
      </c>
      <c r="ML31" s="574">
        <v>6.69</v>
      </c>
      <c r="MM31" s="574">
        <v>0.79</v>
      </c>
      <c r="MN31" s="574">
        <v>20.39</v>
      </c>
      <c r="MO31" s="574">
        <v>15.14</v>
      </c>
      <c r="MP31" s="574">
        <v>1.78</v>
      </c>
      <c r="MQ31" s="574">
        <v>64.88</v>
      </c>
      <c r="MR31" s="574">
        <v>48.18</v>
      </c>
      <c r="MS31" s="574">
        <v>5.67</v>
      </c>
      <c r="MT31" s="574">
        <v>50.01</v>
      </c>
      <c r="MU31" s="574">
        <v>37.130000000000003</v>
      </c>
      <c r="MV31" s="574">
        <v>4.37</v>
      </c>
      <c r="MW31" s="1">
        <v>3792</v>
      </c>
      <c r="MX31" s="1">
        <v>15168</v>
      </c>
      <c r="MY31" s="1">
        <v>7584</v>
      </c>
      <c r="MZ31" s="1">
        <v>8582</v>
      </c>
      <c r="NA31" s="1">
        <v>34327</v>
      </c>
      <c r="NB31" s="1">
        <v>17164</v>
      </c>
      <c r="NC31" s="1">
        <v>11763</v>
      </c>
      <c r="ND31" s="1">
        <v>23525</v>
      </c>
      <c r="NE31">
        <v>0.25</v>
      </c>
      <c r="NF31" s="1">
        <v>5881</v>
      </c>
      <c r="NG31">
        <v>2.83</v>
      </c>
      <c r="NH31">
        <v>5.0030000000000001</v>
      </c>
      <c r="NI31">
        <v>7.3</v>
      </c>
      <c r="NJ31">
        <v>241.42</v>
      </c>
      <c r="NK31">
        <v>235.25</v>
      </c>
      <c r="NL31">
        <v>3.2259000000000002</v>
      </c>
      <c r="NM31">
        <v>1.3153999999999999</v>
      </c>
      <c r="NN31">
        <v>2.34</v>
      </c>
      <c r="NO31">
        <v>1.01</v>
      </c>
      <c r="NP31">
        <v>0.56999999999999995</v>
      </c>
      <c r="NQ31">
        <v>0.55000000000000004</v>
      </c>
      <c r="NR31">
        <v>2.31</v>
      </c>
      <c r="NS31">
        <v>0.18</v>
      </c>
      <c r="NT31">
        <v>0.83</v>
      </c>
      <c r="NU31" s="574">
        <v>48.84</v>
      </c>
      <c r="NV31">
        <v>20.331</v>
      </c>
      <c r="NW31">
        <v>0</v>
      </c>
      <c r="NX31">
        <v>1.9E-2</v>
      </c>
      <c r="NY31">
        <v>10.763999999999999</v>
      </c>
      <c r="NZ31">
        <v>1.6E-2</v>
      </c>
      <c r="OA31">
        <v>9.0800000000000006E-2</v>
      </c>
      <c r="OB31">
        <v>0.36299999999999999</v>
      </c>
      <c r="OC31">
        <v>8.1679999999999993</v>
      </c>
      <c r="OD31">
        <v>6.6929999999999996</v>
      </c>
      <c r="OE31">
        <v>0.4254</v>
      </c>
      <c r="OF31" s="2">
        <v>4593.665</v>
      </c>
      <c r="OG31">
        <v>6.8979999999999997</v>
      </c>
      <c r="OH31" s="574">
        <v>11.2</v>
      </c>
      <c r="OI31" s="1">
        <v>1059</v>
      </c>
      <c r="OJ31">
        <v>100</v>
      </c>
      <c r="OK31" s="574">
        <v>65.78</v>
      </c>
      <c r="OL31" s="574">
        <v>5.75</v>
      </c>
      <c r="OM31" s="574">
        <v>4.41</v>
      </c>
      <c r="ON31">
        <v>0.85070000000000001</v>
      </c>
      <c r="OO31">
        <v>0.2127</v>
      </c>
      <c r="OP31">
        <v>0.18149999999999999</v>
      </c>
      <c r="OQ31" s="574">
        <v>0.95</v>
      </c>
      <c r="OR31" s="574">
        <v>64.67</v>
      </c>
      <c r="OS31" s="574">
        <v>0.16</v>
      </c>
      <c r="OT31" s="574">
        <v>0</v>
      </c>
      <c r="OU31" s="574">
        <v>65.78</v>
      </c>
      <c r="OV31">
        <v>51</v>
      </c>
      <c r="OW31">
        <v>50</v>
      </c>
      <c r="OX31">
        <v>0.69</v>
      </c>
      <c r="OY31">
        <v>452</v>
      </c>
      <c r="OZ31">
        <v>12.94</v>
      </c>
      <c r="PA31">
        <v>660</v>
      </c>
      <c r="PB31">
        <v>5.72</v>
      </c>
      <c r="PC31">
        <v>8.8699999999999992</v>
      </c>
      <c r="PD31">
        <v>0.44</v>
      </c>
      <c r="PE31">
        <v>292</v>
      </c>
      <c r="PF31">
        <v>4.0599999999999996</v>
      </c>
      <c r="PG31" s="574">
        <v>0.79</v>
      </c>
      <c r="PH31">
        <v>2.78</v>
      </c>
      <c r="PI31">
        <v>56.4</v>
      </c>
      <c r="PJ31">
        <v>2.14</v>
      </c>
      <c r="PK31" s="574">
        <v>9.01</v>
      </c>
      <c r="PL31">
        <v>51</v>
      </c>
      <c r="PM31" s="4">
        <v>57413</v>
      </c>
      <c r="PN31" s="4">
        <v>38644</v>
      </c>
      <c r="PO31">
        <v>0.17</v>
      </c>
      <c r="PP31">
        <v>0.26369999999999999</v>
      </c>
      <c r="PQ31">
        <v>0.11650000000000001</v>
      </c>
      <c r="PR31">
        <v>4.2500000000000003E-2</v>
      </c>
      <c r="PS31">
        <v>6.59E-2</v>
      </c>
      <c r="PT31">
        <v>2.9100000000000001E-2</v>
      </c>
      <c r="PU31" s="3">
        <v>0.5</v>
      </c>
      <c r="PV31" s="3">
        <v>0.5</v>
      </c>
      <c r="PW31" s="3">
        <v>0.5</v>
      </c>
      <c r="PX31" s="3">
        <v>0.32690000000000002</v>
      </c>
      <c r="PY31" s="3">
        <v>0.67310000000000003</v>
      </c>
      <c r="PZ31" s="3">
        <v>8.7300000000000003E-2</v>
      </c>
      <c r="QA31" s="3">
        <v>1.17E-2</v>
      </c>
      <c r="QB31" s="3">
        <v>0.2427</v>
      </c>
      <c r="QC31" s="3">
        <v>8.6E-3</v>
      </c>
      <c r="QD31" s="3">
        <v>0.17019999999999999</v>
      </c>
      <c r="QE31" s="3">
        <v>6.7000000000000004E-2</v>
      </c>
      <c r="QF31" s="3">
        <v>0.49969999999999998</v>
      </c>
      <c r="QG31" s="3">
        <v>0.74250000000000005</v>
      </c>
      <c r="QH31" s="3">
        <v>2.3999999999999998E-3</v>
      </c>
      <c r="QI31" s="3">
        <v>0.98309999999999997</v>
      </c>
      <c r="QJ31" s="3">
        <v>0</v>
      </c>
      <c r="QK31" s="3">
        <v>1.44E-2</v>
      </c>
      <c r="QL31" s="4">
        <v>18769</v>
      </c>
      <c r="QM31">
        <v>3.12</v>
      </c>
      <c r="QN31" s="1">
        <v>2351</v>
      </c>
      <c r="QO31" s="1">
        <v>4702</v>
      </c>
      <c r="QP31" s="1">
        <v>1176</v>
      </c>
      <c r="QQ31" s="3">
        <v>0.76719999999999999</v>
      </c>
      <c r="QR31" s="3">
        <v>0.13420000000000001</v>
      </c>
      <c r="QS31" s="3">
        <v>9.8500000000000004E-2</v>
      </c>
      <c r="QT31" s="3">
        <v>0.25</v>
      </c>
      <c r="QU31">
        <v>0.15</v>
      </c>
      <c r="QV31">
        <v>0.31</v>
      </c>
      <c r="QW31">
        <v>0.1</v>
      </c>
      <c r="QX31">
        <v>6</v>
      </c>
      <c r="QY31">
        <v>1.1399999999999999</v>
      </c>
      <c r="QZ31">
        <v>9</v>
      </c>
      <c r="RA31">
        <v>0.87</v>
      </c>
      <c r="RB31">
        <v>0.08</v>
      </c>
      <c r="RC31">
        <v>0.08</v>
      </c>
    </row>
    <row r="32" spans="1:471" x14ac:dyDescent="0.25">
      <c r="A32" t="s">
        <v>754</v>
      </c>
      <c r="B32">
        <v>11647</v>
      </c>
      <c r="C32" t="s">
        <v>1754</v>
      </c>
      <c r="D32" t="s">
        <v>1754</v>
      </c>
      <c r="E32" t="s">
        <v>1754</v>
      </c>
      <c r="F32" t="s">
        <v>1755</v>
      </c>
      <c r="G32" t="s">
        <v>1755</v>
      </c>
      <c r="H32" t="s">
        <v>755</v>
      </c>
      <c r="I32" t="s">
        <v>342</v>
      </c>
      <c r="J32" t="s">
        <v>366</v>
      </c>
      <c r="K32" t="s">
        <v>344</v>
      </c>
      <c r="L32" t="s">
        <v>345</v>
      </c>
      <c r="M32" t="s">
        <v>367</v>
      </c>
      <c r="N32" t="s">
        <v>347</v>
      </c>
      <c r="O32" s="1">
        <v>91321</v>
      </c>
      <c r="P32" t="s">
        <v>348</v>
      </c>
      <c r="Q32" s="1">
        <v>1315</v>
      </c>
      <c r="R32">
        <v>155</v>
      </c>
      <c r="S32">
        <v>312</v>
      </c>
      <c r="T32">
        <v>98</v>
      </c>
      <c r="U32" s="1">
        <v>8029</v>
      </c>
      <c r="V32" s="1">
        <v>2610</v>
      </c>
      <c r="W32" s="1">
        <v>34793</v>
      </c>
      <c r="X32" s="1">
        <v>3225</v>
      </c>
      <c r="Y32" s="1">
        <v>604702</v>
      </c>
      <c r="Z32" s="1">
        <v>187333</v>
      </c>
      <c r="AC32" t="s">
        <v>756</v>
      </c>
      <c r="AD32" t="s">
        <v>757</v>
      </c>
      <c r="AE32">
        <v>28713</v>
      </c>
      <c r="AF32">
        <v>5667</v>
      </c>
      <c r="AG32" t="s">
        <v>756</v>
      </c>
      <c r="AH32" t="s">
        <v>757</v>
      </c>
      <c r="AI32">
        <v>28713</v>
      </c>
      <c r="AJ32">
        <v>1</v>
      </c>
      <c r="AK32" t="s">
        <v>758</v>
      </c>
      <c r="AM32" t="s">
        <v>372</v>
      </c>
      <c r="AN32" t="s">
        <v>759</v>
      </c>
      <c r="AO32" t="s">
        <v>760</v>
      </c>
      <c r="AP32">
        <v>8285243600</v>
      </c>
      <c r="AQ32" t="s">
        <v>761</v>
      </c>
      <c r="AR32" t="s">
        <v>762</v>
      </c>
      <c r="AS32" t="s">
        <v>763</v>
      </c>
      <c r="AT32" t="s">
        <v>764</v>
      </c>
      <c r="AU32" t="s">
        <v>765</v>
      </c>
      <c r="AV32" t="s">
        <v>761</v>
      </c>
      <c r="AW32" t="s">
        <v>766</v>
      </c>
      <c r="AX32" t="s">
        <v>767</v>
      </c>
      <c r="AY32">
        <v>0</v>
      </c>
      <c r="AZ32">
        <v>0</v>
      </c>
      <c r="BA32">
        <v>0</v>
      </c>
      <c r="BB32" s="573">
        <v>42186</v>
      </c>
      <c r="BC32" s="573">
        <v>42551</v>
      </c>
      <c r="BD32">
        <v>0</v>
      </c>
      <c r="BE32">
        <v>6</v>
      </c>
      <c r="BF32">
        <v>0</v>
      </c>
      <c r="BG32">
        <v>1</v>
      </c>
      <c r="BH32">
        <v>7</v>
      </c>
      <c r="BJ32" s="1">
        <v>12845</v>
      </c>
      <c r="BK32">
        <v>7</v>
      </c>
      <c r="BL32">
        <v>0</v>
      </c>
      <c r="BM32">
        <v>7</v>
      </c>
      <c r="BN32">
        <v>53.93</v>
      </c>
      <c r="BO32">
        <v>60.93</v>
      </c>
      <c r="BP32" s="3">
        <v>0.1149</v>
      </c>
      <c r="BQ32" s="1">
        <v>5861</v>
      </c>
      <c r="BR32" s="4">
        <v>79466</v>
      </c>
      <c r="DW32" s="4">
        <v>21000</v>
      </c>
      <c r="DX32" s="4">
        <v>2227821</v>
      </c>
      <c r="DY32" s="4">
        <v>2248821</v>
      </c>
      <c r="DZ32" s="4">
        <v>327021</v>
      </c>
      <c r="EA32" s="4">
        <v>54408</v>
      </c>
      <c r="EB32" s="4">
        <v>381429</v>
      </c>
      <c r="EC32" s="4">
        <v>114800</v>
      </c>
      <c r="ED32" s="4">
        <v>0</v>
      </c>
      <c r="EE32" s="4">
        <v>114800</v>
      </c>
      <c r="EF32" s="4">
        <v>518808</v>
      </c>
      <c r="EG32" s="4">
        <v>3263858</v>
      </c>
      <c r="EH32" s="4">
        <v>1644109</v>
      </c>
      <c r="EI32" s="4">
        <v>617500</v>
      </c>
      <c r="EJ32" s="4">
        <v>2261609</v>
      </c>
      <c r="EK32" s="4">
        <v>189928</v>
      </c>
      <c r="EL32" s="4">
        <v>29595</v>
      </c>
      <c r="EM32" s="4">
        <v>47771</v>
      </c>
      <c r="EN32" s="4">
        <v>267294</v>
      </c>
      <c r="EO32" s="4">
        <v>608048</v>
      </c>
      <c r="EP32" s="4">
        <v>3136951</v>
      </c>
      <c r="EQ32" s="4">
        <v>126907</v>
      </c>
      <c r="ER32" s="3">
        <v>3.8899999999999997E-2</v>
      </c>
      <c r="ES32" s="4">
        <v>0</v>
      </c>
      <c r="ET32" s="4">
        <v>0</v>
      </c>
      <c r="EU32" s="4">
        <v>0</v>
      </c>
      <c r="EV32" s="4">
        <v>0</v>
      </c>
      <c r="EW32" s="4">
        <v>0</v>
      </c>
      <c r="EX32" s="4">
        <v>110951</v>
      </c>
      <c r="EY32" s="1">
        <v>36698</v>
      </c>
      <c r="EZ32" s="1">
        <v>322558</v>
      </c>
      <c r="FA32" s="1">
        <v>82990</v>
      </c>
      <c r="FB32" s="1">
        <v>5029</v>
      </c>
      <c r="FC32" s="1">
        <v>52560</v>
      </c>
      <c r="FD32" s="1">
        <v>58632</v>
      </c>
      <c r="FE32" s="1">
        <v>1023</v>
      </c>
      <c r="FF32" s="1">
        <v>20779</v>
      </c>
      <c r="FG32" s="1">
        <v>141622</v>
      </c>
      <c r="FH32" s="1">
        <v>6052</v>
      </c>
      <c r="FI32" s="1">
        <v>73339</v>
      </c>
      <c r="FJ32" s="1">
        <v>221013</v>
      </c>
      <c r="FK32" s="1">
        <v>10170</v>
      </c>
      <c r="FL32">
        <v>457</v>
      </c>
      <c r="FN32" s="1">
        <v>221013</v>
      </c>
      <c r="FO32" s="1">
        <v>10492</v>
      </c>
      <c r="FP32" s="1">
        <v>15981</v>
      </c>
      <c r="FQ32" s="1">
        <v>2335</v>
      </c>
      <c r="FR32">
        <v>0</v>
      </c>
      <c r="FS32">
        <v>74</v>
      </c>
      <c r="FT32">
        <v>74</v>
      </c>
      <c r="FU32" s="1">
        <v>26725</v>
      </c>
      <c r="FV32" s="1">
        <v>2022</v>
      </c>
      <c r="FW32">
        <v>0</v>
      </c>
      <c r="GC32" s="1">
        <v>23798</v>
      </c>
      <c r="GD32" s="1">
        <v>1183</v>
      </c>
      <c r="GE32">
        <v>205</v>
      </c>
      <c r="GK32">
        <v>629</v>
      </c>
      <c r="GL32" s="1">
        <v>7020</v>
      </c>
      <c r="GM32">
        <v>0</v>
      </c>
      <c r="GN32">
        <v>454</v>
      </c>
      <c r="GO32" s="1">
        <v>51152</v>
      </c>
      <c r="GP32" s="1">
        <v>10225</v>
      </c>
      <c r="GQ32">
        <v>205</v>
      </c>
      <c r="GR32">
        <v>454</v>
      </c>
      <c r="GS32">
        <v>147</v>
      </c>
      <c r="GU32" s="1">
        <v>129897</v>
      </c>
      <c r="GV32" s="1">
        <v>7359</v>
      </c>
      <c r="GW32" s="1">
        <v>87249</v>
      </c>
      <c r="GX32" s="1">
        <v>42767</v>
      </c>
      <c r="GY32" s="1">
        <v>1787</v>
      </c>
      <c r="GZ32" s="1">
        <v>21281</v>
      </c>
      <c r="HA32" s="1">
        <v>172664</v>
      </c>
      <c r="HB32" s="1">
        <v>9146</v>
      </c>
      <c r="HC32" s="1">
        <v>108530</v>
      </c>
      <c r="HD32" s="1">
        <v>290340</v>
      </c>
      <c r="HE32" s="1">
        <v>5401</v>
      </c>
      <c r="HF32" s="1">
        <v>295741</v>
      </c>
      <c r="HG32" s="1">
        <v>25148</v>
      </c>
      <c r="HH32" s="1">
        <v>34879</v>
      </c>
      <c r="HI32">
        <v>0</v>
      </c>
      <c r="HJ32" s="1">
        <v>2352</v>
      </c>
      <c r="HK32" s="1">
        <v>62379</v>
      </c>
      <c r="HL32" s="1">
        <v>358120</v>
      </c>
      <c r="HM32">
        <v>108</v>
      </c>
      <c r="HN32" s="1">
        <v>41969</v>
      </c>
      <c r="HO32" s="1">
        <v>42077</v>
      </c>
      <c r="HP32">
        <v>396</v>
      </c>
      <c r="HQ32" s="1">
        <v>5368</v>
      </c>
      <c r="HR32" s="1">
        <v>5764</v>
      </c>
      <c r="HS32">
        <v>0</v>
      </c>
      <c r="HT32">
        <v>78</v>
      </c>
      <c r="HU32">
        <v>78</v>
      </c>
      <c r="HV32" s="1">
        <v>1537</v>
      </c>
      <c r="HW32" s="1">
        <v>49456</v>
      </c>
      <c r="HX32" s="1">
        <v>8924</v>
      </c>
      <c r="HY32">
        <v>0</v>
      </c>
      <c r="HZ32" s="1">
        <v>8924</v>
      </c>
      <c r="IA32" s="1">
        <v>58380</v>
      </c>
      <c r="IB32" s="1">
        <v>30912</v>
      </c>
      <c r="IC32" s="1">
        <v>65869</v>
      </c>
      <c r="ID32" s="1">
        <v>407576</v>
      </c>
      <c r="IE32" s="1">
        <v>407576</v>
      </c>
      <c r="IF32" s="1">
        <v>416500</v>
      </c>
      <c r="IG32" s="1">
        <v>127553</v>
      </c>
      <c r="IH32" s="1">
        <v>7930</v>
      </c>
      <c r="IK32">
        <v>1</v>
      </c>
      <c r="IL32" s="3">
        <v>5.0200000000000002E-2</v>
      </c>
      <c r="IM32" s="3">
        <v>1.4E-3</v>
      </c>
      <c r="IN32" s="3">
        <v>0.1923</v>
      </c>
      <c r="IO32" s="3">
        <v>0</v>
      </c>
      <c r="IP32" s="3">
        <v>0.15859999999999999</v>
      </c>
      <c r="IQ32" s="3">
        <v>2.0000000000000001E-4</v>
      </c>
      <c r="IR32" s="3">
        <v>0.68520000000000003</v>
      </c>
      <c r="IS32" s="3">
        <v>6.4199999999999993E-2</v>
      </c>
      <c r="IT32" s="3">
        <v>0.313</v>
      </c>
      <c r="IU32" s="1">
        <v>63001</v>
      </c>
      <c r="IV32" s="1">
        <v>8833</v>
      </c>
      <c r="IW32" s="1">
        <v>71834</v>
      </c>
      <c r="IX32" s="3">
        <v>0.78659999999999997</v>
      </c>
      <c r="IY32" s="1">
        <v>434545</v>
      </c>
      <c r="JA32">
        <v>593</v>
      </c>
      <c r="JB32">
        <v>129</v>
      </c>
      <c r="JC32" s="1">
        <v>1002</v>
      </c>
      <c r="JD32">
        <v>3</v>
      </c>
      <c r="JE32">
        <v>2</v>
      </c>
      <c r="JF32">
        <v>961</v>
      </c>
      <c r="JG32">
        <v>596</v>
      </c>
      <c r="JH32">
        <v>131</v>
      </c>
      <c r="JI32" s="1">
        <v>1963</v>
      </c>
      <c r="JJ32" s="1">
        <v>2690</v>
      </c>
      <c r="JK32" s="1">
        <v>1724</v>
      </c>
      <c r="JL32">
        <v>966</v>
      </c>
      <c r="JM32" s="1">
        <v>11022</v>
      </c>
      <c r="JN32" s="1">
        <v>1555</v>
      </c>
      <c r="JO32" s="1">
        <v>20765</v>
      </c>
      <c r="JP32" s="1">
        <v>1537</v>
      </c>
      <c r="JQ32">
        <v>315</v>
      </c>
      <c r="JR32" s="1">
        <v>18476</v>
      </c>
      <c r="JS32" s="1">
        <v>12559</v>
      </c>
      <c r="JT32" s="1">
        <v>1870</v>
      </c>
      <c r="JU32" s="1">
        <v>39241</v>
      </c>
      <c r="JV32" s="1">
        <v>53670</v>
      </c>
      <c r="JW32" s="1">
        <v>33342</v>
      </c>
      <c r="JX32" s="1">
        <v>20328</v>
      </c>
      <c r="JY32">
        <v>19.95</v>
      </c>
      <c r="JZ32">
        <v>21.07</v>
      </c>
      <c r="KA32">
        <v>19.989999999999998</v>
      </c>
      <c r="KB32">
        <v>0.23</v>
      </c>
      <c r="KC32">
        <v>0.73</v>
      </c>
      <c r="KD32">
        <v>0</v>
      </c>
      <c r="KE32">
        <v>0</v>
      </c>
      <c r="KF32">
        <v>95</v>
      </c>
      <c r="KG32">
        <v>513</v>
      </c>
      <c r="KN32" s="1">
        <v>124762</v>
      </c>
      <c r="KO32" s="1">
        <v>40929</v>
      </c>
      <c r="KP32">
        <v>731</v>
      </c>
      <c r="KR32" s="1">
        <v>7470</v>
      </c>
      <c r="KS32" s="1">
        <v>29675</v>
      </c>
      <c r="KT32" s="1">
        <v>31044</v>
      </c>
      <c r="KU32" s="1">
        <v>30386</v>
      </c>
      <c r="KV32">
        <v>96</v>
      </c>
      <c r="KW32">
        <v>126</v>
      </c>
      <c r="KX32" s="1">
        <v>48743</v>
      </c>
      <c r="KZ32" s="1">
        <v>75246</v>
      </c>
      <c r="LA32" s="1">
        <v>88596</v>
      </c>
      <c r="LD32" t="s">
        <v>768</v>
      </c>
      <c r="LE32" t="s">
        <v>379</v>
      </c>
      <c r="LF32" t="s">
        <v>769</v>
      </c>
      <c r="LG32" t="s">
        <v>770</v>
      </c>
      <c r="LH32">
        <v>28717</v>
      </c>
      <c r="LI32">
        <v>2194</v>
      </c>
      <c r="LJ32" t="s">
        <v>771</v>
      </c>
      <c r="LK32" t="s">
        <v>770</v>
      </c>
      <c r="LL32">
        <v>28717</v>
      </c>
      <c r="LN32" t="s">
        <v>772</v>
      </c>
      <c r="LO32">
        <v>8287430215</v>
      </c>
      <c r="LP32">
        <v>8287431638</v>
      </c>
      <c r="LQ32" s="1">
        <v>84456</v>
      </c>
      <c r="LR32">
        <v>54.53</v>
      </c>
      <c r="LT32" s="1">
        <v>12845</v>
      </c>
      <c r="LU32">
        <v>312</v>
      </c>
      <c r="LX32">
        <v>8</v>
      </c>
      <c r="LY32" t="s">
        <v>773</v>
      </c>
      <c r="LZ32">
        <v>0</v>
      </c>
      <c r="MA32" t="s">
        <v>408</v>
      </c>
      <c r="MB32">
        <v>91.96</v>
      </c>
      <c r="MC32">
        <v>83.67</v>
      </c>
      <c r="ME32" s="574">
        <v>7.7</v>
      </c>
      <c r="MF32" s="574">
        <v>5.55</v>
      </c>
      <c r="MG32" s="574">
        <v>0.66</v>
      </c>
      <c r="MH32" s="574">
        <v>43.67</v>
      </c>
      <c r="MI32" s="574">
        <v>31.48</v>
      </c>
      <c r="MJ32" s="574">
        <v>3.72</v>
      </c>
      <c r="MK32" s="574">
        <v>7.22</v>
      </c>
      <c r="ML32" s="574">
        <v>5.2</v>
      </c>
      <c r="MM32" s="574">
        <v>0.62</v>
      </c>
      <c r="MN32" s="574">
        <v>25.14</v>
      </c>
      <c r="MO32" s="574">
        <v>18.13</v>
      </c>
      <c r="MP32" s="574">
        <v>2.14</v>
      </c>
      <c r="MQ32" s="574">
        <v>58.45</v>
      </c>
      <c r="MR32" s="574">
        <v>42.14</v>
      </c>
      <c r="MS32" s="574">
        <v>4.9800000000000004</v>
      </c>
      <c r="MT32" s="574">
        <v>24.59</v>
      </c>
      <c r="MU32" s="574">
        <v>17.73</v>
      </c>
      <c r="MV32" s="574">
        <v>2.1</v>
      </c>
      <c r="MW32" s="1">
        <v>2048</v>
      </c>
      <c r="MX32" s="1">
        <v>17823</v>
      </c>
      <c r="MY32" s="1">
        <v>17823</v>
      </c>
      <c r="MZ32" s="1">
        <v>7132</v>
      </c>
      <c r="NA32" s="1">
        <v>62078</v>
      </c>
      <c r="NB32" s="1">
        <v>62078</v>
      </c>
      <c r="NC32" s="1">
        <v>58225</v>
      </c>
      <c r="ND32" s="1">
        <v>58225</v>
      </c>
      <c r="NE32">
        <v>1.26</v>
      </c>
      <c r="NF32" s="1">
        <v>6689</v>
      </c>
      <c r="NG32">
        <v>3.22</v>
      </c>
      <c r="NH32">
        <v>4.4630000000000001</v>
      </c>
      <c r="NI32">
        <v>4.76</v>
      </c>
      <c r="NJ32">
        <v>432.16</v>
      </c>
      <c r="NK32">
        <v>423</v>
      </c>
      <c r="NL32">
        <v>1.3662000000000001</v>
      </c>
      <c r="NM32">
        <v>1.3968</v>
      </c>
      <c r="NN32">
        <v>0.79</v>
      </c>
      <c r="NO32">
        <v>0.59</v>
      </c>
      <c r="NP32">
        <v>0.34</v>
      </c>
      <c r="NQ32">
        <v>0.33</v>
      </c>
      <c r="NR32">
        <v>0.53</v>
      </c>
      <c r="NS32">
        <v>0.14000000000000001</v>
      </c>
      <c r="NT32">
        <v>0.43</v>
      </c>
      <c r="NU32" s="574">
        <v>24.77</v>
      </c>
      <c r="NV32">
        <v>3.532</v>
      </c>
      <c r="NW32">
        <v>0</v>
      </c>
      <c r="NX32">
        <v>5.0000000000000001E-3</v>
      </c>
      <c r="NY32">
        <v>0.56000000000000005</v>
      </c>
      <c r="NZ32">
        <v>1E-3</v>
      </c>
      <c r="OA32">
        <v>9.7500000000000003E-2</v>
      </c>
      <c r="OB32">
        <v>0.84819999999999995</v>
      </c>
      <c r="OC32">
        <v>6.3620000000000001</v>
      </c>
      <c r="OD32">
        <v>2.42</v>
      </c>
      <c r="OE32">
        <v>0.59060000000000001</v>
      </c>
      <c r="OF32">
        <v>712.08600000000001</v>
      </c>
      <c r="OG32">
        <v>1.03</v>
      </c>
      <c r="OH32" s="574">
        <v>6.66</v>
      </c>
      <c r="OI32">
        <v>288</v>
      </c>
      <c r="OJ32">
        <v>225</v>
      </c>
      <c r="OK32" s="574">
        <v>34.35</v>
      </c>
      <c r="OL32" s="574">
        <v>2.93</v>
      </c>
      <c r="OM32" s="574">
        <v>2.08</v>
      </c>
      <c r="ON32">
        <v>0.66720000000000002</v>
      </c>
      <c r="OO32">
        <v>7.6700000000000004E-2</v>
      </c>
      <c r="OP32">
        <v>0.75080000000000002</v>
      </c>
      <c r="OQ32" s="574">
        <v>4.18</v>
      </c>
      <c r="OR32" s="574">
        <v>24.63</v>
      </c>
      <c r="OS32" s="574">
        <v>1.26</v>
      </c>
      <c r="OT32" s="574">
        <v>5.68</v>
      </c>
      <c r="OU32" s="574">
        <v>35.74</v>
      </c>
      <c r="OV32">
        <v>597</v>
      </c>
      <c r="OW32">
        <v>584</v>
      </c>
      <c r="OX32">
        <v>0.94</v>
      </c>
      <c r="OY32" s="1">
        <v>7838</v>
      </c>
      <c r="OZ32">
        <v>33.83</v>
      </c>
      <c r="PA32" s="1">
        <v>8357</v>
      </c>
      <c r="PB32">
        <v>9.7100000000000009</v>
      </c>
      <c r="PC32">
        <v>31.73</v>
      </c>
      <c r="PD32">
        <v>0.28999999999999998</v>
      </c>
      <c r="PE32" s="1">
        <v>2399</v>
      </c>
      <c r="PF32">
        <v>0.79</v>
      </c>
      <c r="PG32" s="574">
        <v>0.62</v>
      </c>
      <c r="PH32">
        <v>0.74</v>
      </c>
      <c r="PI32">
        <v>14.07</v>
      </c>
      <c r="PJ32">
        <v>5.67</v>
      </c>
      <c r="PK32" s="574">
        <v>7.22</v>
      </c>
      <c r="PL32">
        <v>35.29</v>
      </c>
      <c r="PM32" s="4">
        <v>37118</v>
      </c>
      <c r="PN32" s="4">
        <v>26984</v>
      </c>
      <c r="PO32">
        <v>0.14949999999999999</v>
      </c>
      <c r="PP32">
        <v>0.4884</v>
      </c>
      <c r="PQ32">
        <v>0.14019999999999999</v>
      </c>
      <c r="PR32">
        <v>1.72E-2</v>
      </c>
      <c r="PS32">
        <v>5.6099999999999997E-2</v>
      </c>
      <c r="PT32">
        <v>1.61E-2</v>
      </c>
      <c r="PU32" s="3">
        <v>1</v>
      </c>
      <c r="PV32" s="3">
        <v>0.1149</v>
      </c>
      <c r="PW32" s="3">
        <v>0.8851</v>
      </c>
      <c r="PX32" s="3">
        <v>0.27300000000000002</v>
      </c>
      <c r="PY32" s="3">
        <v>0.72699999999999998</v>
      </c>
      <c r="PZ32" s="3">
        <v>8.5199999999999998E-2</v>
      </c>
      <c r="QA32" s="3">
        <v>9.4000000000000004E-3</v>
      </c>
      <c r="QB32" s="3">
        <v>0.1968</v>
      </c>
      <c r="QC32" s="3">
        <v>1.52E-2</v>
      </c>
      <c r="QD32" s="3">
        <v>0.1938</v>
      </c>
      <c r="QE32" s="3">
        <v>6.0499999999999998E-2</v>
      </c>
      <c r="QF32" s="3">
        <v>0.52410000000000001</v>
      </c>
      <c r="QG32" s="3">
        <v>0.72099999999999997</v>
      </c>
      <c r="QH32" s="3">
        <v>3.5200000000000002E-2</v>
      </c>
      <c r="QI32" s="3">
        <v>0.68899999999999995</v>
      </c>
      <c r="QJ32" s="3">
        <v>0.159</v>
      </c>
      <c r="QK32" s="3">
        <v>0.1169</v>
      </c>
      <c r="QL32" s="4">
        <v>10135</v>
      </c>
      <c r="QM32">
        <v>6.05</v>
      </c>
      <c r="QN32" s="1">
        <v>13046</v>
      </c>
      <c r="QO32" s="1">
        <v>13046</v>
      </c>
      <c r="QP32" s="1">
        <v>1499</v>
      </c>
      <c r="QQ32" s="3">
        <v>0.71060000000000001</v>
      </c>
      <c r="QR32" s="3">
        <v>0.11070000000000001</v>
      </c>
      <c r="QS32" s="3">
        <v>0.1787</v>
      </c>
      <c r="QT32" s="3">
        <v>0.1149</v>
      </c>
      <c r="QU32">
        <v>0.25</v>
      </c>
      <c r="QV32">
        <v>0.66</v>
      </c>
      <c r="QW32">
        <v>0.18</v>
      </c>
      <c r="QX32">
        <v>14</v>
      </c>
      <c r="QY32">
        <v>2.15</v>
      </c>
      <c r="QZ32">
        <v>9</v>
      </c>
      <c r="RA32">
        <v>1.52</v>
      </c>
      <c r="RB32">
        <v>0.13</v>
      </c>
      <c r="RC32">
        <v>0.12</v>
      </c>
    </row>
    <row r="33" spans="1:471" x14ac:dyDescent="0.25">
      <c r="A33" t="s">
        <v>774</v>
      </c>
      <c r="B33">
        <v>11671</v>
      </c>
      <c r="C33" t="s">
        <v>1754</v>
      </c>
      <c r="D33" t="s">
        <v>1754</v>
      </c>
      <c r="E33" t="s">
        <v>1754</v>
      </c>
      <c r="F33" t="s">
        <v>1755</v>
      </c>
      <c r="G33" t="s">
        <v>1755</v>
      </c>
      <c r="H33" t="s">
        <v>775</v>
      </c>
      <c r="I33" t="s">
        <v>342</v>
      </c>
      <c r="J33" t="s">
        <v>343</v>
      </c>
      <c r="K33" t="s">
        <v>344</v>
      </c>
      <c r="L33" t="s">
        <v>345</v>
      </c>
      <c r="M33" t="s">
        <v>457</v>
      </c>
      <c r="N33" t="s">
        <v>347</v>
      </c>
      <c r="O33" s="1">
        <v>366543</v>
      </c>
      <c r="P33" t="s">
        <v>348</v>
      </c>
      <c r="Q33">
        <v>974</v>
      </c>
      <c r="R33" s="1">
        <v>1693</v>
      </c>
      <c r="S33">
        <v>350</v>
      </c>
      <c r="T33">
        <v>36</v>
      </c>
      <c r="U33" s="1">
        <v>14954</v>
      </c>
      <c r="V33">
        <v>436</v>
      </c>
      <c r="W33" s="1">
        <v>115003</v>
      </c>
      <c r="X33" s="1">
        <v>11327</v>
      </c>
      <c r="Y33" s="1">
        <v>2288</v>
      </c>
      <c r="Z33" s="1">
        <v>7104</v>
      </c>
      <c r="AC33" t="s">
        <v>776</v>
      </c>
      <c r="AD33" t="s">
        <v>777</v>
      </c>
      <c r="AE33">
        <v>27101</v>
      </c>
      <c r="AF33">
        <v>4120</v>
      </c>
      <c r="AG33" t="s">
        <v>778</v>
      </c>
      <c r="AH33" t="s">
        <v>777</v>
      </c>
      <c r="AI33">
        <v>27101</v>
      </c>
      <c r="AJ33">
        <v>3</v>
      </c>
      <c r="AK33" t="s">
        <v>779</v>
      </c>
      <c r="AM33" t="s">
        <v>0</v>
      </c>
      <c r="AN33" t="s">
        <v>780</v>
      </c>
      <c r="AO33" t="s">
        <v>781</v>
      </c>
      <c r="AP33">
        <v>3367033016</v>
      </c>
      <c r="AQ33" t="s">
        <v>783</v>
      </c>
      <c r="AR33" t="s">
        <v>784</v>
      </c>
      <c r="AS33" t="s">
        <v>781</v>
      </c>
      <c r="AT33" t="s">
        <v>1</v>
      </c>
      <c r="AU33" t="s">
        <v>782</v>
      </c>
      <c r="AW33" t="s">
        <v>785</v>
      </c>
      <c r="AX33" t="s">
        <v>786</v>
      </c>
      <c r="AY33">
        <v>0</v>
      </c>
      <c r="AZ33">
        <v>0</v>
      </c>
      <c r="BA33">
        <v>0</v>
      </c>
      <c r="BB33" s="573">
        <v>42186</v>
      </c>
      <c r="BC33" s="573">
        <v>42551</v>
      </c>
      <c r="BD33">
        <v>1</v>
      </c>
      <c r="BE33">
        <v>11</v>
      </c>
      <c r="BF33">
        <v>2</v>
      </c>
      <c r="BG33">
        <v>4</v>
      </c>
      <c r="BH33">
        <v>18</v>
      </c>
      <c r="BJ33" s="1">
        <v>32164</v>
      </c>
      <c r="BK33">
        <v>46.5</v>
      </c>
      <c r="BL33">
        <v>1</v>
      </c>
      <c r="BM33">
        <v>47.5</v>
      </c>
      <c r="BN33">
        <v>56.3</v>
      </c>
      <c r="BO33">
        <v>103.8</v>
      </c>
      <c r="BP33" s="3">
        <v>0.44800000000000001</v>
      </c>
      <c r="BQ33" s="1">
        <v>17434</v>
      </c>
      <c r="BR33" s="4">
        <v>130607</v>
      </c>
      <c r="DW33" s="4">
        <v>0</v>
      </c>
      <c r="DX33" s="4">
        <v>7547345</v>
      </c>
      <c r="DY33" s="4">
        <v>7547345</v>
      </c>
      <c r="DZ33" s="4">
        <v>294157</v>
      </c>
      <c r="EA33" s="4">
        <v>0</v>
      </c>
      <c r="EB33" s="4">
        <v>294157</v>
      </c>
      <c r="EC33" s="4">
        <v>39822</v>
      </c>
      <c r="ED33" s="4">
        <v>0</v>
      </c>
      <c r="EE33" s="4">
        <v>39822</v>
      </c>
      <c r="EF33" s="4">
        <v>496955</v>
      </c>
      <c r="EG33" s="4">
        <v>8378279</v>
      </c>
      <c r="EH33" s="4">
        <v>3493647</v>
      </c>
      <c r="EI33" s="4">
        <v>1359025</v>
      </c>
      <c r="EJ33" s="4">
        <v>4852672</v>
      </c>
      <c r="EK33" s="4">
        <v>541594</v>
      </c>
      <c r="EL33" s="4">
        <v>327183</v>
      </c>
      <c r="EM33" s="4">
        <v>102454</v>
      </c>
      <c r="EN33" s="4">
        <v>971231</v>
      </c>
      <c r="EO33" s="4">
        <v>2554376</v>
      </c>
      <c r="EP33" s="4">
        <v>8378279</v>
      </c>
      <c r="EQ33" s="4">
        <v>0</v>
      </c>
      <c r="ER33" s="3">
        <v>0</v>
      </c>
      <c r="ES33" s="4">
        <v>0</v>
      </c>
      <c r="ET33" s="4">
        <v>0</v>
      </c>
      <c r="EU33" s="4">
        <v>0</v>
      </c>
      <c r="EV33" s="4">
        <v>0</v>
      </c>
      <c r="EW33" s="4">
        <v>0</v>
      </c>
      <c r="EX33" s="4">
        <v>0</v>
      </c>
      <c r="EY33" s="1">
        <v>99427</v>
      </c>
      <c r="EZ33" s="1">
        <v>842912</v>
      </c>
      <c r="FA33" s="1">
        <v>212930</v>
      </c>
      <c r="FB33" s="1">
        <v>17173</v>
      </c>
      <c r="FC33" s="1">
        <v>141243</v>
      </c>
      <c r="FD33" s="1">
        <v>167150</v>
      </c>
      <c r="FE33" s="1">
        <v>2760</v>
      </c>
      <c r="FF33" s="1">
        <v>76547</v>
      </c>
      <c r="FG33" s="1">
        <v>380080</v>
      </c>
      <c r="FH33" s="1">
        <v>19933</v>
      </c>
      <c r="FI33" s="1">
        <v>217790</v>
      </c>
      <c r="FJ33" s="1">
        <v>617803</v>
      </c>
      <c r="FK33" s="1">
        <v>19576</v>
      </c>
      <c r="FL33" s="1">
        <v>1528</v>
      </c>
      <c r="FN33" s="1">
        <v>617803</v>
      </c>
      <c r="FO33" s="1">
        <v>33182</v>
      </c>
      <c r="FP33" s="1">
        <v>30103</v>
      </c>
      <c r="FQ33" s="1">
        <v>3886</v>
      </c>
      <c r="FR33">
        <v>28</v>
      </c>
      <c r="FS33">
        <v>74</v>
      </c>
      <c r="FT33">
        <v>102</v>
      </c>
      <c r="FU33" s="1">
        <v>26725</v>
      </c>
      <c r="FV33" s="1">
        <v>2022</v>
      </c>
      <c r="FW33">
        <v>0</v>
      </c>
      <c r="GG33" s="1">
        <v>34298</v>
      </c>
      <c r="GH33" s="1">
        <v>13913</v>
      </c>
      <c r="GI33">
        <v>370</v>
      </c>
      <c r="GJ33">
        <v>87</v>
      </c>
      <c r="GK33" s="1">
        <v>38303</v>
      </c>
      <c r="GL33" s="1">
        <v>19494</v>
      </c>
      <c r="GM33">
        <v>343</v>
      </c>
      <c r="GN33" s="1">
        <v>1177</v>
      </c>
      <c r="GO33" s="1">
        <v>99326</v>
      </c>
      <c r="GP33" s="1">
        <v>35429</v>
      </c>
      <c r="GQ33">
        <v>713</v>
      </c>
      <c r="GR33" s="1">
        <v>1264</v>
      </c>
      <c r="GS33">
        <v>128</v>
      </c>
      <c r="GU33" s="1">
        <v>415696</v>
      </c>
      <c r="GV33" s="1">
        <v>37437</v>
      </c>
      <c r="GW33" s="1">
        <v>338441</v>
      </c>
      <c r="GX33" s="1">
        <v>94089</v>
      </c>
      <c r="GY33" s="1">
        <v>2288</v>
      </c>
      <c r="GZ33" s="1">
        <v>76026</v>
      </c>
      <c r="HA33" s="1">
        <v>509785</v>
      </c>
      <c r="HB33" s="1">
        <v>39725</v>
      </c>
      <c r="HC33" s="1">
        <v>414467</v>
      </c>
      <c r="HD33" s="1">
        <v>963977</v>
      </c>
      <c r="HE33" s="1">
        <v>18149</v>
      </c>
      <c r="HF33" s="1">
        <v>1082936</v>
      </c>
      <c r="HG33" s="1">
        <v>81883</v>
      </c>
      <c r="HH33" s="1">
        <v>195274</v>
      </c>
      <c r="HI33" s="1">
        <v>100810</v>
      </c>
      <c r="HJ33">
        <v>28</v>
      </c>
      <c r="HK33" s="1">
        <v>277185</v>
      </c>
      <c r="HL33" s="1">
        <v>1360121</v>
      </c>
      <c r="HM33">
        <v>409</v>
      </c>
      <c r="HN33" s="1">
        <v>112664</v>
      </c>
      <c r="HO33" s="1">
        <v>113073</v>
      </c>
      <c r="HP33" s="1">
        <v>1117</v>
      </c>
      <c r="HQ33" s="1">
        <v>57765</v>
      </c>
      <c r="HR33" s="1">
        <v>58882</v>
      </c>
      <c r="HS33">
        <v>0</v>
      </c>
      <c r="HT33">
        <v>731</v>
      </c>
      <c r="HU33">
        <v>731</v>
      </c>
      <c r="HV33" s="1">
        <v>2070</v>
      </c>
      <c r="HW33" s="1">
        <v>174756</v>
      </c>
      <c r="HX33" s="1">
        <v>456325</v>
      </c>
      <c r="HZ33" s="1">
        <v>456325</v>
      </c>
      <c r="IA33" s="1">
        <v>631081</v>
      </c>
      <c r="IB33" s="1">
        <v>140765</v>
      </c>
      <c r="IC33" s="1">
        <v>336770</v>
      </c>
      <c r="ID33" s="1">
        <v>1534877</v>
      </c>
      <c r="IE33" s="1">
        <v>1534877</v>
      </c>
      <c r="IF33" s="1">
        <v>1991202</v>
      </c>
      <c r="IG33" s="1">
        <v>453576</v>
      </c>
      <c r="IH33">
        <v>901</v>
      </c>
      <c r="IL33" s="3">
        <v>3.6600000000000001E-2</v>
      </c>
      <c r="IM33" s="3">
        <v>1.8E-3</v>
      </c>
      <c r="IN33" s="3">
        <v>0.16220000000000001</v>
      </c>
      <c r="IO33" s="3">
        <v>0</v>
      </c>
      <c r="IP33" s="3">
        <v>0.1178</v>
      </c>
      <c r="IQ33" s="3">
        <v>1E-4</v>
      </c>
      <c r="IR33" s="3">
        <v>0.7329</v>
      </c>
      <c r="IS33" s="3">
        <v>8.14E-2</v>
      </c>
      <c r="IT33" s="3">
        <v>0.29549999999999998</v>
      </c>
      <c r="IU33" s="1">
        <v>146991</v>
      </c>
      <c r="IV33" s="1">
        <v>38538</v>
      </c>
      <c r="IW33" s="1">
        <v>185529</v>
      </c>
      <c r="IX33" s="3">
        <v>0.50619999999999998</v>
      </c>
      <c r="IY33" s="1">
        <v>1051020</v>
      </c>
      <c r="JA33" s="1">
        <v>2108</v>
      </c>
      <c r="JB33">
        <v>321</v>
      </c>
      <c r="JC33" s="1">
        <v>2277</v>
      </c>
      <c r="JD33">
        <v>408</v>
      </c>
      <c r="JE33">
        <v>29</v>
      </c>
      <c r="JF33">
        <v>29</v>
      </c>
      <c r="JG33" s="1">
        <v>2516</v>
      </c>
      <c r="JH33">
        <v>350</v>
      </c>
      <c r="JI33" s="1">
        <v>2306</v>
      </c>
      <c r="JJ33" s="1">
        <v>5172</v>
      </c>
      <c r="JK33" s="1">
        <v>4706</v>
      </c>
      <c r="JL33">
        <v>466</v>
      </c>
      <c r="JM33" s="1">
        <v>27317</v>
      </c>
      <c r="JN33" s="1">
        <v>1870</v>
      </c>
      <c r="JO33" s="1">
        <v>50531</v>
      </c>
      <c r="JP33" s="1">
        <v>5763</v>
      </c>
      <c r="JQ33">
        <v>645</v>
      </c>
      <c r="JR33" s="1">
        <v>19797</v>
      </c>
      <c r="JS33" s="1">
        <v>33080</v>
      </c>
      <c r="JT33" s="1">
        <v>2515</v>
      </c>
      <c r="JU33" s="1">
        <v>70328</v>
      </c>
      <c r="JV33" s="1">
        <v>105923</v>
      </c>
      <c r="JW33" s="1">
        <v>79718</v>
      </c>
      <c r="JX33" s="1">
        <v>26205</v>
      </c>
      <c r="JY33">
        <v>20.48</v>
      </c>
      <c r="JZ33">
        <v>13.15</v>
      </c>
      <c r="KA33">
        <v>30.5</v>
      </c>
      <c r="KB33">
        <v>0.31</v>
      </c>
      <c r="KC33">
        <v>0.66</v>
      </c>
      <c r="KD33">
        <v>461</v>
      </c>
      <c r="KE33" s="1">
        <v>1958</v>
      </c>
      <c r="KF33">
        <v>683</v>
      </c>
      <c r="KG33" s="1">
        <v>1646</v>
      </c>
      <c r="KN33" s="1">
        <v>317518</v>
      </c>
      <c r="KO33" s="1">
        <v>89117</v>
      </c>
      <c r="KP33" s="1">
        <v>17765</v>
      </c>
      <c r="KR33" s="1">
        <v>3794</v>
      </c>
      <c r="KS33" s="1">
        <v>47185</v>
      </c>
      <c r="KT33">
        <v>418</v>
      </c>
      <c r="KU33">
        <v>855</v>
      </c>
      <c r="KV33">
        <v>113</v>
      </c>
      <c r="KW33">
        <v>140</v>
      </c>
      <c r="KX33" s="1">
        <v>282920</v>
      </c>
      <c r="KZ33" s="1">
        <v>1071084</v>
      </c>
      <c r="LD33" t="s">
        <v>779</v>
      </c>
      <c r="LE33" t="s">
        <v>379</v>
      </c>
      <c r="LF33" t="s">
        <v>1911</v>
      </c>
      <c r="LG33" t="s">
        <v>777</v>
      </c>
      <c r="LH33">
        <v>27101</v>
      </c>
      <c r="LI33">
        <v>4120</v>
      </c>
      <c r="LJ33" t="s">
        <v>778</v>
      </c>
      <c r="LK33" t="s">
        <v>777</v>
      </c>
      <c r="LL33">
        <v>27101</v>
      </c>
      <c r="LM33">
        <v>2705</v>
      </c>
      <c r="LN33" t="s">
        <v>780</v>
      </c>
      <c r="LO33">
        <v>3367033011</v>
      </c>
      <c r="LP33">
        <v>3367272549</v>
      </c>
      <c r="LQ33" s="1">
        <v>181450</v>
      </c>
      <c r="LR33">
        <v>103.8</v>
      </c>
      <c r="LT33" s="1">
        <v>32164</v>
      </c>
      <c r="LU33">
        <v>664</v>
      </c>
      <c r="LX33">
        <v>2</v>
      </c>
      <c r="LY33" t="s">
        <v>787</v>
      </c>
      <c r="LZ33">
        <v>0</v>
      </c>
      <c r="MA33" t="s">
        <v>363</v>
      </c>
      <c r="ME33" s="574">
        <v>5.46</v>
      </c>
      <c r="MF33" s="574">
        <v>3.16</v>
      </c>
      <c r="MG33" s="574">
        <v>0.63</v>
      </c>
      <c r="MH33" s="574">
        <v>45.16</v>
      </c>
      <c r="MI33" s="574">
        <v>26.16</v>
      </c>
      <c r="MJ33" s="574">
        <v>5.23</v>
      </c>
      <c r="MK33" s="574">
        <v>7.97</v>
      </c>
      <c r="ML33" s="574">
        <v>4.62</v>
      </c>
      <c r="MM33" s="574">
        <v>0.92</v>
      </c>
      <c r="MN33" s="574">
        <v>26.39</v>
      </c>
      <c r="MO33" s="574">
        <v>15.28</v>
      </c>
      <c r="MP33" s="574">
        <v>3.06</v>
      </c>
      <c r="MQ33" s="574">
        <v>79.099999999999994</v>
      </c>
      <c r="MR33" s="574">
        <v>45.81</v>
      </c>
      <c r="MS33" s="574">
        <v>9.17</v>
      </c>
      <c r="MT33" s="574">
        <v>18.47</v>
      </c>
      <c r="MU33" s="574">
        <v>10.7</v>
      </c>
      <c r="MV33" s="574">
        <v>2.14</v>
      </c>
      <c r="MW33" s="1">
        <v>3059</v>
      </c>
      <c r="MX33" s="1">
        <v>6828</v>
      </c>
      <c r="MY33" s="1">
        <v>6685</v>
      </c>
      <c r="MZ33" s="1">
        <v>10125</v>
      </c>
      <c r="NA33" s="1">
        <v>22603</v>
      </c>
      <c r="NB33" s="1">
        <v>22127</v>
      </c>
      <c r="NC33" s="1">
        <v>32313</v>
      </c>
      <c r="ND33" s="1">
        <v>33008</v>
      </c>
      <c r="NE33">
        <v>1.82</v>
      </c>
      <c r="NF33" s="1">
        <v>14787</v>
      </c>
      <c r="NG33">
        <v>7.11</v>
      </c>
      <c r="NH33">
        <v>4.1870000000000003</v>
      </c>
      <c r="NI33">
        <v>2.87</v>
      </c>
      <c r="NJ33">
        <v>2.25</v>
      </c>
      <c r="NK33">
        <v>4.6100000000000003</v>
      </c>
      <c r="NL33">
        <v>0.86629999999999996</v>
      </c>
      <c r="NM33">
        <v>1.2374000000000001</v>
      </c>
      <c r="NN33">
        <v>0.51</v>
      </c>
      <c r="NO33">
        <v>0.28999999999999998</v>
      </c>
      <c r="NP33">
        <v>0</v>
      </c>
      <c r="NQ33">
        <v>0</v>
      </c>
      <c r="NR33">
        <v>0.77</v>
      </c>
      <c r="NS33">
        <v>0.09</v>
      </c>
      <c r="NT33">
        <v>0.19</v>
      </c>
      <c r="NU33" s="574">
        <v>13.24</v>
      </c>
      <c r="NV33">
        <v>2.2999999999999998</v>
      </c>
      <c r="NW33">
        <v>0</v>
      </c>
      <c r="NX33">
        <v>4.0000000000000001E-3</v>
      </c>
      <c r="NY33">
        <v>0.27100000000000002</v>
      </c>
      <c r="NZ33">
        <v>0</v>
      </c>
      <c r="OA33">
        <v>0.25059999999999999</v>
      </c>
      <c r="OB33">
        <v>0.5595</v>
      </c>
      <c r="OC33">
        <v>8.2360000000000007</v>
      </c>
      <c r="OD33">
        <v>1.6850000000000001</v>
      </c>
      <c r="OE33">
        <v>0.15359999999999999</v>
      </c>
      <c r="OF33">
        <v>535.36599999999999</v>
      </c>
      <c r="OG33">
        <v>0.55000000000000004</v>
      </c>
      <c r="OH33" s="574">
        <v>6.97</v>
      </c>
      <c r="OI33">
        <v>370</v>
      </c>
      <c r="OJ33">
        <v>166</v>
      </c>
      <c r="OK33" s="574">
        <v>22.86</v>
      </c>
      <c r="OL33" s="574">
        <v>2.65</v>
      </c>
      <c r="OM33" s="574">
        <v>1.48</v>
      </c>
      <c r="ON33">
        <v>0.28320000000000001</v>
      </c>
      <c r="OO33">
        <v>0.12690000000000001</v>
      </c>
      <c r="OP33">
        <v>0.30349999999999999</v>
      </c>
      <c r="OQ33" s="574">
        <v>0.8</v>
      </c>
      <c r="OR33" s="574">
        <v>20.59</v>
      </c>
      <c r="OS33" s="574">
        <v>0.11</v>
      </c>
      <c r="OT33" s="574">
        <v>1.36</v>
      </c>
      <c r="OU33" s="574">
        <v>22.86</v>
      </c>
      <c r="OV33">
        <v>8</v>
      </c>
      <c r="OW33">
        <v>16</v>
      </c>
      <c r="OX33">
        <v>1.46</v>
      </c>
      <c r="OY33" s="1">
        <v>29517</v>
      </c>
      <c r="OZ33">
        <v>32.68</v>
      </c>
      <c r="PA33" s="1">
        <v>20212</v>
      </c>
      <c r="PB33">
        <v>9.8699999999999992</v>
      </c>
      <c r="PC33">
        <v>47.72</v>
      </c>
      <c r="PD33">
        <v>0.3</v>
      </c>
      <c r="PE33" s="1">
        <v>6106</v>
      </c>
      <c r="PF33">
        <v>0.55000000000000004</v>
      </c>
      <c r="PG33" s="574">
        <v>0.92</v>
      </c>
      <c r="PH33">
        <v>0.8</v>
      </c>
      <c r="PI33">
        <v>8.77</v>
      </c>
      <c r="PJ33">
        <v>8.27</v>
      </c>
      <c r="PK33" s="574">
        <v>7.97</v>
      </c>
      <c r="PL33">
        <v>34.36</v>
      </c>
      <c r="PM33" s="4">
        <v>46750</v>
      </c>
      <c r="PN33" s="4">
        <v>33657</v>
      </c>
      <c r="PO33">
        <v>6.7599999999999993E-2</v>
      </c>
      <c r="PP33">
        <v>0.32690000000000002</v>
      </c>
      <c r="PQ33">
        <v>9.8799999999999999E-2</v>
      </c>
      <c r="PR33">
        <v>3.0300000000000001E-2</v>
      </c>
      <c r="PS33">
        <v>0.14649999999999999</v>
      </c>
      <c r="PT33">
        <v>4.4200000000000003E-2</v>
      </c>
      <c r="PU33" s="3">
        <v>0.97889999999999999</v>
      </c>
      <c r="PV33" s="3">
        <v>0.45760000000000001</v>
      </c>
      <c r="PW33" s="3">
        <v>0.54239999999999999</v>
      </c>
      <c r="PX33" s="3">
        <v>0.28010000000000002</v>
      </c>
      <c r="PY33" s="3">
        <v>0.71989999999999998</v>
      </c>
      <c r="PZ33" s="3">
        <v>0.1159</v>
      </c>
      <c r="QA33" s="3">
        <v>3.9100000000000003E-2</v>
      </c>
      <c r="QB33" s="3">
        <v>0.16220000000000001</v>
      </c>
      <c r="QC33" s="3">
        <v>1.2200000000000001E-2</v>
      </c>
      <c r="QD33" s="3">
        <v>0.3049</v>
      </c>
      <c r="QE33" s="3">
        <v>6.4600000000000005E-2</v>
      </c>
      <c r="QF33" s="3">
        <v>0.41699999999999998</v>
      </c>
      <c r="QG33" s="3">
        <v>0.57920000000000005</v>
      </c>
      <c r="QH33" s="3">
        <v>4.7999999999999996E-3</v>
      </c>
      <c r="QI33" s="3">
        <v>0.90080000000000005</v>
      </c>
      <c r="QJ33" s="3">
        <v>5.9299999999999999E-2</v>
      </c>
      <c r="QK33" s="3">
        <v>3.5099999999999999E-2</v>
      </c>
      <c r="QL33" s="4">
        <v>13093</v>
      </c>
      <c r="QM33">
        <v>5.66</v>
      </c>
      <c r="QN33" s="1">
        <v>7717</v>
      </c>
      <c r="QO33" s="1">
        <v>7883</v>
      </c>
      <c r="QP33" s="1">
        <v>3531</v>
      </c>
      <c r="QQ33" s="3">
        <v>0.55759999999999998</v>
      </c>
      <c r="QR33" s="3">
        <v>0.33689999999999998</v>
      </c>
      <c r="QS33" s="3">
        <v>0.1055</v>
      </c>
      <c r="QT33" s="3">
        <v>0.44800000000000001</v>
      </c>
      <c r="QU33">
        <v>0.44</v>
      </c>
      <c r="QV33">
        <v>1.1299999999999999</v>
      </c>
      <c r="QW33">
        <v>0.32</v>
      </c>
      <c r="QX33">
        <v>5</v>
      </c>
      <c r="QY33">
        <v>2.83</v>
      </c>
      <c r="QZ33">
        <v>15</v>
      </c>
      <c r="RA33">
        <v>1.58</v>
      </c>
      <c r="RB33">
        <v>0.18</v>
      </c>
      <c r="RC33">
        <v>0.18</v>
      </c>
    </row>
    <row r="34" spans="1:471" x14ac:dyDescent="0.25">
      <c r="A34" t="s">
        <v>788</v>
      </c>
      <c r="B34">
        <v>11672</v>
      </c>
      <c r="C34" t="s">
        <v>1754</v>
      </c>
      <c r="D34" t="s">
        <v>1754</v>
      </c>
      <c r="E34" t="s">
        <v>1754</v>
      </c>
      <c r="F34" t="s">
        <v>1755</v>
      </c>
      <c r="G34" t="s">
        <v>1755</v>
      </c>
      <c r="H34" t="s">
        <v>789</v>
      </c>
      <c r="I34" t="s">
        <v>342</v>
      </c>
      <c r="J34" t="s">
        <v>343</v>
      </c>
      <c r="K34" t="s">
        <v>344</v>
      </c>
      <c r="L34" t="s">
        <v>345</v>
      </c>
      <c r="M34" t="s">
        <v>346</v>
      </c>
      <c r="N34" t="s">
        <v>347</v>
      </c>
      <c r="O34" s="1">
        <v>64206</v>
      </c>
      <c r="P34" t="s">
        <v>472</v>
      </c>
      <c r="S34">
        <v>76</v>
      </c>
      <c r="U34" s="1">
        <v>1058</v>
      </c>
      <c r="W34" s="1">
        <v>16777</v>
      </c>
      <c r="X34" s="1">
        <v>2317</v>
      </c>
      <c r="AC34" t="s">
        <v>790</v>
      </c>
      <c r="AD34" t="s">
        <v>791</v>
      </c>
      <c r="AE34">
        <v>27549</v>
      </c>
      <c r="AF34">
        <v>1217</v>
      </c>
      <c r="AG34" t="s">
        <v>790</v>
      </c>
      <c r="AH34" t="s">
        <v>791</v>
      </c>
      <c r="AI34">
        <v>27549</v>
      </c>
      <c r="AJ34">
        <v>2</v>
      </c>
      <c r="AK34" t="s">
        <v>792</v>
      </c>
      <c r="AM34" t="s">
        <v>0</v>
      </c>
      <c r="AN34" t="s">
        <v>793</v>
      </c>
      <c r="AO34" t="s">
        <v>794</v>
      </c>
      <c r="AP34">
        <v>9194962111</v>
      </c>
      <c r="AQ34" t="s">
        <v>796</v>
      </c>
      <c r="AR34" t="s">
        <v>797</v>
      </c>
      <c r="AS34" t="s">
        <v>798</v>
      </c>
      <c r="AT34" t="s">
        <v>1912</v>
      </c>
      <c r="AU34" t="s">
        <v>795</v>
      </c>
      <c r="AV34" t="s">
        <v>796</v>
      </c>
      <c r="AW34" t="s">
        <v>799</v>
      </c>
      <c r="AX34" t="s">
        <v>800</v>
      </c>
      <c r="AY34">
        <v>0</v>
      </c>
      <c r="AZ34">
        <v>0</v>
      </c>
      <c r="BA34">
        <v>0</v>
      </c>
      <c r="BB34" s="573">
        <v>42186</v>
      </c>
      <c r="BC34" s="573">
        <v>42551</v>
      </c>
      <c r="BD34">
        <v>1</v>
      </c>
      <c r="BE34">
        <v>3</v>
      </c>
      <c r="BF34">
        <v>1</v>
      </c>
      <c r="BG34">
        <v>0</v>
      </c>
      <c r="BH34">
        <v>5</v>
      </c>
      <c r="BJ34" s="1">
        <v>9450</v>
      </c>
      <c r="BK34">
        <v>3</v>
      </c>
      <c r="BL34">
        <v>0</v>
      </c>
      <c r="BM34">
        <v>3</v>
      </c>
      <c r="BN34">
        <v>9.57</v>
      </c>
      <c r="BO34">
        <v>12.57</v>
      </c>
      <c r="BP34" s="3">
        <v>0.2387</v>
      </c>
      <c r="BR34" s="4">
        <v>68194</v>
      </c>
      <c r="DW34" s="4">
        <v>3000</v>
      </c>
      <c r="DX34" s="4">
        <v>745640</v>
      </c>
      <c r="DY34" s="4">
        <v>748640</v>
      </c>
      <c r="DZ34" s="4">
        <v>114987</v>
      </c>
      <c r="EA34" s="4">
        <v>0</v>
      </c>
      <c r="EB34" s="4">
        <v>114987</v>
      </c>
      <c r="EC34" s="4">
        <v>750</v>
      </c>
      <c r="ED34" s="4">
        <v>0</v>
      </c>
      <c r="EE34" s="4">
        <v>750</v>
      </c>
      <c r="EF34" s="4">
        <v>0</v>
      </c>
      <c r="EG34" s="4">
        <v>864377</v>
      </c>
      <c r="EH34" s="4">
        <v>510866</v>
      </c>
      <c r="EI34" s="4">
        <v>166288</v>
      </c>
      <c r="EJ34" s="4">
        <v>677154</v>
      </c>
      <c r="EK34" s="4">
        <v>62867</v>
      </c>
      <c r="EL34" s="4">
        <v>6000</v>
      </c>
      <c r="EM34" s="4">
        <v>6005</v>
      </c>
      <c r="EN34" s="4">
        <v>74872</v>
      </c>
      <c r="EO34" s="4">
        <v>132350</v>
      </c>
      <c r="EP34" s="4">
        <v>884376</v>
      </c>
      <c r="EQ34" s="4">
        <v>-19999</v>
      </c>
      <c r="ER34" s="3">
        <v>-2.3099999999999999E-2</v>
      </c>
      <c r="ES34" s="4">
        <v>0</v>
      </c>
      <c r="ET34" s="4">
        <v>0</v>
      </c>
      <c r="EU34" s="4">
        <v>0</v>
      </c>
      <c r="EV34" s="4">
        <v>0</v>
      </c>
      <c r="EW34" s="4">
        <v>0</v>
      </c>
      <c r="EX34" s="4">
        <v>0</v>
      </c>
      <c r="EY34" s="1">
        <v>11593</v>
      </c>
      <c r="EZ34" s="1">
        <v>161089</v>
      </c>
      <c r="FA34" s="1">
        <v>36721</v>
      </c>
      <c r="FB34" s="1">
        <v>2827</v>
      </c>
      <c r="FC34" s="1">
        <v>24783</v>
      </c>
      <c r="FD34" s="1">
        <v>22430</v>
      </c>
      <c r="FE34">
        <v>585</v>
      </c>
      <c r="FF34" s="1">
        <v>10862</v>
      </c>
      <c r="FG34" s="1">
        <v>59151</v>
      </c>
      <c r="FH34" s="1">
        <v>3412</v>
      </c>
      <c r="FI34" s="1">
        <v>35645</v>
      </c>
      <c r="FJ34" s="1">
        <v>98208</v>
      </c>
      <c r="FK34">
        <v>331</v>
      </c>
      <c r="FL34">
        <v>107</v>
      </c>
      <c r="FN34" s="1">
        <v>98208</v>
      </c>
      <c r="FO34" s="1">
        <v>4862</v>
      </c>
      <c r="FP34" s="1">
        <v>3526</v>
      </c>
      <c r="FQ34">
        <v>45</v>
      </c>
      <c r="FR34">
        <v>3</v>
      </c>
      <c r="FS34">
        <v>74</v>
      </c>
      <c r="FT34">
        <v>77</v>
      </c>
      <c r="FU34" s="1">
        <v>26725</v>
      </c>
      <c r="FV34" s="1">
        <v>2022</v>
      </c>
      <c r="FW34">
        <v>0</v>
      </c>
      <c r="GC34" s="1">
        <v>23798</v>
      </c>
      <c r="GD34" s="1">
        <v>1183</v>
      </c>
      <c r="GE34">
        <v>205</v>
      </c>
      <c r="GK34">
        <v>0</v>
      </c>
      <c r="GL34">
        <v>0</v>
      </c>
      <c r="GM34">
        <v>0</v>
      </c>
      <c r="GN34">
        <v>0</v>
      </c>
      <c r="GO34" s="1">
        <v>50523</v>
      </c>
      <c r="GP34" s="1">
        <v>3205</v>
      </c>
      <c r="GQ34">
        <v>205</v>
      </c>
      <c r="GR34">
        <v>0</v>
      </c>
      <c r="GS34">
        <v>21</v>
      </c>
      <c r="GU34" s="1">
        <v>40296</v>
      </c>
      <c r="GV34" s="1">
        <v>4400</v>
      </c>
      <c r="GW34" s="1">
        <v>40960</v>
      </c>
      <c r="GX34" s="1">
        <v>8178</v>
      </c>
      <c r="GY34">
        <v>718</v>
      </c>
      <c r="GZ34" s="1">
        <v>9904</v>
      </c>
      <c r="HA34" s="1">
        <v>48474</v>
      </c>
      <c r="HB34" s="1">
        <v>5118</v>
      </c>
      <c r="HC34" s="1">
        <v>50864</v>
      </c>
      <c r="HD34" s="1">
        <v>104456</v>
      </c>
      <c r="HE34" s="1">
        <v>1821</v>
      </c>
      <c r="HF34" s="1">
        <v>106780</v>
      </c>
      <c r="HG34" s="1">
        <v>14701</v>
      </c>
      <c r="HH34" s="1">
        <v>15542</v>
      </c>
      <c r="HI34">
        <v>503</v>
      </c>
      <c r="HJ34" s="1">
        <v>27724</v>
      </c>
      <c r="HK34" s="1">
        <v>57967</v>
      </c>
      <c r="HL34" s="1">
        <v>164747</v>
      </c>
      <c r="HM34">
        <v>50</v>
      </c>
      <c r="HN34" s="1">
        <v>6412</v>
      </c>
      <c r="HO34" s="1">
        <v>6462</v>
      </c>
      <c r="HP34">
        <v>69</v>
      </c>
      <c r="HQ34">
        <v>979</v>
      </c>
      <c r="HR34" s="1">
        <v>1048</v>
      </c>
      <c r="HS34">
        <v>0</v>
      </c>
      <c r="HT34">
        <v>22</v>
      </c>
      <c r="HU34">
        <v>22</v>
      </c>
      <c r="HV34">
        <v>0</v>
      </c>
      <c r="HW34" s="1">
        <v>7532</v>
      </c>
      <c r="HX34" s="1">
        <v>7324</v>
      </c>
      <c r="HY34">
        <v>0</v>
      </c>
      <c r="HZ34" s="1">
        <v>7324</v>
      </c>
      <c r="IA34" s="1">
        <v>14856</v>
      </c>
      <c r="IB34" s="1">
        <v>15749</v>
      </c>
      <c r="IC34" s="1">
        <v>31313</v>
      </c>
      <c r="ID34" s="1">
        <v>172279</v>
      </c>
      <c r="IE34" s="1">
        <v>172279</v>
      </c>
      <c r="IF34" s="1">
        <v>179603</v>
      </c>
      <c r="IG34" s="1">
        <v>53655</v>
      </c>
      <c r="IH34">
        <v>0</v>
      </c>
      <c r="IL34" s="3">
        <v>2.3199999999999998E-2</v>
      </c>
      <c r="IM34" s="3">
        <v>6.9999999999999999E-4</v>
      </c>
      <c r="IN34" s="3">
        <v>0.33479999999999999</v>
      </c>
      <c r="IO34" s="3">
        <v>0</v>
      </c>
      <c r="IP34" s="3">
        <v>0.31359999999999999</v>
      </c>
      <c r="IQ34" s="3">
        <v>5.0000000000000001E-4</v>
      </c>
      <c r="IR34" s="3">
        <v>0.60970000000000002</v>
      </c>
      <c r="IS34" s="3">
        <v>5.0099999999999999E-2</v>
      </c>
      <c r="IT34" s="3">
        <v>0.31140000000000001</v>
      </c>
      <c r="IU34" s="1">
        <v>25258</v>
      </c>
      <c r="IV34" s="1">
        <v>8927</v>
      </c>
      <c r="IW34" s="1">
        <v>34185</v>
      </c>
      <c r="IX34" s="3">
        <v>0.53239999999999998</v>
      </c>
      <c r="IY34" s="1">
        <v>213050</v>
      </c>
      <c r="JA34">
        <v>2</v>
      </c>
      <c r="JB34">
        <v>0</v>
      </c>
      <c r="JC34">
        <v>262</v>
      </c>
      <c r="JD34">
        <v>0</v>
      </c>
      <c r="JE34">
        <v>0</v>
      </c>
      <c r="JF34">
        <v>6</v>
      </c>
      <c r="JG34">
        <v>2</v>
      </c>
      <c r="JH34">
        <v>0</v>
      </c>
      <c r="JI34">
        <v>268</v>
      </c>
      <c r="JJ34">
        <v>270</v>
      </c>
      <c r="JK34">
        <v>264</v>
      </c>
      <c r="JL34">
        <v>6</v>
      </c>
      <c r="JM34">
        <v>16</v>
      </c>
      <c r="JN34">
        <v>0</v>
      </c>
      <c r="JO34" s="1">
        <v>3293</v>
      </c>
      <c r="JP34">
        <v>0</v>
      </c>
      <c r="JQ34">
        <v>0</v>
      </c>
      <c r="JR34">
        <v>325</v>
      </c>
      <c r="JS34">
        <v>16</v>
      </c>
      <c r="JT34">
        <v>0</v>
      </c>
      <c r="JU34" s="1">
        <v>3618</v>
      </c>
      <c r="JV34" s="1">
        <v>3634</v>
      </c>
      <c r="JW34" s="1">
        <v>3309</v>
      </c>
      <c r="JX34">
        <v>325</v>
      </c>
      <c r="JY34">
        <v>13.46</v>
      </c>
      <c r="JZ34">
        <v>8</v>
      </c>
      <c r="KA34">
        <v>13.5</v>
      </c>
      <c r="KB34">
        <v>0</v>
      </c>
      <c r="KC34">
        <v>1</v>
      </c>
      <c r="KD34">
        <v>0</v>
      </c>
      <c r="KE34">
        <v>0</v>
      </c>
      <c r="KF34">
        <v>2</v>
      </c>
      <c r="KG34">
        <v>16</v>
      </c>
      <c r="KN34" s="1">
        <v>12240</v>
      </c>
      <c r="KO34" s="1">
        <v>5600</v>
      </c>
      <c r="KP34" s="1">
        <v>2150</v>
      </c>
      <c r="KR34">
        <v>610</v>
      </c>
      <c r="KS34" s="1">
        <v>6363</v>
      </c>
      <c r="KT34" s="1">
        <v>10484</v>
      </c>
      <c r="KU34" s="1">
        <v>10338</v>
      </c>
      <c r="KV34">
        <v>19</v>
      </c>
      <c r="KW34">
        <v>35</v>
      </c>
      <c r="KX34" s="1">
        <v>27283</v>
      </c>
      <c r="KZ34" s="1">
        <v>18135</v>
      </c>
      <c r="LA34" s="1">
        <v>3137</v>
      </c>
      <c r="LD34" t="s">
        <v>792</v>
      </c>
      <c r="LE34" t="s">
        <v>379</v>
      </c>
      <c r="LF34" t="s">
        <v>790</v>
      </c>
      <c r="LG34" t="s">
        <v>791</v>
      </c>
      <c r="LH34">
        <v>27549</v>
      </c>
      <c r="LI34">
        <v>2199</v>
      </c>
      <c r="LJ34" t="s">
        <v>790</v>
      </c>
      <c r="LK34" t="s">
        <v>791</v>
      </c>
      <c r="LL34">
        <v>27549</v>
      </c>
      <c r="LM34">
        <v>2199</v>
      </c>
      <c r="LN34" t="s">
        <v>793</v>
      </c>
      <c r="LO34">
        <v>9194962111</v>
      </c>
      <c r="LP34">
        <v>9194961339</v>
      </c>
      <c r="LQ34" s="1">
        <v>16496</v>
      </c>
      <c r="LR34">
        <v>12.57</v>
      </c>
      <c r="LT34" s="1">
        <v>9450</v>
      </c>
      <c r="LU34">
        <v>250</v>
      </c>
      <c r="LX34">
        <v>2</v>
      </c>
      <c r="LY34" t="s">
        <v>801</v>
      </c>
      <c r="LZ34">
        <v>0</v>
      </c>
      <c r="MA34" t="s">
        <v>363</v>
      </c>
      <c r="MB34">
        <v>5</v>
      </c>
      <c r="MC34">
        <v>35</v>
      </c>
      <c r="ME34" s="574">
        <v>5.13</v>
      </c>
      <c r="MF34" s="574">
        <v>3.93</v>
      </c>
      <c r="MG34" s="574">
        <v>0.43</v>
      </c>
      <c r="MH34" s="574">
        <v>25.87</v>
      </c>
      <c r="MI34" s="574">
        <v>19.809999999999999</v>
      </c>
      <c r="MJ34" s="574">
        <v>2.19</v>
      </c>
      <c r="MK34" s="574">
        <v>4.1500000000000004</v>
      </c>
      <c r="ML34" s="574">
        <v>3.18</v>
      </c>
      <c r="MM34" s="574">
        <v>0.35</v>
      </c>
      <c r="MN34" s="574">
        <v>72.25</v>
      </c>
      <c r="MO34" s="574">
        <v>55.32</v>
      </c>
      <c r="MP34" s="574">
        <v>6.12</v>
      </c>
      <c r="MQ34" s="574">
        <v>243.36</v>
      </c>
      <c r="MR34" s="574">
        <v>186.34</v>
      </c>
      <c r="MS34" s="574">
        <v>20.6</v>
      </c>
      <c r="MT34" s="574">
        <v>16.48</v>
      </c>
      <c r="MU34" s="574">
        <v>12.62</v>
      </c>
      <c r="MV34" s="574">
        <v>1.4</v>
      </c>
      <c r="MW34">
        <v>974</v>
      </c>
      <c r="MX34" s="1">
        <v>4080</v>
      </c>
      <c r="MY34" s="1">
        <v>4080</v>
      </c>
      <c r="MZ34" s="1">
        <v>16949</v>
      </c>
      <c r="NA34" s="1">
        <v>71017</v>
      </c>
      <c r="NB34" s="1">
        <v>71017</v>
      </c>
      <c r="NC34" s="1">
        <v>57426</v>
      </c>
      <c r="ND34" s="1">
        <v>57426</v>
      </c>
      <c r="NE34">
        <v>1.07</v>
      </c>
      <c r="NF34" s="1">
        <v>13706</v>
      </c>
      <c r="NG34">
        <v>6.59</v>
      </c>
      <c r="NH34">
        <v>2.6829999999999998</v>
      </c>
      <c r="NI34">
        <v>3.32</v>
      </c>
      <c r="NJ34">
        <v>306.68</v>
      </c>
      <c r="NK34">
        <v>302.41000000000003</v>
      </c>
      <c r="NL34">
        <v>0.19059999999999999</v>
      </c>
      <c r="NM34">
        <v>0.8357</v>
      </c>
      <c r="NN34">
        <v>0.53</v>
      </c>
      <c r="NO34">
        <v>0.06</v>
      </c>
      <c r="NP34">
        <v>0.16</v>
      </c>
      <c r="NQ34">
        <v>0.16</v>
      </c>
      <c r="NR34">
        <v>0.42</v>
      </c>
      <c r="NS34">
        <v>0</v>
      </c>
      <c r="NT34">
        <v>0.06</v>
      </c>
      <c r="NU34" s="574">
        <v>10.55</v>
      </c>
      <c r="NV34">
        <v>2.5089999999999999</v>
      </c>
      <c r="NW34">
        <v>0</v>
      </c>
      <c r="NX34">
        <v>2E-3</v>
      </c>
      <c r="NY34">
        <v>0.78700000000000003</v>
      </c>
      <c r="NZ34">
        <v>1E-3</v>
      </c>
      <c r="OA34">
        <v>8.7800000000000003E-2</v>
      </c>
      <c r="OB34">
        <v>0.36770000000000003</v>
      </c>
      <c r="OC34">
        <v>3.13</v>
      </c>
      <c r="OD34">
        <v>1.53</v>
      </c>
      <c r="OE34">
        <v>0.14910000000000001</v>
      </c>
      <c r="OF34" s="2">
        <v>1477.9290000000001</v>
      </c>
      <c r="OG34">
        <v>2.2519999999999998</v>
      </c>
      <c r="OH34" s="574">
        <v>2.06</v>
      </c>
      <c r="OI34">
        <v>236</v>
      </c>
      <c r="OJ34">
        <v>109</v>
      </c>
      <c r="OK34" s="574">
        <v>13.77</v>
      </c>
      <c r="OL34" s="574">
        <v>1.17</v>
      </c>
      <c r="OM34" s="574">
        <v>0.98</v>
      </c>
      <c r="ON34">
        <v>0.1958</v>
      </c>
      <c r="OO34">
        <v>4.6699999999999998E-2</v>
      </c>
      <c r="OP34">
        <v>0.28000000000000003</v>
      </c>
      <c r="OQ34" s="574">
        <v>1.79</v>
      </c>
      <c r="OR34" s="574">
        <v>11.66</v>
      </c>
      <c r="OS34" s="574">
        <v>0.01</v>
      </c>
      <c r="OT34" s="574">
        <v>0</v>
      </c>
      <c r="OU34" s="574">
        <v>13.46</v>
      </c>
      <c r="OV34">
        <v>202</v>
      </c>
      <c r="OW34">
        <v>199</v>
      </c>
      <c r="OX34">
        <v>0.81</v>
      </c>
      <c r="OY34" s="1">
        <v>3313</v>
      </c>
      <c r="OZ34">
        <v>22.54</v>
      </c>
      <c r="PA34" s="1">
        <v>4097</v>
      </c>
      <c r="PB34">
        <v>1.3</v>
      </c>
      <c r="PC34">
        <v>18.23</v>
      </c>
      <c r="PD34">
        <v>0.06</v>
      </c>
      <c r="PE34">
        <v>235</v>
      </c>
      <c r="PF34">
        <v>0.94</v>
      </c>
      <c r="PG34" s="574">
        <v>0.35</v>
      </c>
      <c r="PH34">
        <v>0.76</v>
      </c>
      <c r="PI34">
        <v>14.72</v>
      </c>
      <c r="PJ34">
        <v>5.04</v>
      </c>
      <c r="PK34" s="574">
        <v>4.1500000000000004</v>
      </c>
      <c r="PL34">
        <v>36.35</v>
      </c>
      <c r="PM34" s="4">
        <v>53871</v>
      </c>
      <c r="PN34" s="4">
        <v>40642</v>
      </c>
      <c r="PO34">
        <v>7.2999999999999995E-2</v>
      </c>
      <c r="PP34">
        <v>1.0269999999999999</v>
      </c>
      <c r="PQ34">
        <v>5.8999999999999997E-2</v>
      </c>
      <c r="PR34">
        <v>1.7399999999999999E-2</v>
      </c>
      <c r="PS34">
        <v>0.24510000000000001</v>
      </c>
      <c r="PT34">
        <v>1.41E-2</v>
      </c>
      <c r="PU34" s="3">
        <v>1</v>
      </c>
      <c r="PV34" s="3">
        <v>0.2387</v>
      </c>
      <c r="PW34" s="3">
        <v>0.76129999999999998</v>
      </c>
      <c r="PX34" s="3">
        <v>0.24560000000000001</v>
      </c>
      <c r="PY34" s="3">
        <v>0.75439999999999996</v>
      </c>
      <c r="PZ34" s="3">
        <v>8.4699999999999998E-2</v>
      </c>
      <c r="QA34" s="3">
        <v>6.7999999999999996E-3</v>
      </c>
      <c r="QB34" s="3">
        <v>0.188</v>
      </c>
      <c r="QC34" s="3">
        <v>6.7999999999999996E-3</v>
      </c>
      <c r="QD34" s="3">
        <v>0.1497</v>
      </c>
      <c r="QE34" s="3">
        <v>7.1099999999999997E-2</v>
      </c>
      <c r="QF34" s="3">
        <v>0.57769999999999999</v>
      </c>
      <c r="QG34" s="3">
        <v>0.76570000000000005</v>
      </c>
      <c r="QH34" s="3">
        <v>8.9999999999999998E-4</v>
      </c>
      <c r="QI34" s="3">
        <v>0.86609999999999998</v>
      </c>
      <c r="QJ34" s="3">
        <v>0</v>
      </c>
      <c r="QK34" s="3">
        <v>0.13300000000000001</v>
      </c>
      <c r="QL34" s="4">
        <v>13229</v>
      </c>
      <c r="QM34">
        <v>6.23</v>
      </c>
      <c r="QN34" s="1">
        <v>21402</v>
      </c>
      <c r="QO34" s="1">
        <v>21402</v>
      </c>
      <c r="QP34" s="1">
        <v>5108</v>
      </c>
      <c r="QQ34" s="3">
        <v>0.8397</v>
      </c>
      <c r="QR34" s="3">
        <v>8.0100000000000005E-2</v>
      </c>
      <c r="QS34" s="3">
        <v>8.0199999999999994E-2</v>
      </c>
      <c r="QT34" s="3">
        <v>0.2387</v>
      </c>
      <c r="QU34">
        <v>0.34</v>
      </c>
      <c r="QV34">
        <v>1.04</v>
      </c>
      <c r="QW34">
        <v>0.25</v>
      </c>
      <c r="QX34">
        <v>29</v>
      </c>
      <c r="QY34">
        <v>2.74</v>
      </c>
      <c r="QZ34">
        <v>29</v>
      </c>
      <c r="RA34">
        <v>2.2999999999999998</v>
      </c>
      <c r="RB34">
        <v>0.19</v>
      </c>
      <c r="RC34">
        <v>0.2</v>
      </c>
    </row>
    <row r="35" spans="1:471" x14ac:dyDescent="0.25">
      <c r="A35" t="s">
        <v>802</v>
      </c>
      <c r="B35">
        <v>154236</v>
      </c>
      <c r="C35" t="s">
        <v>1754</v>
      </c>
      <c r="D35" t="s">
        <v>1754</v>
      </c>
      <c r="E35" t="s">
        <v>1754</v>
      </c>
      <c r="F35" t="s">
        <v>1755</v>
      </c>
      <c r="G35" t="s">
        <v>1755</v>
      </c>
      <c r="H35" t="s">
        <v>803</v>
      </c>
      <c r="I35" t="s">
        <v>342</v>
      </c>
      <c r="J35" t="s">
        <v>366</v>
      </c>
      <c r="K35" t="s">
        <v>344</v>
      </c>
      <c r="L35" t="s">
        <v>345</v>
      </c>
      <c r="M35" t="s">
        <v>367</v>
      </c>
      <c r="N35" t="s">
        <v>347</v>
      </c>
      <c r="O35" s="1">
        <v>212636</v>
      </c>
      <c r="Q35" s="1">
        <v>3841</v>
      </c>
      <c r="R35">
        <v>957</v>
      </c>
      <c r="S35">
        <v>999</v>
      </c>
      <c r="T35">
        <v>325</v>
      </c>
      <c r="U35" s="1">
        <v>32400</v>
      </c>
      <c r="V35" s="1">
        <v>2423</v>
      </c>
      <c r="W35" s="1">
        <v>104469</v>
      </c>
      <c r="X35" s="1">
        <v>13652</v>
      </c>
      <c r="Y35" s="1">
        <v>845278</v>
      </c>
      <c r="Z35" s="1">
        <v>195800</v>
      </c>
      <c r="AC35" t="s">
        <v>804</v>
      </c>
      <c r="AD35" t="s">
        <v>805</v>
      </c>
      <c r="AE35">
        <v>28054</v>
      </c>
      <c r="AF35">
        <v>5156</v>
      </c>
      <c r="AG35" t="s">
        <v>804</v>
      </c>
      <c r="AH35" t="s">
        <v>806</v>
      </c>
      <c r="AI35">
        <v>28054</v>
      </c>
      <c r="AJ35">
        <v>2</v>
      </c>
      <c r="AK35" t="s">
        <v>807</v>
      </c>
      <c r="AM35" t="s">
        <v>0</v>
      </c>
      <c r="AN35" t="s">
        <v>808</v>
      </c>
      <c r="AO35" t="s">
        <v>809</v>
      </c>
      <c r="AP35">
        <v>7048682164</v>
      </c>
      <c r="AQ35" t="s">
        <v>811</v>
      </c>
      <c r="AR35" t="s">
        <v>812</v>
      </c>
      <c r="AS35" t="s">
        <v>809</v>
      </c>
      <c r="AT35" t="s">
        <v>1</v>
      </c>
      <c r="AU35" t="s">
        <v>810</v>
      </c>
      <c r="AV35" t="s">
        <v>811</v>
      </c>
      <c r="AW35" t="s">
        <v>812</v>
      </c>
      <c r="AX35" t="s">
        <v>813</v>
      </c>
      <c r="AY35">
        <v>0</v>
      </c>
      <c r="AZ35">
        <v>0</v>
      </c>
      <c r="BA35">
        <v>0</v>
      </c>
      <c r="BB35" s="573">
        <v>42186</v>
      </c>
      <c r="BC35" s="573">
        <v>42551</v>
      </c>
      <c r="BD35">
        <v>1</v>
      </c>
      <c r="BE35">
        <v>9</v>
      </c>
      <c r="BF35">
        <v>0</v>
      </c>
      <c r="BG35">
        <v>0</v>
      </c>
      <c r="BH35">
        <v>10</v>
      </c>
      <c r="BJ35" s="1">
        <v>20436</v>
      </c>
      <c r="BK35">
        <v>13.5</v>
      </c>
      <c r="BL35">
        <v>8.5</v>
      </c>
      <c r="BM35">
        <v>22</v>
      </c>
      <c r="BN35">
        <v>34</v>
      </c>
      <c r="BO35">
        <v>56</v>
      </c>
      <c r="BP35" s="3">
        <v>0.24110000000000001</v>
      </c>
      <c r="BQ35" s="1">
        <v>2898</v>
      </c>
      <c r="BR35" s="4">
        <v>103010</v>
      </c>
      <c r="DW35" s="4">
        <v>0</v>
      </c>
      <c r="DX35" s="4">
        <v>3913352</v>
      </c>
      <c r="DY35" s="4">
        <v>3913352</v>
      </c>
      <c r="DZ35" s="4">
        <v>224550</v>
      </c>
      <c r="EA35" s="4">
        <v>0</v>
      </c>
      <c r="EB35" s="4">
        <v>224550</v>
      </c>
      <c r="EC35" s="4">
        <v>19134</v>
      </c>
      <c r="ED35" s="4">
        <v>0</v>
      </c>
      <c r="EE35" s="4">
        <v>19134</v>
      </c>
      <c r="EF35" s="4">
        <v>0</v>
      </c>
      <c r="EG35" s="4">
        <v>4157036</v>
      </c>
      <c r="EH35" s="4">
        <v>1970737</v>
      </c>
      <c r="EI35" s="4">
        <v>803261</v>
      </c>
      <c r="EJ35" s="4">
        <v>2773998</v>
      </c>
      <c r="EK35" s="4">
        <v>282399</v>
      </c>
      <c r="EL35" s="4">
        <v>60592</v>
      </c>
      <c r="EM35" s="4">
        <v>85184</v>
      </c>
      <c r="EN35" s="4">
        <v>428175</v>
      </c>
      <c r="EO35" s="4">
        <v>539302</v>
      </c>
      <c r="EP35" s="4">
        <v>3741475</v>
      </c>
      <c r="EQ35" s="4">
        <v>415561</v>
      </c>
      <c r="ER35" s="3">
        <v>0.1</v>
      </c>
      <c r="ES35" s="4">
        <v>0</v>
      </c>
      <c r="ET35" s="4">
        <v>0</v>
      </c>
      <c r="EU35" s="4">
        <v>0</v>
      </c>
      <c r="EV35" s="4">
        <v>5000</v>
      </c>
      <c r="EW35" s="4">
        <v>5000</v>
      </c>
      <c r="EX35" s="4">
        <v>57446</v>
      </c>
      <c r="EY35" s="1">
        <v>55050</v>
      </c>
      <c r="EZ35" s="1">
        <v>565354</v>
      </c>
      <c r="FA35" s="1">
        <v>106377</v>
      </c>
      <c r="FB35" s="1">
        <v>20765</v>
      </c>
      <c r="FC35" s="1">
        <v>92714</v>
      </c>
      <c r="FD35" s="1">
        <v>171984</v>
      </c>
      <c r="FE35">
        <v>0</v>
      </c>
      <c r="FF35" s="1">
        <v>52165</v>
      </c>
      <c r="FG35" s="1">
        <v>278361</v>
      </c>
      <c r="FH35" s="1">
        <v>20765</v>
      </c>
      <c r="FI35" s="1">
        <v>144879</v>
      </c>
      <c r="FJ35" s="1">
        <v>444005</v>
      </c>
      <c r="FK35" s="1">
        <v>3208</v>
      </c>
      <c r="FL35">
        <v>276</v>
      </c>
      <c r="FN35" s="1">
        <v>444005</v>
      </c>
      <c r="FO35" s="1">
        <v>14010</v>
      </c>
      <c r="FP35" s="1">
        <v>24600</v>
      </c>
      <c r="FQ35">
        <v>882</v>
      </c>
      <c r="FR35">
        <v>10</v>
      </c>
      <c r="FS35">
        <v>74</v>
      </c>
      <c r="FT35">
        <v>84</v>
      </c>
      <c r="FU35" s="1">
        <v>26725</v>
      </c>
      <c r="FV35" s="1">
        <v>2022</v>
      </c>
      <c r="FW35">
        <v>0</v>
      </c>
      <c r="GG35" s="1">
        <v>34298</v>
      </c>
      <c r="GH35" s="1">
        <v>13913</v>
      </c>
      <c r="GI35">
        <v>370</v>
      </c>
      <c r="GJ35">
        <v>87</v>
      </c>
      <c r="GK35">
        <v>677</v>
      </c>
      <c r="GL35">
        <v>120</v>
      </c>
      <c r="GM35">
        <v>15</v>
      </c>
      <c r="GN35">
        <v>62</v>
      </c>
      <c r="GO35" s="1">
        <v>61700</v>
      </c>
      <c r="GP35" s="1">
        <v>16055</v>
      </c>
      <c r="GQ35">
        <v>385</v>
      </c>
      <c r="GR35">
        <v>149</v>
      </c>
      <c r="GS35">
        <v>917</v>
      </c>
      <c r="GU35" s="1">
        <v>252928</v>
      </c>
      <c r="GV35" s="1">
        <v>43516</v>
      </c>
      <c r="GW35" s="1">
        <v>288953</v>
      </c>
      <c r="GX35" s="1">
        <v>97430</v>
      </c>
      <c r="GY35">
        <v>0</v>
      </c>
      <c r="GZ35" s="1">
        <v>67660</v>
      </c>
      <c r="HA35" s="1">
        <v>350358</v>
      </c>
      <c r="HB35" s="1">
        <v>43516</v>
      </c>
      <c r="HC35" s="1">
        <v>356613</v>
      </c>
      <c r="HD35" s="1">
        <v>750487</v>
      </c>
      <c r="HE35">
        <v>0</v>
      </c>
      <c r="HF35" s="1">
        <v>750487</v>
      </c>
      <c r="HG35" s="1">
        <v>41978</v>
      </c>
      <c r="HH35" s="1">
        <v>192577</v>
      </c>
      <c r="HI35">
        <v>0</v>
      </c>
      <c r="HJ35" s="1">
        <v>3022</v>
      </c>
      <c r="HK35" s="1">
        <v>237577</v>
      </c>
      <c r="HL35" s="1">
        <v>988064</v>
      </c>
      <c r="HM35">
        <v>373</v>
      </c>
      <c r="HN35" s="1">
        <v>48096</v>
      </c>
      <c r="HO35" s="1">
        <v>48469</v>
      </c>
      <c r="HP35">
        <v>468</v>
      </c>
      <c r="HQ35" s="1">
        <v>22345</v>
      </c>
      <c r="HR35" s="1">
        <v>22813</v>
      </c>
      <c r="HS35">
        <v>0</v>
      </c>
      <c r="HT35">
        <v>272</v>
      </c>
      <c r="HU35">
        <v>272</v>
      </c>
      <c r="HV35" s="1">
        <v>2556</v>
      </c>
      <c r="HW35" s="1">
        <v>74110</v>
      </c>
      <c r="HX35" s="1">
        <v>14395</v>
      </c>
      <c r="HY35" s="1">
        <v>119805</v>
      </c>
      <c r="HZ35" s="1">
        <v>134200</v>
      </c>
      <c r="IA35" s="1">
        <v>208310</v>
      </c>
      <c r="IB35" s="1">
        <v>64791</v>
      </c>
      <c r="IC35" s="1">
        <v>257640</v>
      </c>
      <c r="ID35" s="1">
        <v>1062174</v>
      </c>
      <c r="IE35" s="1">
        <v>1062174</v>
      </c>
      <c r="IF35" s="1">
        <v>1196374</v>
      </c>
      <c r="IG35" s="1">
        <v>453058</v>
      </c>
      <c r="IH35">
        <v>188</v>
      </c>
      <c r="IK35">
        <v>1</v>
      </c>
      <c r="IL35" s="3">
        <v>4.4200000000000003E-2</v>
      </c>
      <c r="IM35" s="3">
        <v>5.0000000000000001E-4</v>
      </c>
      <c r="IN35" s="3">
        <v>0.13850000000000001</v>
      </c>
      <c r="IO35" s="3">
        <v>0</v>
      </c>
      <c r="IP35" s="3">
        <v>0.1091</v>
      </c>
      <c r="IQ35" s="3">
        <v>1E-4</v>
      </c>
      <c r="IR35" s="3">
        <v>0.78539999999999999</v>
      </c>
      <c r="IS35" s="3">
        <v>5.3199999999999997E-2</v>
      </c>
      <c r="IT35" s="3">
        <v>0.42649999999999999</v>
      </c>
      <c r="IU35" s="1">
        <v>73389</v>
      </c>
      <c r="IV35" s="1">
        <v>22700</v>
      </c>
      <c r="IW35" s="1">
        <v>96089</v>
      </c>
      <c r="IX35" s="3">
        <v>0.45190000000000002</v>
      </c>
      <c r="IY35" s="1">
        <v>530498</v>
      </c>
      <c r="JA35" s="1">
        <v>3238</v>
      </c>
      <c r="JB35">
        <v>588</v>
      </c>
      <c r="JC35" s="1">
        <v>2553</v>
      </c>
      <c r="JD35">
        <v>167</v>
      </c>
      <c r="JE35">
        <v>28</v>
      </c>
      <c r="JF35">
        <v>381</v>
      </c>
      <c r="JG35" s="1">
        <v>3405</v>
      </c>
      <c r="JH35">
        <v>616</v>
      </c>
      <c r="JI35" s="1">
        <v>2934</v>
      </c>
      <c r="JJ35" s="1">
        <v>6955</v>
      </c>
      <c r="JK35" s="1">
        <v>6379</v>
      </c>
      <c r="JL35">
        <v>576</v>
      </c>
      <c r="JM35" s="1">
        <v>12972</v>
      </c>
      <c r="JN35" s="1">
        <v>4874</v>
      </c>
      <c r="JO35" s="1">
        <v>59627</v>
      </c>
      <c r="JP35" s="1">
        <v>3540</v>
      </c>
      <c r="JQ35" s="1">
        <v>1593</v>
      </c>
      <c r="JR35" s="1">
        <v>28472</v>
      </c>
      <c r="JS35" s="1">
        <v>16512</v>
      </c>
      <c r="JT35" s="1">
        <v>6467</v>
      </c>
      <c r="JU35" s="1">
        <v>88099</v>
      </c>
      <c r="JV35" s="1">
        <v>111078</v>
      </c>
      <c r="JW35" s="1">
        <v>77473</v>
      </c>
      <c r="JX35" s="1">
        <v>33605</v>
      </c>
      <c r="JY35">
        <v>15.97</v>
      </c>
      <c r="JZ35">
        <v>4.8499999999999996</v>
      </c>
      <c r="KA35">
        <v>30.03</v>
      </c>
      <c r="KB35">
        <v>0.15</v>
      </c>
      <c r="KC35">
        <v>0.79</v>
      </c>
      <c r="KD35">
        <v>379</v>
      </c>
      <c r="KE35">
        <v>415</v>
      </c>
      <c r="KF35" s="1">
        <v>2616</v>
      </c>
      <c r="KG35" s="1">
        <v>3379</v>
      </c>
      <c r="KN35" s="1">
        <v>126932</v>
      </c>
      <c r="KO35" s="1">
        <v>50388</v>
      </c>
      <c r="KP35" s="1">
        <v>3900</v>
      </c>
      <c r="KR35">
        <v>405</v>
      </c>
      <c r="KS35" s="1">
        <v>6936</v>
      </c>
      <c r="KT35">
        <v>291</v>
      </c>
      <c r="KU35" s="1">
        <v>1543</v>
      </c>
      <c r="KV35">
        <v>62</v>
      </c>
      <c r="KW35">
        <v>77</v>
      </c>
      <c r="KX35" s="1">
        <v>111582</v>
      </c>
      <c r="KZ35" s="1">
        <v>234051</v>
      </c>
      <c r="LA35" s="1">
        <v>94800</v>
      </c>
      <c r="LD35" t="s">
        <v>814</v>
      </c>
      <c r="LE35" t="s">
        <v>379</v>
      </c>
      <c r="LF35" t="s">
        <v>815</v>
      </c>
      <c r="LG35" t="s">
        <v>805</v>
      </c>
      <c r="LH35">
        <v>28054</v>
      </c>
      <c r="LI35">
        <v>5156</v>
      </c>
      <c r="LJ35" t="s">
        <v>816</v>
      </c>
      <c r="LK35" t="s">
        <v>806</v>
      </c>
      <c r="LL35">
        <v>28054</v>
      </c>
      <c r="LM35">
        <v>5156</v>
      </c>
      <c r="LN35" t="s">
        <v>817</v>
      </c>
      <c r="LO35">
        <v>7048682164</v>
      </c>
      <c r="LP35">
        <v>7048530609</v>
      </c>
      <c r="LQ35" s="1">
        <v>92233</v>
      </c>
      <c r="LR35">
        <v>56</v>
      </c>
      <c r="LT35" s="1">
        <v>20436</v>
      </c>
      <c r="LU35">
        <v>520</v>
      </c>
      <c r="LX35">
        <v>1</v>
      </c>
      <c r="LY35" t="s">
        <v>818</v>
      </c>
      <c r="LZ35">
        <v>0</v>
      </c>
      <c r="MA35" t="s">
        <v>363</v>
      </c>
      <c r="MB35">
        <v>13.15</v>
      </c>
      <c r="MC35">
        <v>19.46</v>
      </c>
      <c r="ME35" s="574">
        <v>3.52</v>
      </c>
      <c r="MF35" s="574">
        <v>2.61</v>
      </c>
      <c r="MG35" s="574">
        <v>0.4</v>
      </c>
      <c r="MH35" s="574">
        <v>38.94</v>
      </c>
      <c r="MI35" s="574">
        <v>28.87</v>
      </c>
      <c r="MJ35" s="574">
        <v>4.46</v>
      </c>
      <c r="MK35" s="574">
        <v>7.05</v>
      </c>
      <c r="ML35" s="574">
        <v>5.23</v>
      </c>
      <c r="MM35" s="574">
        <v>0.81</v>
      </c>
      <c r="MN35" s="574">
        <v>29.48</v>
      </c>
      <c r="MO35" s="574">
        <v>21.85</v>
      </c>
      <c r="MP35" s="574">
        <v>3.37</v>
      </c>
      <c r="MQ35" s="574">
        <v>33.68</v>
      </c>
      <c r="MR35" s="574">
        <v>24.97</v>
      </c>
      <c r="MS35" s="574">
        <v>3.85</v>
      </c>
      <c r="MT35" s="574">
        <v>8.26</v>
      </c>
      <c r="MU35" s="574">
        <v>6.12</v>
      </c>
      <c r="MV35" s="574">
        <v>0.95</v>
      </c>
      <c r="MW35" s="1">
        <v>2267</v>
      </c>
      <c r="MX35" s="1">
        <v>9402</v>
      </c>
      <c r="MY35" s="1">
        <v>5770</v>
      </c>
      <c r="MZ35" s="1">
        <v>9473</v>
      </c>
      <c r="NA35" s="1">
        <v>39296</v>
      </c>
      <c r="NB35" s="1">
        <v>24114</v>
      </c>
      <c r="NC35" s="1">
        <v>48281</v>
      </c>
      <c r="ND35" s="1">
        <v>78680</v>
      </c>
      <c r="NE35">
        <v>1.88</v>
      </c>
      <c r="NF35" s="1">
        <v>18967</v>
      </c>
      <c r="NG35">
        <v>9.1199999999999992</v>
      </c>
      <c r="NH35">
        <v>4.9950000000000001</v>
      </c>
      <c r="NI35">
        <v>2.4900000000000002</v>
      </c>
      <c r="NJ35">
        <v>3.03</v>
      </c>
      <c r="NK35">
        <v>16.059999999999999</v>
      </c>
      <c r="NL35">
        <v>0.59699999999999998</v>
      </c>
      <c r="NM35">
        <v>2.1307</v>
      </c>
      <c r="NN35">
        <v>0.45</v>
      </c>
      <c r="NO35">
        <v>0.52</v>
      </c>
      <c r="NP35">
        <v>0</v>
      </c>
      <c r="NQ35">
        <v>0.01</v>
      </c>
      <c r="NR35">
        <v>0.52</v>
      </c>
      <c r="NS35">
        <v>0.08</v>
      </c>
      <c r="NT35">
        <v>0.41</v>
      </c>
      <c r="NU35" s="574">
        <v>13.05</v>
      </c>
      <c r="NV35">
        <v>2.6589999999999998</v>
      </c>
      <c r="NW35">
        <v>0</v>
      </c>
      <c r="NX35">
        <v>1E-3</v>
      </c>
      <c r="NY35">
        <v>0.28999999999999998</v>
      </c>
      <c r="NZ35">
        <v>0</v>
      </c>
      <c r="OA35">
        <v>0.14050000000000001</v>
      </c>
      <c r="OB35">
        <v>0.58279999999999998</v>
      </c>
      <c r="OC35">
        <v>2.8719999999999999</v>
      </c>
      <c r="OD35">
        <v>2.0880000000000001</v>
      </c>
      <c r="OE35">
        <v>0.15989999999999999</v>
      </c>
      <c r="OF35">
        <v>642.11300000000006</v>
      </c>
      <c r="OG35">
        <v>0.874</v>
      </c>
      <c r="OH35" s="574">
        <v>2.54</v>
      </c>
      <c r="OI35">
        <v>313</v>
      </c>
      <c r="OJ35">
        <v>260</v>
      </c>
      <c r="OK35" s="574">
        <v>17.600000000000001</v>
      </c>
      <c r="OL35" s="574">
        <v>2.0099999999999998</v>
      </c>
      <c r="OM35" s="574">
        <v>1.33</v>
      </c>
      <c r="ON35">
        <v>0.26340000000000002</v>
      </c>
      <c r="OO35">
        <v>6.3500000000000001E-2</v>
      </c>
      <c r="OP35">
        <v>0.3538</v>
      </c>
      <c r="OQ35" s="574">
        <v>1.06</v>
      </c>
      <c r="OR35" s="574">
        <v>18.399999999999999</v>
      </c>
      <c r="OS35" s="574">
        <v>0.09</v>
      </c>
      <c r="OT35" s="574">
        <v>0</v>
      </c>
      <c r="OU35" s="574">
        <v>19.55</v>
      </c>
      <c r="OV35">
        <v>6</v>
      </c>
      <c r="OW35">
        <v>30</v>
      </c>
      <c r="OX35">
        <v>2</v>
      </c>
      <c r="OY35" s="1">
        <v>20426</v>
      </c>
      <c r="OZ35">
        <v>25.96</v>
      </c>
      <c r="PA35" s="1">
        <v>10202</v>
      </c>
      <c r="PB35">
        <v>6.21</v>
      </c>
      <c r="PC35">
        <v>51.98</v>
      </c>
      <c r="PD35">
        <v>0.24</v>
      </c>
      <c r="PE35" s="1">
        <v>2441</v>
      </c>
      <c r="PF35">
        <v>0.53</v>
      </c>
      <c r="PG35" s="574">
        <v>0.81</v>
      </c>
      <c r="PH35">
        <v>1.07</v>
      </c>
      <c r="PI35">
        <v>9.61</v>
      </c>
      <c r="PJ35">
        <v>11.05</v>
      </c>
      <c r="PK35" s="574">
        <v>7.05</v>
      </c>
      <c r="PL35">
        <v>39.299999999999997</v>
      </c>
      <c r="PM35" s="4">
        <v>49536</v>
      </c>
      <c r="PN35" s="4">
        <v>35192</v>
      </c>
      <c r="PO35">
        <v>5.2699999999999997E-2</v>
      </c>
      <c r="PP35">
        <v>0.44119999999999998</v>
      </c>
      <c r="PQ35">
        <v>0.1056</v>
      </c>
      <c r="PR35">
        <v>1.2699999999999999E-2</v>
      </c>
      <c r="PS35">
        <v>0.10639999999999999</v>
      </c>
      <c r="PT35">
        <v>2.5499999999999998E-2</v>
      </c>
      <c r="PU35" s="3">
        <v>0.61360000000000003</v>
      </c>
      <c r="PV35" s="3">
        <v>0.39290000000000003</v>
      </c>
      <c r="PW35" s="3">
        <v>0.60709999999999997</v>
      </c>
      <c r="PX35" s="3">
        <v>0.28960000000000002</v>
      </c>
      <c r="PY35" s="3">
        <v>0.71040000000000003</v>
      </c>
      <c r="PZ35" s="3">
        <v>0.1144</v>
      </c>
      <c r="QA35" s="3">
        <v>1.6199999999999999E-2</v>
      </c>
      <c r="QB35" s="3">
        <v>0.2147</v>
      </c>
      <c r="QC35" s="3">
        <v>2.2800000000000001E-2</v>
      </c>
      <c r="QD35" s="3">
        <v>0.14410000000000001</v>
      </c>
      <c r="QE35" s="3">
        <v>7.5499999999999998E-2</v>
      </c>
      <c r="QF35" s="3">
        <v>0.52669999999999995</v>
      </c>
      <c r="QG35" s="3">
        <v>0.74139999999999995</v>
      </c>
      <c r="QH35" s="3">
        <v>4.5999999999999999E-3</v>
      </c>
      <c r="QI35" s="3">
        <v>0.94140000000000001</v>
      </c>
      <c r="QJ35" s="3">
        <v>0</v>
      </c>
      <c r="QK35" s="3">
        <v>5.3999999999999999E-2</v>
      </c>
      <c r="QL35" s="4">
        <v>14344</v>
      </c>
      <c r="QM35">
        <v>5.52</v>
      </c>
      <c r="QN35" s="1">
        <v>9665</v>
      </c>
      <c r="QO35" s="1">
        <v>15751</v>
      </c>
      <c r="QP35" s="1">
        <v>3797</v>
      </c>
      <c r="QQ35" s="3">
        <v>0.65949999999999998</v>
      </c>
      <c r="QR35" s="3">
        <v>0.14149999999999999</v>
      </c>
      <c r="QS35" s="3">
        <v>0.19889999999999999</v>
      </c>
      <c r="QT35" s="3">
        <v>0.24110000000000001</v>
      </c>
      <c r="QU35">
        <v>0.54</v>
      </c>
      <c r="QV35">
        <v>1.32</v>
      </c>
      <c r="QW35">
        <v>0.38</v>
      </c>
      <c r="QX35">
        <v>18</v>
      </c>
      <c r="QY35">
        <v>3.76</v>
      </c>
      <c r="QZ35">
        <v>12</v>
      </c>
      <c r="RA35">
        <v>2.48</v>
      </c>
      <c r="RB35">
        <v>0.28000000000000003</v>
      </c>
      <c r="RC35">
        <v>0.26</v>
      </c>
    </row>
    <row r="36" spans="1:471" x14ac:dyDescent="0.25">
      <c r="B36">
        <v>11648</v>
      </c>
      <c r="C36" t="s">
        <v>1754</v>
      </c>
      <c r="D36" t="s">
        <v>1754</v>
      </c>
      <c r="E36" t="s">
        <v>1754</v>
      </c>
      <c r="F36" t="s">
        <v>1755</v>
      </c>
      <c r="G36" t="s">
        <v>1755</v>
      </c>
    </row>
    <row r="37" spans="1:471" x14ac:dyDescent="0.25">
      <c r="A37" t="s">
        <v>819</v>
      </c>
      <c r="B37">
        <v>11711</v>
      </c>
      <c r="C37" t="s">
        <v>1754</v>
      </c>
      <c r="D37" t="s">
        <v>1754</v>
      </c>
      <c r="E37" t="s">
        <v>1754</v>
      </c>
      <c r="F37" t="s">
        <v>1755</v>
      </c>
      <c r="G37" t="s">
        <v>1755</v>
      </c>
      <c r="H37" t="s">
        <v>820</v>
      </c>
      <c r="I37" t="s">
        <v>342</v>
      </c>
      <c r="J37" t="s">
        <v>559</v>
      </c>
      <c r="K37" t="s">
        <v>533</v>
      </c>
      <c r="L37" t="s">
        <v>345</v>
      </c>
      <c r="M37" t="s">
        <v>560</v>
      </c>
      <c r="N37" t="s">
        <v>347</v>
      </c>
      <c r="O37" s="1">
        <v>9639</v>
      </c>
      <c r="P37" t="s">
        <v>348</v>
      </c>
      <c r="Q37">
        <v>290</v>
      </c>
      <c r="R37">
        <v>43</v>
      </c>
      <c r="S37">
        <v>24</v>
      </c>
      <c r="T37">
        <v>7</v>
      </c>
      <c r="U37">
        <v>877</v>
      </c>
      <c r="V37">
        <v>193</v>
      </c>
      <c r="W37" s="1">
        <v>10066</v>
      </c>
      <c r="X37" s="1">
        <v>2103</v>
      </c>
      <c r="AC37" t="s">
        <v>821</v>
      </c>
      <c r="AD37" t="s">
        <v>432</v>
      </c>
      <c r="AE37">
        <v>27889</v>
      </c>
      <c r="AF37">
        <v>4847</v>
      </c>
      <c r="AG37" t="s">
        <v>821</v>
      </c>
      <c r="AH37" t="s">
        <v>432</v>
      </c>
      <c r="AI37">
        <v>27889</v>
      </c>
      <c r="AJ37">
        <v>1</v>
      </c>
      <c r="AK37" t="s">
        <v>822</v>
      </c>
      <c r="AM37" t="s">
        <v>564</v>
      </c>
      <c r="AN37" t="s">
        <v>433</v>
      </c>
      <c r="AO37" t="s">
        <v>823</v>
      </c>
      <c r="AP37">
        <v>2529759356</v>
      </c>
      <c r="AQ37" t="s">
        <v>1913</v>
      </c>
      <c r="AR37" t="s">
        <v>825</v>
      </c>
      <c r="AS37" t="s">
        <v>1914</v>
      </c>
      <c r="AT37" t="s">
        <v>1</v>
      </c>
      <c r="AU37" t="s">
        <v>824</v>
      </c>
      <c r="AW37" t="s">
        <v>825</v>
      </c>
      <c r="AX37" t="s">
        <v>826</v>
      </c>
      <c r="AY37">
        <v>0</v>
      </c>
      <c r="AZ37">
        <v>0</v>
      </c>
      <c r="BA37">
        <v>0</v>
      </c>
      <c r="BB37" s="573">
        <v>42186</v>
      </c>
      <c r="BC37" s="573">
        <v>42551</v>
      </c>
      <c r="BD37">
        <v>1</v>
      </c>
      <c r="BE37">
        <v>0</v>
      </c>
      <c r="BF37">
        <v>0</v>
      </c>
      <c r="BG37">
        <v>0</v>
      </c>
      <c r="BH37">
        <v>1</v>
      </c>
      <c r="BJ37" s="1">
        <v>2860</v>
      </c>
      <c r="BK37">
        <v>1</v>
      </c>
      <c r="BL37">
        <v>0</v>
      </c>
      <c r="BM37">
        <v>1</v>
      </c>
      <c r="BN37">
        <v>6</v>
      </c>
      <c r="BO37">
        <v>7</v>
      </c>
      <c r="BP37" s="3">
        <v>0.1429</v>
      </c>
      <c r="BQ37">
        <v>485</v>
      </c>
      <c r="BR37" s="4">
        <v>63994</v>
      </c>
      <c r="DW37" s="4">
        <v>410814</v>
      </c>
      <c r="DX37" s="4">
        <v>7800</v>
      </c>
      <c r="DY37" s="4">
        <v>418614</v>
      </c>
      <c r="DZ37" s="4">
        <v>9327</v>
      </c>
      <c r="EA37" s="4">
        <v>4566</v>
      </c>
      <c r="EB37" s="4">
        <v>13893</v>
      </c>
      <c r="EC37" s="4">
        <v>750</v>
      </c>
      <c r="ED37" s="4">
        <v>0</v>
      </c>
      <c r="EE37" s="4">
        <v>750</v>
      </c>
      <c r="EF37" s="4">
        <v>21500</v>
      </c>
      <c r="EG37" s="4">
        <v>454757</v>
      </c>
      <c r="EH37" s="4">
        <v>214383</v>
      </c>
      <c r="EI37" s="4">
        <v>68681</v>
      </c>
      <c r="EJ37" s="4">
        <v>283064</v>
      </c>
      <c r="EK37" s="4">
        <v>45137</v>
      </c>
      <c r="EL37" s="4">
        <v>9300</v>
      </c>
      <c r="EM37" s="4">
        <v>7570</v>
      </c>
      <c r="EN37" s="4">
        <v>62007</v>
      </c>
      <c r="EO37" s="4">
        <v>73543</v>
      </c>
      <c r="EP37" s="4">
        <v>418614</v>
      </c>
      <c r="EQ37" s="4">
        <v>36143</v>
      </c>
      <c r="ER37" s="3">
        <v>7.9500000000000001E-2</v>
      </c>
      <c r="ES37" s="4">
        <v>0</v>
      </c>
      <c r="ET37" s="4">
        <v>0</v>
      </c>
      <c r="EU37" s="4">
        <v>0</v>
      </c>
      <c r="EV37" s="4">
        <v>0</v>
      </c>
      <c r="EW37" s="4">
        <v>0</v>
      </c>
      <c r="EX37" s="4">
        <v>0</v>
      </c>
      <c r="EY37" s="1">
        <v>10424</v>
      </c>
      <c r="EZ37" s="1">
        <v>122585</v>
      </c>
      <c r="FA37" s="1">
        <v>18375</v>
      </c>
      <c r="FB37" s="1">
        <v>2335</v>
      </c>
      <c r="FC37" s="1">
        <v>10462</v>
      </c>
      <c r="FD37" s="1">
        <v>17644</v>
      </c>
      <c r="FE37">
        <v>489</v>
      </c>
      <c r="FF37" s="1">
        <v>4967</v>
      </c>
      <c r="FG37" s="1">
        <v>36019</v>
      </c>
      <c r="FH37" s="1">
        <v>2824</v>
      </c>
      <c r="FI37" s="1">
        <v>15429</v>
      </c>
      <c r="FJ37" s="1">
        <v>54272</v>
      </c>
      <c r="FK37">
        <v>541</v>
      </c>
      <c r="FL37">
        <v>26</v>
      </c>
      <c r="FN37" s="1">
        <v>54272</v>
      </c>
      <c r="FO37" s="1">
        <v>3117</v>
      </c>
      <c r="FP37" s="1">
        <v>4102</v>
      </c>
      <c r="FQ37" s="1">
        <v>5899</v>
      </c>
      <c r="FR37">
        <v>1</v>
      </c>
      <c r="FS37">
        <v>74</v>
      </c>
      <c r="FT37">
        <v>75</v>
      </c>
      <c r="FU37" s="1">
        <v>26725</v>
      </c>
      <c r="FV37" s="1">
        <v>2022</v>
      </c>
      <c r="FW37">
        <v>0</v>
      </c>
      <c r="GC37" s="1">
        <v>23798</v>
      </c>
      <c r="GD37" s="1">
        <v>1183</v>
      </c>
      <c r="GE37">
        <v>205</v>
      </c>
      <c r="GK37">
        <v>620</v>
      </c>
      <c r="GL37">
        <v>0</v>
      </c>
      <c r="GM37">
        <v>0</v>
      </c>
      <c r="GN37">
        <v>0</v>
      </c>
      <c r="GO37" s="1">
        <v>51143</v>
      </c>
      <c r="GP37" s="1">
        <v>3205</v>
      </c>
      <c r="GQ37">
        <v>205</v>
      </c>
      <c r="GR37">
        <v>0</v>
      </c>
      <c r="GS37">
        <v>28</v>
      </c>
      <c r="GU37" s="1">
        <v>46877</v>
      </c>
      <c r="GV37" s="1">
        <v>5367</v>
      </c>
      <c r="GW37" s="1">
        <v>17177</v>
      </c>
      <c r="GX37" s="1">
        <v>7891</v>
      </c>
      <c r="GY37">
        <v>276</v>
      </c>
      <c r="GZ37" s="1">
        <v>4662</v>
      </c>
      <c r="HA37" s="1">
        <v>54768</v>
      </c>
      <c r="HB37" s="1">
        <v>5643</v>
      </c>
      <c r="HC37" s="1">
        <v>21839</v>
      </c>
      <c r="HD37" s="1">
        <v>82250</v>
      </c>
      <c r="HE37" s="1">
        <v>2160</v>
      </c>
      <c r="HF37" s="1">
        <v>84410</v>
      </c>
      <c r="HG37" s="1">
        <v>7998</v>
      </c>
      <c r="HH37" s="1">
        <v>27471</v>
      </c>
      <c r="HI37">
        <v>0</v>
      </c>
      <c r="HJ37" s="1">
        <v>1775</v>
      </c>
      <c r="HK37" s="1">
        <v>37244</v>
      </c>
      <c r="HL37" s="1">
        <v>121654</v>
      </c>
      <c r="HM37">
        <v>2</v>
      </c>
      <c r="HN37" s="1">
        <v>6496</v>
      </c>
      <c r="HO37" s="1">
        <v>6498</v>
      </c>
      <c r="HP37">
        <v>2</v>
      </c>
      <c r="HQ37">
        <v>396</v>
      </c>
      <c r="HR37">
        <v>398</v>
      </c>
      <c r="HS37">
        <v>0</v>
      </c>
      <c r="HT37">
        <v>16</v>
      </c>
      <c r="HU37">
        <v>16</v>
      </c>
      <c r="HV37">
        <v>0</v>
      </c>
      <c r="HW37" s="1">
        <v>6912</v>
      </c>
      <c r="HX37">
        <v>104</v>
      </c>
      <c r="HZ37">
        <v>104</v>
      </c>
      <c r="IA37" s="1">
        <v>7016</v>
      </c>
      <c r="IB37" s="1">
        <v>8396</v>
      </c>
      <c r="IC37" s="1">
        <v>35883</v>
      </c>
      <c r="ID37" s="1">
        <v>128566</v>
      </c>
      <c r="IE37" s="1">
        <v>128566</v>
      </c>
      <c r="IF37" s="1">
        <v>128670</v>
      </c>
      <c r="IG37" s="1">
        <v>31801</v>
      </c>
      <c r="IH37">
        <v>446</v>
      </c>
      <c r="IK37">
        <v>1</v>
      </c>
      <c r="IL37" s="3">
        <v>3.5099999999999999E-2</v>
      </c>
      <c r="IM37" s="3">
        <v>2.0000000000000001E-4</v>
      </c>
      <c r="IN37" s="3">
        <v>0.44500000000000001</v>
      </c>
      <c r="IO37" s="3">
        <v>0</v>
      </c>
      <c r="IP37" s="3">
        <v>0.41720000000000002</v>
      </c>
      <c r="IQ37" s="3">
        <v>5.9999999999999995E-4</v>
      </c>
      <c r="IR37" s="3">
        <v>0.44269999999999998</v>
      </c>
      <c r="IS37" s="3">
        <v>5.16E-2</v>
      </c>
      <c r="IT37" s="3">
        <v>0.24740000000000001</v>
      </c>
      <c r="IU37" s="1">
        <v>13443</v>
      </c>
      <c r="IV37" s="1">
        <v>3449</v>
      </c>
      <c r="IW37" s="1">
        <v>16892</v>
      </c>
      <c r="IX37" s="3">
        <v>1.7524999999999999</v>
      </c>
      <c r="IY37" s="1">
        <v>101471</v>
      </c>
      <c r="JA37">
        <v>9</v>
      </c>
      <c r="JB37">
        <v>13</v>
      </c>
      <c r="JC37">
        <v>109</v>
      </c>
      <c r="JD37">
        <v>1</v>
      </c>
      <c r="JE37">
        <v>0</v>
      </c>
      <c r="JF37">
        <v>6</v>
      </c>
      <c r="JG37">
        <v>10</v>
      </c>
      <c r="JH37">
        <v>13</v>
      </c>
      <c r="JI37">
        <v>115</v>
      </c>
      <c r="JJ37">
        <v>138</v>
      </c>
      <c r="JK37">
        <v>131</v>
      </c>
      <c r="JL37">
        <v>7</v>
      </c>
      <c r="JM37">
        <v>160</v>
      </c>
      <c r="JN37">
        <v>446</v>
      </c>
      <c r="JO37" s="1">
        <v>1890</v>
      </c>
      <c r="JP37">
        <v>25</v>
      </c>
      <c r="JQ37">
        <v>0</v>
      </c>
      <c r="JR37">
        <v>125</v>
      </c>
      <c r="JS37">
        <v>185</v>
      </c>
      <c r="JT37">
        <v>446</v>
      </c>
      <c r="JU37" s="1">
        <v>2015</v>
      </c>
      <c r="JV37" s="1">
        <v>2646</v>
      </c>
      <c r="JW37" s="1">
        <v>2496</v>
      </c>
      <c r="JX37">
        <v>150</v>
      </c>
      <c r="JY37">
        <v>19.170000000000002</v>
      </c>
      <c r="JZ37">
        <v>18.5</v>
      </c>
      <c r="KA37">
        <v>17.52</v>
      </c>
      <c r="KB37">
        <v>7.0000000000000007E-2</v>
      </c>
      <c r="KC37">
        <v>0.76</v>
      </c>
      <c r="KD37">
        <v>0</v>
      </c>
      <c r="KE37">
        <v>0</v>
      </c>
      <c r="KF37">
        <v>6</v>
      </c>
      <c r="KG37">
        <v>21</v>
      </c>
      <c r="KN37" s="1">
        <v>20650</v>
      </c>
      <c r="KO37" s="1">
        <v>2536</v>
      </c>
      <c r="KP37" s="1">
        <v>1103</v>
      </c>
      <c r="KR37">
        <v>584</v>
      </c>
      <c r="KS37" s="1">
        <v>2655</v>
      </c>
      <c r="KT37" s="1">
        <v>6401</v>
      </c>
      <c r="KU37" s="1">
        <v>6538</v>
      </c>
      <c r="KV37">
        <v>11</v>
      </c>
      <c r="KW37">
        <v>22</v>
      </c>
      <c r="KX37" s="1">
        <v>7445</v>
      </c>
      <c r="KZ37" s="1">
        <v>1824</v>
      </c>
      <c r="LA37" s="1">
        <v>10950</v>
      </c>
      <c r="LD37" t="s">
        <v>822</v>
      </c>
      <c r="LE37" t="s">
        <v>361</v>
      </c>
      <c r="LF37" t="s">
        <v>821</v>
      </c>
      <c r="LG37" t="s">
        <v>432</v>
      </c>
      <c r="LH37">
        <v>27889</v>
      </c>
      <c r="LI37">
        <v>4847</v>
      </c>
      <c r="LJ37" t="s">
        <v>821</v>
      </c>
      <c r="LK37" t="s">
        <v>432</v>
      </c>
      <c r="LL37">
        <v>27889</v>
      </c>
      <c r="LM37">
        <v>4847</v>
      </c>
      <c r="LN37" t="s">
        <v>433</v>
      </c>
      <c r="LO37">
        <v>2529464300</v>
      </c>
      <c r="LP37">
        <v>2529752015</v>
      </c>
      <c r="LQ37" s="1">
        <v>12000</v>
      </c>
      <c r="LR37">
        <v>7</v>
      </c>
      <c r="LT37" s="1">
        <v>2860</v>
      </c>
      <c r="LU37">
        <v>52</v>
      </c>
      <c r="LX37">
        <v>2</v>
      </c>
      <c r="LY37" t="s">
        <v>827</v>
      </c>
      <c r="LZ37">
        <v>0</v>
      </c>
      <c r="MA37" t="s">
        <v>363</v>
      </c>
      <c r="MB37">
        <v>10</v>
      </c>
      <c r="MC37">
        <v>100</v>
      </c>
      <c r="ME37" s="574">
        <v>3.26</v>
      </c>
      <c r="MF37" s="574">
        <v>2.2000000000000002</v>
      </c>
      <c r="MG37" s="574">
        <v>0.48</v>
      </c>
      <c r="MH37" s="574">
        <v>24.78</v>
      </c>
      <c r="MI37" s="574">
        <v>16.760000000000002</v>
      </c>
      <c r="MJ37" s="574">
        <v>3.67</v>
      </c>
      <c r="MK37" s="574">
        <v>4.13</v>
      </c>
      <c r="ML37" s="574">
        <v>2.79</v>
      </c>
      <c r="MM37" s="574">
        <v>0.61</v>
      </c>
      <c r="MN37" s="574">
        <v>20.27</v>
      </c>
      <c r="MO37" s="574">
        <v>13.71</v>
      </c>
      <c r="MP37" s="574">
        <v>3</v>
      </c>
      <c r="MQ37" s="574">
        <v>158.21</v>
      </c>
      <c r="MR37" s="574">
        <v>106.98</v>
      </c>
      <c r="MS37" s="574">
        <v>23.43</v>
      </c>
      <c r="MT37" s="574">
        <v>13.16</v>
      </c>
      <c r="MU37" s="574">
        <v>8.9</v>
      </c>
      <c r="MV37" s="574">
        <v>1.95</v>
      </c>
      <c r="MW37" s="1">
        <v>2950</v>
      </c>
      <c r="MX37" s="1">
        <v>20650</v>
      </c>
      <c r="MY37" s="1">
        <v>20650</v>
      </c>
      <c r="MZ37" s="1">
        <v>14496</v>
      </c>
      <c r="NA37" s="1">
        <v>101471</v>
      </c>
      <c r="NB37" s="1">
        <v>101471</v>
      </c>
      <c r="NC37" s="1">
        <v>128566</v>
      </c>
      <c r="ND37" s="1">
        <v>128566</v>
      </c>
      <c r="NE37">
        <v>1.05</v>
      </c>
      <c r="NF37" s="1">
        <v>18367</v>
      </c>
      <c r="NG37">
        <v>8.83</v>
      </c>
      <c r="NH37">
        <v>13.337999999999999</v>
      </c>
      <c r="NI37">
        <v>10.53</v>
      </c>
      <c r="NJ37">
        <v>378.94</v>
      </c>
      <c r="NK37">
        <v>387.05</v>
      </c>
      <c r="NL37">
        <v>2.1423000000000001</v>
      </c>
      <c r="NM37">
        <v>3.2991999999999999</v>
      </c>
      <c r="NN37">
        <v>1.75</v>
      </c>
      <c r="NO37">
        <v>0.27</v>
      </c>
      <c r="NP37">
        <v>0.66</v>
      </c>
      <c r="NQ37">
        <v>0.68</v>
      </c>
      <c r="NR37">
        <v>0.77</v>
      </c>
      <c r="NS37">
        <v>0.02</v>
      </c>
      <c r="NT37">
        <v>0.21</v>
      </c>
      <c r="NU37" s="574">
        <v>29.37</v>
      </c>
      <c r="NV37">
        <v>12.718</v>
      </c>
      <c r="NW37">
        <v>0</v>
      </c>
      <c r="NX37">
        <v>3.0000000000000001E-3</v>
      </c>
      <c r="NY37">
        <v>5.306</v>
      </c>
      <c r="NZ37">
        <v>8.0000000000000002E-3</v>
      </c>
      <c r="OA37">
        <v>5.9200000000000003E-2</v>
      </c>
      <c r="OB37">
        <v>0.41439999999999999</v>
      </c>
      <c r="OC37">
        <v>1.5389999999999999</v>
      </c>
      <c r="OD37">
        <v>5.63</v>
      </c>
      <c r="OE37">
        <v>0.62250000000000005</v>
      </c>
      <c r="OF37" s="2">
        <v>3027.6460000000002</v>
      </c>
      <c r="OG37">
        <v>4.4400000000000004</v>
      </c>
      <c r="OH37" s="574">
        <v>7.63</v>
      </c>
      <c r="OI37">
        <v>374</v>
      </c>
      <c r="OJ37">
        <v>255</v>
      </c>
      <c r="OK37" s="574">
        <v>43.43</v>
      </c>
      <c r="OL37" s="574">
        <v>6.43</v>
      </c>
      <c r="OM37" s="574">
        <v>4.68</v>
      </c>
      <c r="ON37">
        <v>0.72619999999999996</v>
      </c>
      <c r="OO37">
        <v>0.1038</v>
      </c>
      <c r="OP37">
        <v>0.35520000000000002</v>
      </c>
      <c r="OQ37" s="574">
        <v>1.44</v>
      </c>
      <c r="OR37" s="574">
        <v>43.43</v>
      </c>
      <c r="OS37" s="574">
        <v>0.08</v>
      </c>
      <c r="OT37" s="574">
        <v>2.23</v>
      </c>
      <c r="OU37" s="574">
        <v>47.18</v>
      </c>
      <c r="OV37">
        <v>123</v>
      </c>
      <c r="OW37">
        <v>126</v>
      </c>
      <c r="OX37">
        <v>1.27</v>
      </c>
      <c r="OY37" s="1">
        <v>2472</v>
      </c>
      <c r="OZ37">
        <v>35.479999999999997</v>
      </c>
      <c r="PA37" s="1">
        <v>1951</v>
      </c>
      <c r="PB37">
        <v>7.22</v>
      </c>
      <c r="PC37">
        <v>44.95</v>
      </c>
      <c r="PD37">
        <v>0.2</v>
      </c>
      <c r="PE37">
        <v>397</v>
      </c>
      <c r="PF37">
        <v>0.95</v>
      </c>
      <c r="PG37" s="574">
        <v>0.61</v>
      </c>
      <c r="PH37">
        <v>1.21</v>
      </c>
      <c r="PI37">
        <v>29.67</v>
      </c>
      <c r="PJ37">
        <v>7.61</v>
      </c>
      <c r="PK37" s="574">
        <v>4.13</v>
      </c>
      <c r="PL37">
        <v>55</v>
      </c>
      <c r="PM37" s="4">
        <v>40438</v>
      </c>
      <c r="PN37" s="4">
        <v>30626</v>
      </c>
      <c r="PO37">
        <v>5.45E-2</v>
      </c>
      <c r="PP37">
        <v>0.33900000000000002</v>
      </c>
      <c r="PQ37">
        <v>6.9000000000000006E-2</v>
      </c>
      <c r="PR37">
        <v>7.7999999999999996E-3</v>
      </c>
      <c r="PS37">
        <v>4.8399999999999999E-2</v>
      </c>
      <c r="PT37">
        <v>9.9000000000000008E-3</v>
      </c>
      <c r="PU37" s="3">
        <v>1</v>
      </c>
      <c r="PV37" s="3">
        <v>0.1429</v>
      </c>
      <c r="PW37" s="3">
        <v>0.85709999999999997</v>
      </c>
      <c r="PX37" s="3">
        <v>0.24260000000000001</v>
      </c>
      <c r="PY37" s="3">
        <v>0.75739999999999996</v>
      </c>
      <c r="PZ37" s="3">
        <v>0.14810000000000001</v>
      </c>
      <c r="QA37" s="3">
        <v>2.2200000000000001E-2</v>
      </c>
      <c r="QB37" s="3">
        <v>0.1641</v>
      </c>
      <c r="QC37" s="3">
        <v>1.8100000000000002E-2</v>
      </c>
      <c r="QD37" s="3">
        <v>0.1757</v>
      </c>
      <c r="QE37" s="3">
        <v>0.10780000000000001</v>
      </c>
      <c r="QF37" s="3">
        <v>0.5121</v>
      </c>
      <c r="QG37" s="3">
        <v>0.67620000000000002</v>
      </c>
      <c r="QH37" s="3">
        <v>1.6000000000000001E-3</v>
      </c>
      <c r="QI37" s="3">
        <v>0.92049999999999998</v>
      </c>
      <c r="QJ37" s="3">
        <v>4.7300000000000002E-2</v>
      </c>
      <c r="QK37" s="3">
        <v>3.0599999999999999E-2</v>
      </c>
      <c r="QL37" s="4">
        <v>9812</v>
      </c>
      <c r="QM37">
        <v>6.01</v>
      </c>
      <c r="QN37" s="1">
        <v>9639</v>
      </c>
      <c r="QO37" s="1">
        <v>9639</v>
      </c>
      <c r="QP37" s="1">
        <v>1377</v>
      </c>
      <c r="QQ37" s="3">
        <v>0.72789999999999999</v>
      </c>
      <c r="QR37" s="3">
        <v>0.15</v>
      </c>
      <c r="QS37" s="3">
        <v>0.1221</v>
      </c>
      <c r="QT37" s="3">
        <v>0.1429</v>
      </c>
      <c r="QU37">
        <v>0.6</v>
      </c>
      <c r="QV37">
        <v>1.87</v>
      </c>
      <c r="QW37">
        <v>0.45</v>
      </c>
      <c r="QX37">
        <v>14</v>
      </c>
      <c r="QY37">
        <v>2.85</v>
      </c>
      <c r="QZ37">
        <v>17</v>
      </c>
      <c r="RA37">
        <v>2.0699999999999998</v>
      </c>
      <c r="RB37">
        <v>0.31</v>
      </c>
      <c r="RC37">
        <v>0.28000000000000003</v>
      </c>
    </row>
    <row r="38" spans="1:471" x14ac:dyDescent="0.25">
      <c r="A38" t="s">
        <v>828</v>
      </c>
      <c r="B38">
        <v>11673</v>
      </c>
      <c r="C38" t="s">
        <v>1754</v>
      </c>
      <c r="D38" t="s">
        <v>1754</v>
      </c>
      <c r="E38" t="s">
        <v>1754</v>
      </c>
      <c r="F38" t="s">
        <v>1755</v>
      </c>
      <c r="G38" t="s">
        <v>1755</v>
      </c>
      <c r="H38" t="s">
        <v>829</v>
      </c>
      <c r="I38" t="s">
        <v>342</v>
      </c>
      <c r="J38" t="s">
        <v>343</v>
      </c>
      <c r="K38" t="s">
        <v>344</v>
      </c>
      <c r="L38" t="s">
        <v>345</v>
      </c>
      <c r="M38" t="s">
        <v>346</v>
      </c>
      <c r="N38" t="s">
        <v>347</v>
      </c>
      <c r="O38" s="1">
        <v>58547</v>
      </c>
      <c r="P38" t="s">
        <v>348</v>
      </c>
      <c r="Q38">
        <v>334</v>
      </c>
      <c r="R38">
        <v>91</v>
      </c>
      <c r="S38">
        <v>32</v>
      </c>
      <c r="T38">
        <v>17</v>
      </c>
      <c r="U38" s="1">
        <v>1676</v>
      </c>
      <c r="V38">
        <v>123</v>
      </c>
      <c r="W38" s="1">
        <v>13972</v>
      </c>
      <c r="X38" s="1">
        <v>2152</v>
      </c>
      <c r="Y38" s="1">
        <v>51053</v>
      </c>
      <c r="AC38" t="s">
        <v>830</v>
      </c>
      <c r="AD38" t="s">
        <v>831</v>
      </c>
      <c r="AE38">
        <v>27565</v>
      </c>
      <c r="AF38">
        <v>339</v>
      </c>
      <c r="AG38" t="s">
        <v>832</v>
      </c>
      <c r="AH38" t="s">
        <v>831</v>
      </c>
      <c r="AI38">
        <v>27565</v>
      </c>
      <c r="AJ38">
        <v>2</v>
      </c>
      <c r="AK38" t="s">
        <v>833</v>
      </c>
      <c r="AM38" t="s">
        <v>0</v>
      </c>
      <c r="AN38" t="s">
        <v>834</v>
      </c>
      <c r="AO38" t="s">
        <v>835</v>
      </c>
      <c r="AP38">
        <v>9196931121</v>
      </c>
      <c r="AQ38" t="s">
        <v>837</v>
      </c>
      <c r="AR38" t="s">
        <v>838</v>
      </c>
      <c r="AS38" t="s">
        <v>835</v>
      </c>
      <c r="AT38" t="s">
        <v>376</v>
      </c>
      <c r="AU38" t="s">
        <v>836</v>
      </c>
      <c r="AV38" t="s">
        <v>837</v>
      </c>
      <c r="AW38" t="s">
        <v>838</v>
      </c>
      <c r="AX38" t="s">
        <v>839</v>
      </c>
      <c r="AY38">
        <v>0</v>
      </c>
      <c r="AZ38">
        <v>0</v>
      </c>
      <c r="BA38">
        <v>0</v>
      </c>
      <c r="BB38" s="573">
        <v>42186</v>
      </c>
      <c r="BC38" s="573">
        <v>42551</v>
      </c>
      <c r="BD38">
        <v>1</v>
      </c>
      <c r="BE38">
        <v>3</v>
      </c>
      <c r="BF38">
        <v>0</v>
      </c>
      <c r="BG38">
        <v>0</v>
      </c>
      <c r="BH38">
        <v>4</v>
      </c>
      <c r="BJ38" s="1">
        <v>7644</v>
      </c>
      <c r="BK38">
        <v>5</v>
      </c>
      <c r="BL38">
        <v>0</v>
      </c>
      <c r="BM38">
        <v>5</v>
      </c>
      <c r="BN38">
        <v>18.5</v>
      </c>
      <c r="BO38">
        <v>23.5</v>
      </c>
      <c r="BP38" s="3">
        <v>0.21279999999999999</v>
      </c>
      <c r="BQ38" s="1">
        <v>3000</v>
      </c>
      <c r="BR38" s="4">
        <v>71400</v>
      </c>
      <c r="DW38" s="4">
        <v>0</v>
      </c>
      <c r="DX38" s="4">
        <v>1671280</v>
      </c>
      <c r="DY38" s="4">
        <v>1671280</v>
      </c>
      <c r="DZ38" s="4">
        <v>108926</v>
      </c>
      <c r="EA38" s="4">
        <v>0</v>
      </c>
      <c r="EB38" s="4">
        <v>108926</v>
      </c>
      <c r="EC38" s="4">
        <v>0</v>
      </c>
      <c r="ED38" s="4">
        <v>0</v>
      </c>
      <c r="EE38" s="4">
        <v>0</v>
      </c>
      <c r="EF38" s="4">
        <v>23985</v>
      </c>
      <c r="EG38" s="4">
        <v>1804191</v>
      </c>
      <c r="EH38" s="4">
        <v>525328</v>
      </c>
      <c r="EI38" s="4">
        <v>152094</v>
      </c>
      <c r="EJ38" s="4">
        <v>677422</v>
      </c>
      <c r="EK38" s="4">
        <v>132015</v>
      </c>
      <c r="EL38" s="4">
        <v>30438</v>
      </c>
      <c r="EM38" s="4">
        <v>14651</v>
      </c>
      <c r="EN38" s="4">
        <v>177104</v>
      </c>
      <c r="EO38" s="4">
        <v>130017</v>
      </c>
      <c r="EP38" s="4">
        <v>984543</v>
      </c>
      <c r="EQ38" s="4">
        <v>819648</v>
      </c>
      <c r="ER38" s="3">
        <v>0.45429999999999998</v>
      </c>
      <c r="ES38" s="4">
        <v>622000</v>
      </c>
      <c r="ET38" s="4">
        <v>0</v>
      </c>
      <c r="EU38" s="4">
        <v>0</v>
      </c>
      <c r="EV38" s="4">
        <v>0</v>
      </c>
      <c r="EW38" s="4">
        <v>622000</v>
      </c>
      <c r="EX38" s="4">
        <v>0</v>
      </c>
      <c r="EY38" s="1">
        <v>21552</v>
      </c>
      <c r="EZ38" s="1">
        <v>214403</v>
      </c>
      <c r="FA38" s="1">
        <v>54260</v>
      </c>
      <c r="FB38" s="1">
        <v>8383</v>
      </c>
      <c r="FC38" s="1">
        <v>28355</v>
      </c>
      <c r="FD38" s="1">
        <v>36238</v>
      </c>
      <c r="FE38" s="1">
        <v>1562</v>
      </c>
      <c r="FF38" s="1">
        <v>12104</v>
      </c>
      <c r="FG38" s="1">
        <v>90498</v>
      </c>
      <c r="FH38" s="1">
        <v>9945</v>
      </c>
      <c r="FI38" s="1">
        <v>40459</v>
      </c>
      <c r="FJ38" s="1">
        <v>140902</v>
      </c>
      <c r="FK38">
        <v>970</v>
      </c>
      <c r="FL38">
        <v>172</v>
      </c>
      <c r="FN38" s="1">
        <v>140902</v>
      </c>
      <c r="FO38" s="1">
        <v>4951</v>
      </c>
      <c r="FP38" s="1">
        <v>8195</v>
      </c>
      <c r="FQ38">
        <v>0</v>
      </c>
      <c r="FR38">
        <v>5</v>
      </c>
      <c r="FS38">
        <v>74</v>
      </c>
      <c r="FT38">
        <v>79</v>
      </c>
      <c r="FU38" s="1">
        <v>26725</v>
      </c>
      <c r="FV38" s="1">
        <v>2022</v>
      </c>
      <c r="FW38">
        <v>0</v>
      </c>
      <c r="GC38" s="1">
        <v>23798</v>
      </c>
      <c r="GD38" s="1">
        <v>1183</v>
      </c>
      <c r="GE38">
        <v>205</v>
      </c>
      <c r="GI38">
        <v>0</v>
      </c>
      <c r="GK38">
        <v>0</v>
      </c>
      <c r="GL38" s="1">
        <v>5201</v>
      </c>
      <c r="GM38">
        <v>0</v>
      </c>
      <c r="GN38">
        <v>0</v>
      </c>
      <c r="GO38" s="1">
        <v>50523</v>
      </c>
      <c r="GP38" s="1">
        <v>8406</v>
      </c>
      <c r="GQ38">
        <v>205</v>
      </c>
      <c r="GR38">
        <v>0</v>
      </c>
      <c r="GS38">
        <v>12</v>
      </c>
      <c r="GU38" s="1">
        <v>41924</v>
      </c>
      <c r="GV38" s="1">
        <v>6021</v>
      </c>
      <c r="GW38" s="1">
        <v>38850</v>
      </c>
      <c r="GX38" s="1">
        <v>11196</v>
      </c>
      <c r="GY38">
        <v>415</v>
      </c>
      <c r="GZ38" s="1">
        <v>9361</v>
      </c>
      <c r="HA38" s="1">
        <v>53120</v>
      </c>
      <c r="HB38" s="1">
        <v>6436</v>
      </c>
      <c r="HC38" s="1">
        <v>48211</v>
      </c>
      <c r="HD38" s="1">
        <v>107767</v>
      </c>
      <c r="HE38" s="1">
        <v>1286</v>
      </c>
      <c r="HF38" s="1">
        <v>109053</v>
      </c>
      <c r="HG38" s="1">
        <v>3762</v>
      </c>
      <c r="HH38" s="1">
        <v>22995</v>
      </c>
      <c r="HI38">
        <v>0</v>
      </c>
      <c r="HJ38" s="1">
        <v>1034</v>
      </c>
      <c r="HK38" s="1">
        <v>27791</v>
      </c>
      <c r="HL38" s="1">
        <v>136844</v>
      </c>
      <c r="HM38">
        <v>48</v>
      </c>
      <c r="HN38" s="1">
        <v>10860</v>
      </c>
      <c r="HO38" s="1">
        <v>10908</v>
      </c>
      <c r="HP38">
        <v>467</v>
      </c>
      <c r="HQ38">
        <v>635</v>
      </c>
      <c r="HR38" s="1">
        <v>1102</v>
      </c>
      <c r="HS38">
        <v>0</v>
      </c>
      <c r="HT38">
        <v>6</v>
      </c>
      <c r="HU38">
        <v>6</v>
      </c>
      <c r="HV38">
        <v>0</v>
      </c>
      <c r="HW38" s="1">
        <v>12016</v>
      </c>
      <c r="HX38" s="1">
        <v>12791</v>
      </c>
      <c r="HY38">
        <v>0</v>
      </c>
      <c r="HZ38" s="1">
        <v>12791</v>
      </c>
      <c r="IA38" s="1">
        <v>24807</v>
      </c>
      <c r="IB38" s="1">
        <v>4864</v>
      </c>
      <c r="IC38" s="1">
        <v>27865</v>
      </c>
      <c r="ID38" s="1">
        <v>148860</v>
      </c>
      <c r="IE38" s="1">
        <v>148860</v>
      </c>
      <c r="IF38" s="1">
        <v>161651</v>
      </c>
      <c r="IG38" s="1">
        <v>51843</v>
      </c>
      <c r="IH38">
        <v>0</v>
      </c>
      <c r="IL38" s="3">
        <v>3.9199999999999999E-2</v>
      </c>
      <c r="IM38" s="3">
        <v>8.0000000000000004E-4</v>
      </c>
      <c r="IN38" s="3">
        <v>0.27579999999999999</v>
      </c>
      <c r="IO38" s="3">
        <v>0</v>
      </c>
      <c r="IP38" s="3">
        <v>0.2356</v>
      </c>
      <c r="IQ38" s="3">
        <v>4.0000000000000002E-4</v>
      </c>
      <c r="IR38" s="3">
        <v>0.65720000000000001</v>
      </c>
      <c r="IS38" s="3">
        <v>6.2300000000000001E-2</v>
      </c>
      <c r="IT38" s="3">
        <v>0.3483</v>
      </c>
      <c r="IU38" s="1">
        <v>28905</v>
      </c>
      <c r="IV38" s="1">
        <v>11179</v>
      </c>
      <c r="IW38" s="1">
        <v>40084</v>
      </c>
      <c r="IX38" s="3">
        <v>0.68459999999999999</v>
      </c>
      <c r="IY38" s="1">
        <v>186749</v>
      </c>
      <c r="JA38">
        <v>73</v>
      </c>
      <c r="JB38">
        <v>52</v>
      </c>
      <c r="JC38">
        <v>210</v>
      </c>
      <c r="JD38">
        <v>7</v>
      </c>
      <c r="JE38">
        <v>3</v>
      </c>
      <c r="JF38">
        <v>3</v>
      </c>
      <c r="JG38">
        <v>80</v>
      </c>
      <c r="JH38">
        <v>55</v>
      </c>
      <c r="JI38">
        <v>213</v>
      </c>
      <c r="JJ38">
        <v>348</v>
      </c>
      <c r="JK38">
        <v>335</v>
      </c>
      <c r="JL38">
        <v>13</v>
      </c>
      <c r="JM38" s="1">
        <v>1315</v>
      </c>
      <c r="JN38">
        <v>983</v>
      </c>
      <c r="JO38" s="1">
        <v>4210</v>
      </c>
      <c r="JP38">
        <v>12</v>
      </c>
      <c r="JQ38">
        <v>96</v>
      </c>
      <c r="JR38">
        <v>406</v>
      </c>
      <c r="JS38" s="1">
        <v>1327</v>
      </c>
      <c r="JT38" s="1">
        <v>1079</v>
      </c>
      <c r="JU38" s="1">
        <v>4616</v>
      </c>
      <c r="JV38" s="1">
        <v>7022</v>
      </c>
      <c r="JW38" s="1">
        <v>6508</v>
      </c>
      <c r="JX38">
        <v>514</v>
      </c>
      <c r="JY38">
        <v>20.18</v>
      </c>
      <c r="JZ38">
        <v>16.59</v>
      </c>
      <c r="KA38">
        <v>21.67</v>
      </c>
      <c r="KB38">
        <v>0.19</v>
      </c>
      <c r="KC38">
        <v>0.66</v>
      </c>
      <c r="KD38">
        <v>230</v>
      </c>
      <c r="KE38" s="1">
        <v>9001</v>
      </c>
      <c r="KF38">
        <v>12</v>
      </c>
      <c r="KG38">
        <v>120</v>
      </c>
      <c r="KN38" s="1">
        <v>23714</v>
      </c>
      <c r="KO38" s="1">
        <v>9847</v>
      </c>
      <c r="KP38">
        <v>857</v>
      </c>
      <c r="KR38">
        <v>300</v>
      </c>
      <c r="KS38" s="1">
        <v>7400</v>
      </c>
      <c r="KT38">
        <v>26</v>
      </c>
      <c r="KU38">
        <v>76</v>
      </c>
      <c r="KV38">
        <v>22</v>
      </c>
      <c r="KW38">
        <v>46</v>
      </c>
      <c r="KX38" s="1">
        <v>54850</v>
      </c>
      <c r="LD38" t="s">
        <v>840</v>
      </c>
      <c r="LE38" t="s">
        <v>379</v>
      </c>
      <c r="LF38" t="s">
        <v>830</v>
      </c>
      <c r="LG38" t="s">
        <v>831</v>
      </c>
      <c r="LH38">
        <v>27565</v>
      </c>
      <c r="LI38">
        <v>339</v>
      </c>
      <c r="LJ38" t="s">
        <v>832</v>
      </c>
      <c r="LK38" t="s">
        <v>831</v>
      </c>
      <c r="LL38">
        <v>27565</v>
      </c>
      <c r="LM38">
        <v>339</v>
      </c>
      <c r="LN38" t="s">
        <v>834</v>
      </c>
      <c r="LO38">
        <v>9196931121</v>
      </c>
      <c r="LP38">
        <v>9196932244</v>
      </c>
      <c r="LQ38" s="1">
        <v>31653</v>
      </c>
      <c r="LR38">
        <v>18</v>
      </c>
      <c r="LT38" s="1">
        <v>7644</v>
      </c>
      <c r="LU38">
        <v>208</v>
      </c>
      <c r="LX38">
        <v>2</v>
      </c>
      <c r="LY38" t="s">
        <v>841</v>
      </c>
      <c r="LZ38">
        <v>0</v>
      </c>
      <c r="MA38" t="s">
        <v>363</v>
      </c>
      <c r="MB38">
        <v>1.4</v>
      </c>
      <c r="MC38">
        <v>1.6</v>
      </c>
      <c r="ME38" s="574">
        <v>6.61</v>
      </c>
      <c r="MF38" s="574">
        <v>4.55</v>
      </c>
      <c r="MG38" s="574">
        <v>1.19</v>
      </c>
      <c r="MH38" s="574">
        <v>24.56</v>
      </c>
      <c r="MI38" s="574">
        <v>16.899999999999999</v>
      </c>
      <c r="MJ38" s="574">
        <v>4.42</v>
      </c>
      <c r="MK38" s="574">
        <v>5.27</v>
      </c>
      <c r="ML38" s="574">
        <v>3.63</v>
      </c>
      <c r="MM38" s="574">
        <v>0.95</v>
      </c>
      <c r="MN38" s="574">
        <v>41.52</v>
      </c>
      <c r="MO38" s="574">
        <v>28.57</v>
      </c>
      <c r="MP38" s="574">
        <v>7.47</v>
      </c>
      <c r="MQ38" s="574">
        <v>140.21</v>
      </c>
      <c r="MR38" s="574">
        <v>96.47</v>
      </c>
      <c r="MS38" s="574">
        <v>25.22</v>
      </c>
      <c r="MT38" s="574">
        <v>18.989999999999998</v>
      </c>
      <c r="MU38" s="574">
        <v>13.07</v>
      </c>
      <c r="MV38" s="574">
        <v>3.42</v>
      </c>
      <c r="MW38" s="1">
        <v>1009</v>
      </c>
      <c r="MX38" s="1">
        <v>4743</v>
      </c>
      <c r="MY38" s="1">
        <v>4743</v>
      </c>
      <c r="MZ38" s="1">
        <v>7947</v>
      </c>
      <c r="NA38" s="1">
        <v>37350</v>
      </c>
      <c r="NB38" s="1">
        <v>37350</v>
      </c>
      <c r="NC38" s="1">
        <v>29772</v>
      </c>
      <c r="ND38" s="1">
        <v>29772</v>
      </c>
      <c r="NE38">
        <v>0.69</v>
      </c>
      <c r="NF38" s="1">
        <v>6334</v>
      </c>
      <c r="NG38">
        <v>3.05</v>
      </c>
      <c r="NH38">
        <v>2.5430000000000001</v>
      </c>
      <c r="NI38">
        <v>3.19</v>
      </c>
      <c r="NJ38">
        <v>0.65</v>
      </c>
      <c r="NK38">
        <v>1.9</v>
      </c>
      <c r="NL38">
        <v>0.40500000000000003</v>
      </c>
      <c r="NM38">
        <v>0.88549999999999995</v>
      </c>
      <c r="NN38">
        <v>0.68</v>
      </c>
      <c r="NO38">
        <v>0.12</v>
      </c>
      <c r="NP38">
        <v>0</v>
      </c>
      <c r="NQ38">
        <v>0</v>
      </c>
      <c r="NR38">
        <v>0.94</v>
      </c>
      <c r="NS38">
        <v>0.02</v>
      </c>
      <c r="NT38">
        <v>0.08</v>
      </c>
      <c r="NU38" s="574">
        <v>11.57</v>
      </c>
      <c r="NV38">
        <v>3.6619999999999999</v>
      </c>
      <c r="NW38">
        <v>0</v>
      </c>
      <c r="NX38">
        <v>3.0000000000000001E-3</v>
      </c>
      <c r="NY38">
        <v>0.86299999999999999</v>
      </c>
      <c r="NZ38">
        <v>1E-3</v>
      </c>
      <c r="OA38">
        <v>0.12470000000000001</v>
      </c>
      <c r="OB38">
        <v>0.58630000000000004</v>
      </c>
      <c r="OC38">
        <v>4.2910000000000004</v>
      </c>
      <c r="OD38">
        <v>2.407</v>
      </c>
      <c r="OE38">
        <v>0.316</v>
      </c>
      <c r="OF38" s="2">
        <v>1260.4280000000001</v>
      </c>
      <c r="OG38">
        <v>1.9710000000000001</v>
      </c>
      <c r="OH38" s="574">
        <v>2.2200000000000002</v>
      </c>
      <c r="OI38">
        <v>333</v>
      </c>
      <c r="OJ38">
        <v>210</v>
      </c>
      <c r="OK38" s="574">
        <v>16.82</v>
      </c>
      <c r="OL38" s="574">
        <v>3.02</v>
      </c>
      <c r="OM38" s="574">
        <v>2.25</v>
      </c>
      <c r="ON38">
        <v>0.40139999999999998</v>
      </c>
      <c r="OO38">
        <v>8.5400000000000004E-2</v>
      </c>
      <c r="OP38">
        <v>0.46150000000000002</v>
      </c>
      <c r="OQ38" s="574">
        <v>1.86</v>
      </c>
      <c r="OR38" s="574">
        <v>28.55</v>
      </c>
      <c r="OS38" s="574">
        <v>0</v>
      </c>
      <c r="OT38" s="574">
        <v>0.41</v>
      </c>
      <c r="OU38" s="574">
        <v>30.82</v>
      </c>
      <c r="OV38">
        <v>1</v>
      </c>
      <c r="OW38">
        <v>1</v>
      </c>
      <c r="OX38">
        <v>0.8</v>
      </c>
      <c r="OY38" s="1">
        <v>2863</v>
      </c>
      <c r="OZ38">
        <v>24.43</v>
      </c>
      <c r="PA38" s="1">
        <v>3591</v>
      </c>
      <c r="PB38">
        <v>3.1</v>
      </c>
      <c r="PC38">
        <v>19.47</v>
      </c>
      <c r="PD38">
        <v>0.13</v>
      </c>
      <c r="PE38">
        <v>456</v>
      </c>
      <c r="PF38">
        <v>1.44</v>
      </c>
      <c r="PG38" s="574">
        <v>0.95</v>
      </c>
      <c r="PH38">
        <v>1.1499999999999999</v>
      </c>
      <c r="PI38">
        <v>13.06</v>
      </c>
      <c r="PJ38">
        <v>3.71</v>
      </c>
      <c r="PK38" s="574">
        <v>5.27</v>
      </c>
      <c r="PL38">
        <v>36.75</v>
      </c>
      <c r="PM38" s="4">
        <v>28826</v>
      </c>
      <c r="PN38" s="4">
        <v>22354</v>
      </c>
      <c r="PO38">
        <v>0.15790000000000001</v>
      </c>
      <c r="PP38">
        <v>0.99099999999999999</v>
      </c>
      <c r="PQ38">
        <v>0.1258</v>
      </c>
      <c r="PR38">
        <v>3.3599999999999998E-2</v>
      </c>
      <c r="PS38">
        <v>0.2109</v>
      </c>
      <c r="PT38">
        <v>2.6800000000000001E-2</v>
      </c>
      <c r="PU38" s="3">
        <v>1</v>
      </c>
      <c r="PV38" s="3">
        <v>0.21279999999999999</v>
      </c>
      <c r="PW38" s="3">
        <v>0.78720000000000001</v>
      </c>
      <c r="PX38" s="3">
        <v>0.22450000000000001</v>
      </c>
      <c r="PY38" s="3">
        <v>0.77549999999999997</v>
      </c>
      <c r="PZ38" s="3">
        <v>0.1799</v>
      </c>
      <c r="QA38" s="3">
        <v>3.09E-2</v>
      </c>
      <c r="QB38" s="3">
        <v>0.1545</v>
      </c>
      <c r="QC38" s="3">
        <v>1.49E-2</v>
      </c>
      <c r="QD38" s="3">
        <v>0.1321</v>
      </c>
      <c r="QE38" s="3">
        <v>0.1341</v>
      </c>
      <c r="QF38" s="3">
        <v>0.53359999999999996</v>
      </c>
      <c r="QG38" s="3">
        <v>0.68810000000000004</v>
      </c>
      <c r="QH38" s="3">
        <v>0</v>
      </c>
      <c r="QI38" s="3">
        <v>0.92630000000000001</v>
      </c>
      <c r="QJ38" s="3">
        <v>1.3299999999999999E-2</v>
      </c>
      <c r="QK38" s="3">
        <v>6.0400000000000002E-2</v>
      </c>
      <c r="QL38" s="4">
        <v>6472</v>
      </c>
      <c r="QM38">
        <v>4.66</v>
      </c>
      <c r="QN38" s="1">
        <v>11709</v>
      </c>
      <c r="QO38" s="1">
        <v>11709</v>
      </c>
      <c r="QP38" s="1">
        <v>2491</v>
      </c>
      <c r="QQ38" s="3">
        <v>0.74539999999999995</v>
      </c>
      <c r="QR38" s="3">
        <v>0.1719</v>
      </c>
      <c r="QS38" s="3">
        <v>8.2699999999999996E-2</v>
      </c>
      <c r="QT38" s="3">
        <v>0.21279999999999999</v>
      </c>
      <c r="QU38">
        <v>0.28000000000000003</v>
      </c>
      <c r="QV38">
        <v>0.98</v>
      </c>
      <c r="QW38">
        <v>0.22</v>
      </c>
      <c r="QX38">
        <v>5</v>
      </c>
      <c r="QY38">
        <v>1.1299999999999999</v>
      </c>
      <c r="QZ38">
        <v>10</v>
      </c>
      <c r="RA38">
        <v>0.84</v>
      </c>
      <c r="RB38">
        <v>0.15</v>
      </c>
      <c r="RC38">
        <v>0.08</v>
      </c>
    </row>
    <row r="39" spans="1:471" x14ac:dyDescent="0.25">
      <c r="A39" t="s">
        <v>842</v>
      </c>
      <c r="B39">
        <v>11674</v>
      </c>
      <c r="C39" t="s">
        <v>1754</v>
      </c>
      <c r="D39" t="s">
        <v>1754</v>
      </c>
      <c r="E39" t="s">
        <v>1754</v>
      </c>
      <c r="F39" t="s">
        <v>1755</v>
      </c>
      <c r="G39" t="s">
        <v>1755</v>
      </c>
      <c r="H39" t="s">
        <v>843</v>
      </c>
      <c r="I39" t="s">
        <v>342</v>
      </c>
      <c r="J39" t="s">
        <v>559</v>
      </c>
      <c r="K39" t="s">
        <v>344</v>
      </c>
      <c r="L39" t="s">
        <v>345</v>
      </c>
      <c r="M39" t="s">
        <v>457</v>
      </c>
      <c r="N39" t="s">
        <v>347</v>
      </c>
      <c r="O39" s="1">
        <v>407375</v>
      </c>
      <c r="P39" t="s">
        <v>348</v>
      </c>
      <c r="Q39" s="1">
        <v>5107</v>
      </c>
      <c r="R39" s="1">
        <v>1089</v>
      </c>
      <c r="S39">
        <v>556</v>
      </c>
      <c r="T39">
        <v>120</v>
      </c>
      <c r="U39" s="1">
        <v>23227</v>
      </c>
      <c r="V39" s="1">
        <v>1448</v>
      </c>
      <c r="W39" s="1">
        <v>182355</v>
      </c>
      <c r="X39" s="1">
        <v>21539</v>
      </c>
      <c r="Y39" s="1">
        <v>1451774</v>
      </c>
      <c r="Z39" s="1">
        <v>504332</v>
      </c>
      <c r="AC39" t="s">
        <v>844</v>
      </c>
      <c r="AD39" t="s">
        <v>845</v>
      </c>
      <c r="AE39">
        <v>27402</v>
      </c>
      <c r="AF39">
        <v>3178</v>
      </c>
      <c r="AG39" t="s">
        <v>846</v>
      </c>
      <c r="AH39" t="s">
        <v>845</v>
      </c>
      <c r="AI39">
        <v>27401</v>
      </c>
      <c r="AJ39">
        <v>3</v>
      </c>
      <c r="AK39" t="s">
        <v>847</v>
      </c>
      <c r="AM39" t="s">
        <v>564</v>
      </c>
      <c r="AN39" t="s">
        <v>848</v>
      </c>
      <c r="AO39" t="s">
        <v>849</v>
      </c>
      <c r="AP39">
        <v>3363732716</v>
      </c>
      <c r="AQ39" t="s">
        <v>850</v>
      </c>
      <c r="AR39" t="s">
        <v>851</v>
      </c>
      <c r="AS39" t="s">
        <v>852</v>
      </c>
      <c r="AT39" t="s">
        <v>1915</v>
      </c>
      <c r="AU39" t="s">
        <v>853</v>
      </c>
      <c r="AV39" t="s">
        <v>850</v>
      </c>
      <c r="AW39" t="s">
        <v>854</v>
      </c>
      <c r="AX39" t="s">
        <v>855</v>
      </c>
      <c r="AY39">
        <v>0</v>
      </c>
      <c r="AZ39">
        <v>0</v>
      </c>
      <c r="BA39">
        <v>0</v>
      </c>
      <c r="BB39" s="573">
        <v>42186</v>
      </c>
      <c r="BC39" s="573">
        <v>42551</v>
      </c>
      <c r="BD39">
        <v>1</v>
      </c>
      <c r="BE39">
        <v>7</v>
      </c>
      <c r="BF39">
        <v>0</v>
      </c>
      <c r="BG39">
        <v>0</v>
      </c>
      <c r="BH39">
        <v>8</v>
      </c>
      <c r="BJ39" s="1">
        <v>28517</v>
      </c>
      <c r="BK39">
        <v>27</v>
      </c>
      <c r="BL39">
        <v>0</v>
      </c>
      <c r="BM39">
        <v>27</v>
      </c>
      <c r="BN39">
        <v>69</v>
      </c>
      <c r="BO39">
        <v>96</v>
      </c>
      <c r="BP39" s="3">
        <v>0.28129999999999999</v>
      </c>
      <c r="BQ39" s="1">
        <v>19153</v>
      </c>
      <c r="BR39" s="4">
        <v>113113</v>
      </c>
      <c r="DW39" s="4">
        <v>6776573</v>
      </c>
      <c r="DX39" s="4">
        <v>1356847</v>
      </c>
      <c r="DY39" s="4">
        <v>8133420</v>
      </c>
      <c r="DZ39" s="4">
        <v>383054</v>
      </c>
      <c r="EA39" s="4">
        <v>0</v>
      </c>
      <c r="EB39" s="4">
        <v>383054</v>
      </c>
      <c r="EC39" s="4">
        <v>0</v>
      </c>
      <c r="ED39" s="4">
        <v>0</v>
      </c>
      <c r="EE39" s="4">
        <v>0</v>
      </c>
      <c r="EF39" s="4">
        <v>206425</v>
      </c>
      <c r="EG39" s="4">
        <v>8722899</v>
      </c>
      <c r="EH39" s="4">
        <v>4054304</v>
      </c>
      <c r="EI39" s="4">
        <v>1455096</v>
      </c>
      <c r="EJ39" s="4">
        <v>5509400</v>
      </c>
      <c r="EK39" s="4">
        <v>519496</v>
      </c>
      <c r="EL39" s="4">
        <v>266302</v>
      </c>
      <c r="EM39" s="4">
        <v>245509</v>
      </c>
      <c r="EN39" s="4">
        <v>1031307</v>
      </c>
      <c r="EO39" s="4">
        <v>1511513</v>
      </c>
      <c r="EP39" s="4">
        <v>8052220</v>
      </c>
      <c r="EQ39" s="4">
        <v>670679</v>
      </c>
      <c r="ER39" s="3">
        <v>7.6899999999999996E-2</v>
      </c>
      <c r="ES39" s="4">
        <v>0</v>
      </c>
      <c r="ET39" s="4">
        <v>0</v>
      </c>
      <c r="EU39" s="4">
        <v>0</v>
      </c>
      <c r="EV39" s="4">
        <v>0</v>
      </c>
      <c r="EW39" s="4">
        <v>0</v>
      </c>
      <c r="EX39" s="4">
        <v>0</v>
      </c>
      <c r="EY39" s="1">
        <v>102544</v>
      </c>
      <c r="EZ39" s="1">
        <v>738621</v>
      </c>
      <c r="FA39" s="1">
        <v>123636</v>
      </c>
      <c r="FB39" s="1">
        <v>27350</v>
      </c>
      <c r="FC39" s="1">
        <v>130039</v>
      </c>
      <c r="FD39" s="1">
        <v>168210</v>
      </c>
      <c r="FE39" s="1">
        <v>2597</v>
      </c>
      <c r="FF39" s="1">
        <v>72986</v>
      </c>
      <c r="FG39" s="1">
        <v>291846</v>
      </c>
      <c r="FH39" s="1">
        <v>29947</v>
      </c>
      <c r="FI39" s="1">
        <v>203025</v>
      </c>
      <c r="FJ39" s="1">
        <v>524818</v>
      </c>
      <c r="FK39" s="1">
        <v>1167</v>
      </c>
      <c r="FL39">
        <v>687</v>
      </c>
      <c r="FN39" s="1">
        <v>524818</v>
      </c>
      <c r="FO39" s="1">
        <v>21271</v>
      </c>
      <c r="FP39" s="1">
        <v>55550</v>
      </c>
      <c r="FQ39" s="1">
        <v>10469</v>
      </c>
      <c r="FR39">
        <v>14</v>
      </c>
      <c r="FS39">
        <v>74</v>
      </c>
      <c r="FT39">
        <v>88</v>
      </c>
      <c r="FU39" s="1">
        <v>26725</v>
      </c>
      <c r="FV39" s="1">
        <v>2022</v>
      </c>
      <c r="FW39">
        <v>0</v>
      </c>
      <c r="GG39" s="1">
        <v>34298</v>
      </c>
      <c r="GH39" s="1">
        <v>13913</v>
      </c>
      <c r="GI39">
        <v>370</v>
      </c>
      <c r="GJ39">
        <v>87</v>
      </c>
      <c r="GK39" s="1">
        <v>37738</v>
      </c>
      <c r="GL39" s="1">
        <v>9251</v>
      </c>
      <c r="GM39">
        <v>167</v>
      </c>
      <c r="GN39">
        <v>0</v>
      </c>
      <c r="GO39" s="1">
        <v>98761</v>
      </c>
      <c r="GP39" s="1">
        <v>25186</v>
      </c>
      <c r="GQ39">
        <v>537</v>
      </c>
      <c r="GR39">
        <v>87</v>
      </c>
      <c r="GS39">
        <v>86</v>
      </c>
      <c r="GU39" s="1">
        <v>260959</v>
      </c>
      <c r="GV39" s="1">
        <v>61944</v>
      </c>
      <c r="GW39" s="1">
        <v>538290</v>
      </c>
      <c r="GX39" s="1">
        <v>114398</v>
      </c>
      <c r="GY39" s="1">
        <v>1866</v>
      </c>
      <c r="GZ39" s="1">
        <v>120473</v>
      </c>
      <c r="HA39" s="1">
        <v>375357</v>
      </c>
      <c r="HB39" s="1">
        <v>63810</v>
      </c>
      <c r="HC39" s="1">
        <v>658763</v>
      </c>
      <c r="HD39" s="1">
        <v>1097930</v>
      </c>
      <c r="HE39">
        <v>0</v>
      </c>
      <c r="HF39" s="1">
        <v>1097930</v>
      </c>
      <c r="HG39" s="1">
        <v>53824</v>
      </c>
      <c r="HH39" s="1">
        <v>300221</v>
      </c>
      <c r="HI39">
        <v>0</v>
      </c>
      <c r="HJ39" s="1">
        <v>3969</v>
      </c>
      <c r="HK39" s="1">
        <v>358014</v>
      </c>
      <c r="HL39" s="1">
        <v>1455944</v>
      </c>
      <c r="HM39">
        <v>241</v>
      </c>
      <c r="HN39" s="1">
        <v>201273</v>
      </c>
      <c r="HO39" s="1">
        <v>201514</v>
      </c>
      <c r="HP39">
        <v>73</v>
      </c>
      <c r="HQ39" s="1">
        <v>93154</v>
      </c>
      <c r="HR39" s="1">
        <v>93227</v>
      </c>
      <c r="HS39">
        <v>0</v>
      </c>
      <c r="HT39" s="1">
        <v>1202</v>
      </c>
      <c r="HU39" s="1">
        <v>1202</v>
      </c>
      <c r="HV39" s="1">
        <v>3308</v>
      </c>
      <c r="HW39" s="1">
        <v>299251</v>
      </c>
      <c r="HX39" s="1">
        <v>365169</v>
      </c>
      <c r="HY39" s="1">
        <v>60754</v>
      </c>
      <c r="HZ39" s="1">
        <v>425923</v>
      </c>
      <c r="IA39" s="1">
        <v>725174</v>
      </c>
      <c r="IB39" s="1">
        <v>147051</v>
      </c>
      <c r="IC39" s="1">
        <v>448474</v>
      </c>
      <c r="ID39" s="1">
        <v>1755195</v>
      </c>
      <c r="IE39" s="1">
        <v>1755195</v>
      </c>
      <c r="IF39" s="1">
        <v>2181118</v>
      </c>
      <c r="IG39" s="1">
        <v>722573</v>
      </c>
      <c r="IH39" s="1">
        <v>4309</v>
      </c>
      <c r="IK39">
        <v>1</v>
      </c>
      <c r="IL39" s="3">
        <v>7.5899999999999995E-2</v>
      </c>
      <c r="IM39" s="3">
        <v>8.9999999999999998E-4</v>
      </c>
      <c r="IN39" s="3">
        <v>0.16869999999999999</v>
      </c>
      <c r="IO39" s="3">
        <v>0</v>
      </c>
      <c r="IP39" s="3">
        <v>0.13370000000000001</v>
      </c>
      <c r="IQ39" s="3">
        <v>1E-4</v>
      </c>
      <c r="IR39" s="3">
        <v>0.71050000000000002</v>
      </c>
      <c r="IS39" s="3">
        <v>6.2899999999999998E-2</v>
      </c>
      <c r="IT39" s="3">
        <v>0.41170000000000001</v>
      </c>
      <c r="IU39" s="1">
        <v>205084</v>
      </c>
      <c r="IV39" s="1">
        <v>59586</v>
      </c>
      <c r="IW39" s="1">
        <v>264670</v>
      </c>
      <c r="IX39" s="3">
        <v>0.64970000000000006</v>
      </c>
      <c r="IY39" s="1">
        <v>2761627</v>
      </c>
      <c r="JA39" s="1">
        <v>1336</v>
      </c>
      <c r="JB39">
        <v>385</v>
      </c>
      <c r="JC39" s="1">
        <v>1808</v>
      </c>
      <c r="JD39">
        <v>99</v>
      </c>
      <c r="JE39">
        <v>47</v>
      </c>
      <c r="JF39">
        <v>535</v>
      </c>
      <c r="JG39" s="1">
        <v>1435</v>
      </c>
      <c r="JH39">
        <v>432</v>
      </c>
      <c r="JI39" s="1">
        <v>2343</v>
      </c>
      <c r="JJ39" s="1">
        <v>4210</v>
      </c>
      <c r="JK39" s="1">
        <v>3529</v>
      </c>
      <c r="JL39">
        <v>681</v>
      </c>
      <c r="JM39" s="1">
        <v>8523</v>
      </c>
      <c r="JN39" s="1">
        <v>3162</v>
      </c>
      <c r="JO39" s="1">
        <v>51117</v>
      </c>
      <c r="JP39" s="1">
        <v>4363</v>
      </c>
      <c r="JQ39" s="1">
        <v>1959</v>
      </c>
      <c r="JR39" s="1">
        <v>22992</v>
      </c>
      <c r="JS39" s="1">
        <v>12886</v>
      </c>
      <c r="JT39" s="1">
        <v>5121</v>
      </c>
      <c r="JU39" s="1">
        <v>74109</v>
      </c>
      <c r="JV39" s="1">
        <v>92116</v>
      </c>
      <c r="JW39" s="1">
        <v>62802</v>
      </c>
      <c r="JX39" s="1">
        <v>29314</v>
      </c>
      <c r="JY39">
        <v>21.88</v>
      </c>
      <c r="JZ39">
        <v>8.98</v>
      </c>
      <c r="KA39">
        <v>31.63</v>
      </c>
      <c r="KB39">
        <v>0.14000000000000001</v>
      </c>
      <c r="KC39">
        <v>0.8</v>
      </c>
      <c r="KD39">
        <v>50</v>
      </c>
      <c r="KE39">
        <v>931</v>
      </c>
      <c r="KF39">
        <v>150</v>
      </c>
      <c r="KG39">
        <v>716</v>
      </c>
      <c r="KN39" s="1">
        <v>339183</v>
      </c>
      <c r="KO39" s="1">
        <v>75751</v>
      </c>
      <c r="KP39">
        <v>298</v>
      </c>
      <c r="KR39" s="1">
        <v>5602</v>
      </c>
      <c r="KS39" s="1">
        <v>32694</v>
      </c>
      <c r="KT39">
        <v>692</v>
      </c>
      <c r="KU39">
        <v>463</v>
      </c>
      <c r="KV39">
        <v>113</v>
      </c>
      <c r="KW39">
        <v>293</v>
      </c>
      <c r="KX39" s="1">
        <v>395623</v>
      </c>
      <c r="KZ39" s="1">
        <v>999182</v>
      </c>
      <c r="LD39" t="s">
        <v>847</v>
      </c>
      <c r="LE39" t="s">
        <v>361</v>
      </c>
      <c r="LF39" t="s">
        <v>844</v>
      </c>
      <c r="LG39" t="s">
        <v>845</v>
      </c>
      <c r="LH39">
        <v>27402</v>
      </c>
      <c r="LI39">
        <v>3178</v>
      </c>
      <c r="LJ39" t="s">
        <v>846</v>
      </c>
      <c r="LK39" t="s">
        <v>845</v>
      </c>
      <c r="LL39">
        <v>27401</v>
      </c>
      <c r="LM39">
        <v>2941</v>
      </c>
      <c r="LN39" t="s">
        <v>848</v>
      </c>
      <c r="LO39">
        <v>3363732474</v>
      </c>
      <c r="LP39">
        <v>3363336781</v>
      </c>
      <c r="LQ39" s="1">
        <v>177988</v>
      </c>
      <c r="LR39">
        <v>95.01</v>
      </c>
      <c r="LT39" s="1">
        <v>28517</v>
      </c>
      <c r="LU39">
        <v>416</v>
      </c>
      <c r="LX39">
        <v>12</v>
      </c>
      <c r="LY39" t="s">
        <v>856</v>
      </c>
      <c r="LZ39">
        <v>0</v>
      </c>
      <c r="MA39" t="s">
        <v>363</v>
      </c>
      <c r="MB39">
        <v>80.11</v>
      </c>
      <c r="MC39">
        <v>71.88</v>
      </c>
      <c r="ME39" s="574">
        <v>4.59</v>
      </c>
      <c r="MF39" s="574">
        <v>3.14</v>
      </c>
      <c r="MG39" s="574">
        <v>0.59</v>
      </c>
      <c r="MH39" s="574">
        <v>30.42</v>
      </c>
      <c r="MI39" s="574">
        <v>20.82</v>
      </c>
      <c r="MJ39" s="574">
        <v>3.9</v>
      </c>
      <c r="MK39" s="574">
        <v>2.92</v>
      </c>
      <c r="ML39" s="574">
        <v>1.99</v>
      </c>
      <c r="MM39" s="574">
        <v>0.37</v>
      </c>
      <c r="MN39" s="574">
        <v>23.74</v>
      </c>
      <c r="MO39" s="574">
        <v>16.239999999999998</v>
      </c>
      <c r="MP39" s="574">
        <v>3.04</v>
      </c>
      <c r="MQ39" s="574">
        <v>87.41</v>
      </c>
      <c r="MR39" s="574">
        <v>59.81</v>
      </c>
      <c r="MS39" s="574">
        <v>11.2</v>
      </c>
      <c r="MT39" s="574">
        <v>11.14</v>
      </c>
      <c r="MU39" s="574">
        <v>7.62</v>
      </c>
      <c r="MV39" s="574">
        <v>1.43</v>
      </c>
      <c r="MW39" s="1">
        <v>3533</v>
      </c>
      <c r="MX39" s="1">
        <v>12562</v>
      </c>
      <c r="MY39" s="1">
        <v>12562</v>
      </c>
      <c r="MZ39" s="1">
        <v>28767</v>
      </c>
      <c r="NA39" s="1">
        <v>102282</v>
      </c>
      <c r="NB39" s="1">
        <v>102282</v>
      </c>
      <c r="NC39" s="1">
        <v>65007</v>
      </c>
      <c r="ND39" s="1">
        <v>65007</v>
      </c>
      <c r="NE39">
        <v>2.38</v>
      </c>
      <c r="NF39" s="1">
        <v>18283</v>
      </c>
      <c r="NG39">
        <v>8.7899999999999991</v>
      </c>
      <c r="NH39">
        <v>4.3090000000000002</v>
      </c>
      <c r="NI39">
        <v>6.78</v>
      </c>
      <c r="NJ39">
        <v>2.61</v>
      </c>
      <c r="NK39">
        <v>1.75</v>
      </c>
      <c r="NL39">
        <v>0.83260000000000001</v>
      </c>
      <c r="NM39">
        <v>1.7737000000000001</v>
      </c>
      <c r="NN39">
        <v>0.65</v>
      </c>
      <c r="NO39">
        <v>0.23</v>
      </c>
      <c r="NP39">
        <v>0</v>
      </c>
      <c r="NQ39">
        <v>0</v>
      </c>
      <c r="NR39">
        <v>0.97</v>
      </c>
      <c r="NS39">
        <v>0.03</v>
      </c>
      <c r="NT39">
        <v>0.18</v>
      </c>
      <c r="NU39" s="574">
        <v>13.52</v>
      </c>
      <c r="NV39">
        <v>1.8129999999999999</v>
      </c>
      <c r="NW39">
        <v>0</v>
      </c>
      <c r="NX39">
        <v>2E-3</v>
      </c>
      <c r="NY39">
        <v>0.24199999999999999</v>
      </c>
      <c r="NZ39">
        <v>0</v>
      </c>
      <c r="OA39">
        <v>0.10199999999999999</v>
      </c>
      <c r="OB39">
        <v>0.36270000000000002</v>
      </c>
      <c r="OC39">
        <v>2.5960000000000001</v>
      </c>
      <c r="OD39">
        <v>1.288</v>
      </c>
      <c r="OE39">
        <v>0.1694</v>
      </c>
      <c r="OF39">
        <v>373.14800000000002</v>
      </c>
      <c r="OG39">
        <v>0.33200000000000002</v>
      </c>
      <c r="OH39" s="574">
        <v>3.71</v>
      </c>
      <c r="OI39">
        <v>176</v>
      </c>
      <c r="OJ39">
        <v>212</v>
      </c>
      <c r="OK39" s="574">
        <v>19.77</v>
      </c>
      <c r="OL39" s="574">
        <v>2.5299999999999998</v>
      </c>
      <c r="OM39" s="574">
        <v>1.28</v>
      </c>
      <c r="ON39">
        <v>0.23569999999999999</v>
      </c>
      <c r="OO39">
        <v>6.6299999999999998E-2</v>
      </c>
      <c r="OP39">
        <v>0.26069999999999999</v>
      </c>
      <c r="OQ39" s="574">
        <v>0.94</v>
      </c>
      <c r="OR39" s="574">
        <v>19.97</v>
      </c>
      <c r="OS39" s="574">
        <v>0</v>
      </c>
      <c r="OT39" s="574">
        <v>0.51</v>
      </c>
      <c r="OU39" s="574">
        <v>21.41</v>
      </c>
      <c r="OV39">
        <v>13</v>
      </c>
      <c r="OW39">
        <v>9</v>
      </c>
      <c r="OX39">
        <v>0.64</v>
      </c>
      <c r="OY39" s="1">
        <v>33754</v>
      </c>
      <c r="OZ39">
        <v>96.84</v>
      </c>
      <c r="PA39" s="1">
        <v>53108</v>
      </c>
      <c r="PB39">
        <v>11.89</v>
      </c>
      <c r="PC39">
        <v>61.55</v>
      </c>
      <c r="PD39">
        <v>0.12</v>
      </c>
      <c r="PE39" s="1">
        <v>6523</v>
      </c>
      <c r="PF39">
        <v>0.42</v>
      </c>
      <c r="PG39" s="574">
        <v>0.37</v>
      </c>
      <c r="PH39">
        <v>0.27</v>
      </c>
      <c r="PI39">
        <v>7</v>
      </c>
      <c r="PJ39">
        <v>6.63</v>
      </c>
      <c r="PK39" s="574">
        <v>2.92</v>
      </c>
      <c r="PL39">
        <v>68.55</v>
      </c>
      <c r="PM39" s="4">
        <v>57390</v>
      </c>
      <c r="PN39" s="4">
        <v>42232</v>
      </c>
      <c r="PO39">
        <v>5.4699999999999999E-2</v>
      </c>
      <c r="PP39">
        <v>0.28299999999999997</v>
      </c>
      <c r="PQ39">
        <v>3.4799999999999998E-2</v>
      </c>
      <c r="PR39">
        <v>1.54E-2</v>
      </c>
      <c r="PS39">
        <v>7.9600000000000004E-2</v>
      </c>
      <c r="PT39">
        <v>9.7999999999999997E-3</v>
      </c>
      <c r="PU39" s="3">
        <v>1</v>
      </c>
      <c r="PV39" s="3">
        <v>0.28129999999999999</v>
      </c>
      <c r="PW39" s="3">
        <v>0.71879999999999999</v>
      </c>
      <c r="PX39" s="3">
        <v>0.2641</v>
      </c>
      <c r="PY39" s="3">
        <v>0.7359</v>
      </c>
      <c r="PZ39" s="3">
        <v>0.12809999999999999</v>
      </c>
      <c r="QA39" s="3">
        <v>3.3099999999999997E-2</v>
      </c>
      <c r="QB39" s="3">
        <v>0.1807</v>
      </c>
      <c r="QC39" s="3">
        <v>3.0499999999999999E-2</v>
      </c>
      <c r="QD39" s="3">
        <v>0.18770000000000001</v>
      </c>
      <c r="QE39" s="3">
        <v>6.4500000000000002E-2</v>
      </c>
      <c r="QF39" s="3">
        <v>0.50349999999999995</v>
      </c>
      <c r="QG39" s="3">
        <v>0.68420000000000003</v>
      </c>
      <c r="QH39" s="3">
        <v>0</v>
      </c>
      <c r="QI39" s="3">
        <v>0.93240000000000001</v>
      </c>
      <c r="QJ39" s="3">
        <v>2.3699999999999999E-2</v>
      </c>
      <c r="QK39" s="3">
        <v>4.3900000000000002E-2</v>
      </c>
      <c r="QL39" s="4">
        <v>15157</v>
      </c>
      <c r="QM39">
        <v>10.43</v>
      </c>
      <c r="QN39" s="1">
        <v>15088</v>
      </c>
      <c r="QO39" s="1">
        <v>15088</v>
      </c>
      <c r="QP39" s="1">
        <v>4243</v>
      </c>
      <c r="QQ39" s="3">
        <v>0.50370000000000004</v>
      </c>
      <c r="QR39" s="3">
        <v>0.25819999999999999</v>
      </c>
      <c r="QS39" s="3">
        <v>0.23810000000000001</v>
      </c>
      <c r="QT39" s="3">
        <v>0.28129999999999999</v>
      </c>
      <c r="QU39">
        <v>0.43</v>
      </c>
      <c r="QV39">
        <v>1.21</v>
      </c>
      <c r="QW39">
        <v>0.32</v>
      </c>
      <c r="QX39">
        <v>7</v>
      </c>
      <c r="QY39">
        <v>3.38</v>
      </c>
      <c r="QZ39">
        <v>7</v>
      </c>
      <c r="RA39">
        <v>1.7</v>
      </c>
      <c r="RB39">
        <v>0.22</v>
      </c>
      <c r="RC39">
        <v>0.2</v>
      </c>
    </row>
    <row r="40" spans="1:471" x14ac:dyDescent="0.25">
      <c r="A40" t="s">
        <v>857</v>
      </c>
      <c r="B40">
        <v>11675</v>
      </c>
      <c r="C40" t="s">
        <v>1754</v>
      </c>
      <c r="D40" t="s">
        <v>1754</v>
      </c>
      <c r="E40" t="s">
        <v>1754</v>
      </c>
      <c r="F40" t="s">
        <v>1755</v>
      </c>
      <c r="G40" t="s">
        <v>1755</v>
      </c>
      <c r="H40" t="s">
        <v>858</v>
      </c>
      <c r="I40" t="s">
        <v>342</v>
      </c>
      <c r="J40" t="s">
        <v>343</v>
      </c>
      <c r="K40" t="s">
        <v>344</v>
      </c>
      <c r="L40" t="s">
        <v>345</v>
      </c>
      <c r="M40" t="s">
        <v>457</v>
      </c>
      <c r="N40" t="s">
        <v>347</v>
      </c>
      <c r="O40" s="1">
        <v>37237</v>
      </c>
      <c r="P40" t="s">
        <v>348</v>
      </c>
      <c r="Q40">
        <v>267</v>
      </c>
      <c r="R40">
        <v>60</v>
      </c>
      <c r="S40">
        <v>35</v>
      </c>
      <c r="T40">
        <v>19</v>
      </c>
      <c r="U40">
        <v>521</v>
      </c>
      <c r="V40">
        <v>200</v>
      </c>
      <c r="W40" s="1">
        <v>3380</v>
      </c>
      <c r="X40" s="1">
        <v>1267</v>
      </c>
      <c r="Y40" s="1">
        <v>35805</v>
      </c>
      <c r="Z40" s="1">
        <v>16920</v>
      </c>
      <c r="AC40" t="s">
        <v>859</v>
      </c>
      <c r="AD40" t="s">
        <v>860</v>
      </c>
      <c r="AE40">
        <v>27839</v>
      </c>
      <c r="AF40">
        <v>97</v>
      </c>
      <c r="AG40" t="s">
        <v>861</v>
      </c>
      <c r="AH40" t="s">
        <v>860</v>
      </c>
      <c r="AI40">
        <v>27839</v>
      </c>
      <c r="AJ40">
        <v>1</v>
      </c>
      <c r="AK40" t="s">
        <v>862</v>
      </c>
      <c r="AM40" t="s">
        <v>0</v>
      </c>
      <c r="AN40" t="s">
        <v>860</v>
      </c>
      <c r="AO40" t="s">
        <v>863</v>
      </c>
      <c r="AP40">
        <v>2525833631</v>
      </c>
      <c r="AQ40" t="s">
        <v>865</v>
      </c>
      <c r="AR40" t="s">
        <v>866</v>
      </c>
      <c r="AS40" t="s">
        <v>867</v>
      </c>
      <c r="AT40" t="s">
        <v>376</v>
      </c>
      <c r="AU40" t="s">
        <v>864</v>
      </c>
      <c r="AV40" t="s">
        <v>865</v>
      </c>
      <c r="AW40" t="s">
        <v>866</v>
      </c>
      <c r="AX40" t="s">
        <v>868</v>
      </c>
      <c r="AY40">
        <v>0</v>
      </c>
      <c r="AZ40">
        <v>0</v>
      </c>
      <c r="BA40">
        <v>0</v>
      </c>
      <c r="BB40" s="573">
        <v>42186</v>
      </c>
      <c r="BC40" s="573">
        <v>42551</v>
      </c>
      <c r="BD40">
        <v>1</v>
      </c>
      <c r="BE40">
        <v>4</v>
      </c>
      <c r="BF40">
        <v>0</v>
      </c>
      <c r="BG40">
        <v>1</v>
      </c>
      <c r="BH40">
        <v>6</v>
      </c>
      <c r="BJ40" s="1">
        <v>12428</v>
      </c>
      <c r="BK40">
        <v>1</v>
      </c>
      <c r="BL40">
        <v>0</v>
      </c>
      <c r="BM40">
        <v>1</v>
      </c>
      <c r="BN40">
        <v>9</v>
      </c>
      <c r="BO40">
        <v>10</v>
      </c>
      <c r="BP40" s="3">
        <v>0.1</v>
      </c>
      <c r="BQ40">
        <v>390</v>
      </c>
      <c r="BR40" s="4">
        <v>67925</v>
      </c>
      <c r="DW40" s="4">
        <v>0</v>
      </c>
      <c r="DX40" s="4">
        <v>490045</v>
      </c>
      <c r="DY40" s="4">
        <v>490045</v>
      </c>
      <c r="DZ40" s="4">
        <v>99183</v>
      </c>
      <c r="EA40" s="4">
        <v>0</v>
      </c>
      <c r="EB40" s="4">
        <v>99183</v>
      </c>
      <c r="EC40" s="4">
        <v>2295</v>
      </c>
      <c r="ED40" s="4">
        <v>0</v>
      </c>
      <c r="EE40" s="4">
        <v>2295</v>
      </c>
      <c r="EF40" s="4">
        <v>12686</v>
      </c>
      <c r="EG40" s="4">
        <v>604209</v>
      </c>
      <c r="EH40" s="4">
        <v>368822</v>
      </c>
      <c r="EI40" s="4">
        <v>125469</v>
      </c>
      <c r="EJ40" s="4">
        <v>494291</v>
      </c>
      <c r="EK40" s="4">
        <v>12966</v>
      </c>
      <c r="EL40" s="4">
        <v>1113</v>
      </c>
      <c r="EM40" s="4">
        <v>0</v>
      </c>
      <c r="EN40" s="4">
        <v>14079</v>
      </c>
      <c r="EO40" s="4">
        <v>78485</v>
      </c>
      <c r="EP40" s="4">
        <v>586855</v>
      </c>
      <c r="EQ40" s="4">
        <v>17354</v>
      </c>
      <c r="ER40" s="3">
        <v>2.87E-2</v>
      </c>
      <c r="ES40" s="4">
        <v>10014</v>
      </c>
      <c r="ET40" s="4">
        <v>0</v>
      </c>
      <c r="EU40" s="4">
        <v>0</v>
      </c>
      <c r="EV40" s="4">
        <v>0</v>
      </c>
      <c r="EW40" s="4">
        <v>10014</v>
      </c>
      <c r="EX40" s="4">
        <v>8567</v>
      </c>
      <c r="EY40" s="1">
        <v>3118</v>
      </c>
      <c r="EZ40" s="1">
        <v>134351</v>
      </c>
      <c r="FA40" s="1">
        <v>43550</v>
      </c>
      <c r="FB40">
        <v>347</v>
      </c>
      <c r="FC40" s="1">
        <v>15224</v>
      </c>
      <c r="FD40" s="1">
        <v>26862</v>
      </c>
      <c r="FE40">
        <v>254</v>
      </c>
      <c r="FF40" s="1">
        <v>11982</v>
      </c>
      <c r="FG40" s="1">
        <v>70412</v>
      </c>
      <c r="FH40">
        <v>601</v>
      </c>
      <c r="FI40" s="1">
        <v>27206</v>
      </c>
      <c r="FJ40" s="1">
        <v>98219</v>
      </c>
      <c r="FK40" s="1">
        <v>2700</v>
      </c>
      <c r="FL40">
        <v>15</v>
      </c>
      <c r="FN40" s="1">
        <v>98219</v>
      </c>
      <c r="FO40" s="1">
        <v>1047</v>
      </c>
      <c r="FP40">
        <v>50</v>
      </c>
      <c r="FQ40" s="1">
        <v>3500</v>
      </c>
      <c r="FR40">
        <v>0</v>
      </c>
      <c r="FS40">
        <v>74</v>
      </c>
      <c r="FT40">
        <v>74</v>
      </c>
      <c r="FU40" s="1">
        <v>26725</v>
      </c>
      <c r="FV40" s="1">
        <v>2022</v>
      </c>
      <c r="FW40">
        <v>0</v>
      </c>
      <c r="GK40">
        <v>0</v>
      </c>
      <c r="GL40">
        <v>-1</v>
      </c>
      <c r="GM40">
        <v>0</v>
      </c>
      <c r="GN40">
        <v>0</v>
      </c>
      <c r="GO40" s="1">
        <v>26725</v>
      </c>
      <c r="GP40" s="1">
        <v>2021</v>
      </c>
      <c r="GQ40">
        <v>0</v>
      </c>
      <c r="GR40">
        <v>0</v>
      </c>
      <c r="GS40">
        <v>75</v>
      </c>
      <c r="GU40" s="1">
        <v>76575</v>
      </c>
      <c r="GV40">
        <v>459</v>
      </c>
      <c r="GW40" s="1">
        <v>7974</v>
      </c>
      <c r="GX40" s="1">
        <v>13513</v>
      </c>
      <c r="GY40">
        <v>68</v>
      </c>
      <c r="GZ40" s="1">
        <v>1787</v>
      </c>
      <c r="HA40" s="1">
        <v>90088</v>
      </c>
      <c r="HB40">
        <v>527</v>
      </c>
      <c r="HC40" s="1">
        <v>9761</v>
      </c>
      <c r="HD40" s="1">
        <v>100376</v>
      </c>
      <c r="HE40">
        <v>357</v>
      </c>
      <c r="HF40" s="1">
        <v>100733</v>
      </c>
      <c r="HG40">
        <v>981</v>
      </c>
      <c r="HH40">
        <v>202</v>
      </c>
      <c r="HI40">
        <v>0</v>
      </c>
      <c r="HJ40">
        <v>0</v>
      </c>
      <c r="HK40" s="1">
        <v>1183</v>
      </c>
      <c r="HL40" s="1">
        <v>101916</v>
      </c>
      <c r="HM40">
        <v>38</v>
      </c>
      <c r="HN40">
        <v>0</v>
      </c>
      <c r="HO40">
        <v>38</v>
      </c>
      <c r="HP40">
        <v>0</v>
      </c>
      <c r="HQ40">
        <v>0</v>
      </c>
      <c r="HR40">
        <v>0</v>
      </c>
      <c r="HS40">
        <v>0</v>
      </c>
      <c r="HU40">
        <v>0</v>
      </c>
      <c r="HV40">
        <v>0</v>
      </c>
      <c r="HW40">
        <v>38</v>
      </c>
      <c r="HX40" s="1">
        <v>5276</v>
      </c>
      <c r="HY40">
        <v>0</v>
      </c>
      <c r="HZ40" s="1">
        <v>5276</v>
      </c>
      <c r="IA40" s="1">
        <v>5314</v>
      </c>
      <c r="IB40">
        <v>981</v>
      </c>
      <c r="IC40" s="1">
        <v>1183</v>
      </c>
      <c r="ID40" s="1">
        <v>101954</v>
      </c>
      <c r="IE40" s="1">
        <v>101954</v>
      </c>
      <c r="IF40" s="1">
        <v>107230</v>
      </c>
      <c r="IG40" s="1">
        <v>10288</v>
      </c>
      <c r="IH40">
        <v>0</v>
      </c>
      <c r="IL40" s="3">
        <v>4.0000000000000002E-4</v>
      </c>
      <c r="IM40" s="3">
        <v>1E-4</v>
      </c>
      <c r="IN40" s="3">
        <v>0.214</v>
      </c>
      <c r="IO40" s="3">
        <v>0</v>
      </c>
      <c r="IP40" s="3">
        <v>0.19889999999999999</v>
      </c>
      <c r="IQ40" s="3">
        <v>5.9999999999999995E-4</v>
      </c>
      <c r="IR40" s="3">
        <v>0.73109999999999997</v>
      </c>
      <c r="IS40" s="3">
        <v>2.2800000000000001E-2</v>
      </c>
      <c r="IT40" s="3">
        <v>0.1009</v>
      </c>
      <c r="IU40" s="1">
        <v>16200</v>
      </c>
      <c r="IV40" s="1">
        <v>5265</v>
      </c>
      <c r="IW40" s="1">
        <v>21465</v>
      </c>
      <c r="IX40" s="3">
        <v>0.57640000000000002</v>
      </c>
      <c r="IY40" s="1">
        <v>73462</v>
      </c>
      <c r="JA40">
        <v>102</v>
      </c>
      <c r="JB40">
        <v>2</v>
      </c>
      <c r="JC40">
        <v>208</v>
      </c>
      <c r="JD40">
        <v>14</v>
      </c>
      <c r="JE40">
        <v>2</v>
      </c>
      <c r="JF40">
        <v>21</v>
      </c>
      <c r="JG40">
        <v>116</v>
      </c>
      <c r="JH40">
        <v>4</v>
      </c>
      <c r="JI40">
        <v>229</v>
      </c>
      <c r="JJ40">
        <v>349</v>
      </c>
      <c r="JK40">
        <v>312</v>
      </c>
      <c r="JL40">
        <v>37</v>
      </c>
      <c r="JM40" s="1">
        <v>1059</v>
      </c>
      <c r="JN40">
        <v>291</v>
      </c>
      <c r="JO40" s="1">
        <v>4668</v>
      </c>
      <c r="JP40" s="1">
        <v>3058</v>
      </c>
      <c r="JQ40">
        <v>133</v>
      </c>
      <c r="JR40">
        <v>262</v>
      </c>
      <c r="JS40" s="1">
        <v>4117</v>
      </c>
      <c r="JT40">
        <v>424</v>
      </c>
      <c r="JU40" s="1">
        <v>4930</v>
      </c>
      <c r="JV40" s="1">
        <v>9471</v>
      </c>
      <c r="JW40" s="1">
        <v>6018</v>
      </c>
      <c r="JX40" s="1">
        <v>3453</v>
      </c>
      <c r="JY40">
        <v>27.14</v>
      </c>
      <c r="JZ40">
        <v>35.49</v>
      </c>
      <c r="KA40">
        <v>21.53</v>
      </c>
      <c r="KB40">
        <v>0.43</v>
      </c>
      <c r="KC40">
        <v>0.52</v>
      </c>
      <c r="KD40">
        <v>0</v>
      </c>
      <c r="KE40">
        <v>0</v>
      </c>
      <c r="KF40">
        <v>26</v>
      </c>
      <c r="KG40">
        <v>61</v>
      </c>
      <c r="KN40" s="1">
        <v>21193</v>
      </c>
      <c r="KO40" s="1">
        <v>11471</v>
      </c>
      <c r="KP40" s="1">
        <v>7914</v>
      </c>
      <c r="KR40">
        <v>290</v>
      </c>
      <c r="KS40" s="1">
        <v>4117</v>
      </c>
      <c r="KT40">
        <v>4</v>
      </c>
      <c r="KU40">
        <v>21</v>
      </c>
      <c r="KV40">
        <v>15</v>
      </c>
      <c r="KW40">
        <v>59</v>
      </c>
      <c r="KX40" s="1">
        <v>37500</v>
      </c>
      <c r="KZ40" s="1">
        <v>3871</v>
      </c>
      <c r="LA40" s="1">
        <v>24168</v>
      </c>
      <c r="LD40" t="s">
        <v>869</v>
      </c>
      <c r="LE40" t="s">
        <v>440</v>
      </c>
      <c r="LF40" t="s">
        <v>859</v>
      </c>
      <c r="LG40" t="s">
        <v>860</v>
      </c>
      <c r="LH40">
        <v>27839</v>
      </c>
      <c r="LI40">
        <v>97</v>
      </c>
      <c r="LJ40" t="s">
        <v>861</v>
      </c>
      <c r="LK40" t="s">
        <v>860</v>
      </c>
      <c r="LL40">
        <v>27839</v>
      </c>
      <c r="LM40">
        <v>97</v>
      </c>
      <c r="LN40" t="s">
        <v>860</v>
      </c>
      <c r="LO40">
        <v>2525833631</v>
      </c>
      <c r="LP40">
        <v>2525838661</v>
      </c>
      <c r="LQ40" s="1">
        <v>28109</v>
      </c>
      <c r="LR40">
        <v>10</v>
      </c>
      <c r="LT40" s="1">
        <v>12428</v>
      </c>
      <c r="LU40">
        <v>260</v>
      </c>
      <c r="LX40">
        <v>2</v>
      </c>
      <c r="LY40" t="s">
        <v>870</v>
      </c>
      <c r="LZ40">
        <v>0</v>
      </c>
      <c r="MA40" t="s">
        <v>363</v>
      </c>
      <c r="MB40">
        <v>18.77</v>
      </c>
      <c r="MC40">
        <v>944</v>
      </c>
      <c r="ME40" s="574">
        <v>5.76</v>
      </c>
      <c r="MF40" s="574">
        <v>4.8499999999999996</v>
      </c>
      <c r="MG40" s="574">
        <v>0.14000000000000001</v>
      </c>
      <c r="MH40" s="574">
        <v>27.34</v>
      </c>
      <c r="MI40" s="574">
        <v>23.03</v>
      </c>
      <c r="MJ40" s="574">
        <v>0.66</v>
      </c>
      <c r="MK40" s="574">
        <v>7.99</v>
      </c>
      <c r="ML40" s="574">
        <v>6.73</v>
      </c>
      <c r="MM40" s="574">
        <v>0.19</v>
      </c>
      <c r="MN40" s="574">
        <v>27.69</v>
      </c>
      <c r="MO40" s="574">
        <v>23.32</v>
      </c>
      <c r="MP40" s="574">
        <v>0.66</v>
      </c>
      <c r="MQ40" s="574">
        <v>61.96</v>
      </c>
      <c r="MR40" s="574">
        <v>52.19</v>
      </c>
      <c r="MS40" s="574">
        <v>1.49</v>
      </c>
      <c r="MT40" s="574">
        <v>57.04</v>
      </c>
      <c r="MU40" s="574">
        <v>48.05</v>
      </c>
      <c r="MV40" s="574">
        <v>1.37</v>
      </c>
      <c r="MW40" s="1">
        <v>2119</v>
      </c>
      <c r="MX40" s="1">
        <v>21193</v>
      </c>
      <c r="MY40" s="1">
        <v>21193</v>
      </c>
      <c r="MZ40" s="1">
        <v>7346</v>
      </c>
      <c r="NA40" s="1">
        <v>73462</v>
      </c>
      <c r="NB40" s="1">
        <v>73462</v>
      </c>
      <c r="NC40" s="1">
        <v>101954</v>
      </c>
      <c r="ND40" s="1">
        <v>101954</v>
      </c>
      <c r="NE40">
        <v>0.76</v>
      </c>
      <c r="NF40" s="1">
        <v>10195</v>
      </c>
      <c r="NG40">
        <v>4.9000000000000004</v>
      </c>
      <c r="NH40">
        <v>2.738</v>
      </c>
      <c r="NI40">
        <v>1.97</v>
      </c>
      <c r="NJ40">
        <v>0.19</v>
      </c>
      <c r="NK40">
        <v>0.98</v>
      </c>
      <c r="NL40">
        <v>0.56910000000000005</v>
      </c>
      <c r="NM40">
        <v>0.27629999999999999</v>
      </c>
      <c r="NN40">
        <v>0.57999999999999996</v>
      </c>
      <c r="NO40">
        <v>0.25</v>
      </c>
      <c r="NP40">
        <v>0</v>
      </c>
      <c r="NQ40">
        <v>0</v>
      </c>
      <c r="NR40">
        <v>1.01</v>
      </c>
      <c r="NS40">
        <v>0.11</v>
      </c>
      <c r="NT40">
        <v>0.13</v>
      </c>
      <c r="NU40" s="574">
        <v>13.27</v>
      </c>
      <c r="NV40">
        <v>3.6080000000000001</v>
      </c>
      <c r="NW40">
        <v>0</v>
      </c>
      <c r="NX40">
        <v>0</v>
      </c>
      <c r="NY40">
        <v>0.71799999999999997</v>
      </c>
      <c r="NZ40">
        <v>2E-3</v>
      </c>
      <c r="OA40">
        <v>4.6600000000000003E-2</v>
      </c>
      <c r="OB40">
        <v>0.46589999999999998</v>
      </c>
      <c r="OC40">
        <v>0.69899999999999995</v>
      </c>
      <c r="OD40">
        <v>2.6379999999999999</v>
      </c>
      <c r="OE40">
        <v>0.2417</v>
      </c>
      <c r="OF40" s="2">
        <v>1245.05</v>
      </c>
      <c r="OG40">
        <v>3.4470000000000001</v>
      </c>
      <c r="OH40" s="574">
        <v>2.11</v>
      </c>
      <c r="OI40">
        <v>143</v>
      </c>
      <c r="OJ40">
        <v>2</v>
      </c>
      <c r="OK40" s="574">
        <v>15.76</v>
      </c>
      <c r="OL40" s="574">
        <v>0.38</v>
      </c>
      <c r="OM40" s="574">
        <v>0.35</v>
      </c>
      <c r="ON40">
        <v>0.26860000000000001</v>
      </c>
      <c r="OO40">
        <v>2.69E-2</v>
      </c>
      <c r="OP40">
        <v>0.41930000000000001</v>
      </c>
      <c r="OQ40" s="574">
        <v>2.66</v>
      </c>
      <c r="OR40" s="574">
        <v>13.16</v>
      </c>
      <c r="OS40" s="574">
        <v>0.06</v>
      </c>
      <c r="OT40" s="574">
        <v>0.34</v>
      </c>
      <c r="OU40" s="574">
        <v>16.23</v>
      </c>
      <c r="OV40">
        <v>0</v>
      </c>
      <c r="OW40">
        <v>0</v>
      </c>
      <c r="OX40">
        <v>1.39</v>
      </c>
      <c r="OY40" s="1">
        <v>1961</v>
      </c>
      <c r="OZ40">
        <v>5.91</v>
      </c>
      <c r="PA40" s="1">
        <v>1413</v>
      </c>
      <c r="PB40">
        <v>1.71</v>
      </c>
      <c r="PC40">
        <v>8.1999999999999993</v>
      </c>
      <c r="PD40">
        <v>0.28999999999999998</v>
      </c>
      <c r="PE40">
        <v>408</v>
      </c>
      <c r="PF40">
        <v>1.32</v>
      </c>
      <c r="PG40" s="574">
        <v>0.19</v>
      </c>
      <c r="PH40">
        <v>1.83</v>
      </c>
      <c r="PI40">
        <v>33.380000000000003</v>
      </c>
      <c r="PJ40">
        <v>4.75</v>
      </c>
      <c r="PK40" s="574">
        <v>7.99</v>
      </c>
      <c r="PL40">
        <v>39.83</v>
      </c>
      <c r="PM40" s="4">
        <v>49429</v>
      </c>
      <c r="PN40" s="4">
        <v>36882</v>
      </c>
      <c r="PO40">
        <v>9.8100000000000007E-2</v>
      </c>
      <c r="PP40">
        <v>0.47189999999999999</v>
      </c>
      <c r="PQ40">
        <v>0.1361</v>
      </c>
      <c r="PR40">
        <v>9.7999999999999997E-3</v>
      </c>
      <c r="PS40">
        <v>4.7199999999999999E-2</v>
      </c>
      <c r="PT40">
        <v>1.3599999999999999E-2</v>
      </c>
      <c r="PU40" s="3">
        <v>1</v>
      </c>
      <c r="PV40" s="3">
        <v>0.1</v>
      </c>
      <c r="PW40" s="3">
        <v>0.9</v>
      </c>
      <c r="PX40" s="3">
        <v>0.25380000000000003</v>
      </c>
      <c r="PY40" s="3">
        <v>0.74619999999999997</v>
      </c>
      <c r="PZ40" s="3">
        <v>2.4E-2</v>
      </c>
      <c r="QA40" s="3">
        <v>1.9E-3</v>
      </c>
      <c r="QB40" s="3">
        <v>0.21379999999999999</v>
      </c>
      <c r="QC40" s="3">
        <v>0</v>
      </c>
      <c r="QD40" s="3">
        <v>0.13370000000000001</v>
      </c>
      <c r="QE40" s="3">
        <v>2.2100000000000002E-2</v>
      </c>
      <c r="QF40" s="3">
        <v>0.62849999999999995</v>
      </c>
      <c r="QG40" s="3">
        <v>0.84230000000000005</v>
      </c>
      <c r="QH40" s="3">
        <v>3.8E-3</v>
      </c>
      <c r="QI40" s="3">
        <v>0.81110000000000004</v>
      </c>
      <c r="QJ40" s="3">
        <v>2.1000000000000001E-2</v>
      </c>
      <c r="QK40" s="3">
        <v>0.16420000000000001</v>
      </c>
      <c r="QL40" s="4">
        <v>12547</v>
      </c>
      <c r="QM40">
        <v>3.42</v>
      </c>
      <c r="QN40" s="1">
        <v>37237</v>
      </c>
      <c r="QO40" s="1">
        <v>37237</v>
      </c>
      <c r="QP40" s="1">
        <v>3724</v>
      </c>
      <c r="QQ40" s="3">
        <v>0.92090000000000005</v>
      </c>
      <c r="QR40" s="3">
        <v>7.9100000000000004E-2</v>
      </c>
      <c r="QS40" s="3">
        <v>0</v>
      </c>
      <c r="QT40" s="3">
        <v>0.1</v>
      </c>
      <c r="QU40">
        <v>0.28000000000000003</v>
      </c>
      <c r="QV40">
        <v>0.81</v>
      </c>
      <c r="QW40">
        <v>0.21</v>
      </c>
      <c r="QX40">
        <v>92</v>
      </c>
      <c r="QY40">
        <v>7.86</v>
      </c>
      <c r="QZ40">
        <v>0</v>
      </c>
      <c r="RA40">
        <v>7.24</v>
      </c>
      <c r="RB40">
        <v>0.17</v>
      </c>
      <c r="RC40">
        <v>0.17</v>
      </c>
    </row>
    <row r="41" spans="1:471" x14ac:dyDescent="0.25">
      <c r="A41" t="s">
        <v>871</v>
      </c>
      <c r="B41">
        <v>11676</v>
      </c>
      <c r="C41" t="s">
        <v>1754</v>
      </c>
      <c r="D41" t="s">
        <v>1754</v>
      </c>
      <c r="E41" t="s">
        <v>1754</v>
      </c>
      <c r="F41" t="s">
        <v>1755</v>
      </c>
      <c r="G41" t="s">
        <v>1755</v>
      </c>
      <c r="H41" t="s">
        <v>872</v>
      </c>
      <c r="I41" t="s">
        <v>342</v>
      </c>
      <c r="J41" t="s">
        <v>343</v>
      </c>
      <c r="K41" t="s">
        <v>344</v>
      </c>
      <c r="L41" t="s">
        <v>345</v>
      </c>
      <c r="M41" t="s">
        <v>346</v>
      </c>
      <c r="N41" t="s">
        <v>347</v>
      </c>
      <c r="O41" s="1">
        <v>127127</v>
      </c>
      <c r="P41" t="s">
        <v>472</v>
      </c>
      <c r="S41">
        <v>121</v>
      </c>
      <c r="T41">
        <v>4</v>
      </c>
      <c r="U41" s="1">
        <v>5260</v>
      </c>
      <c r="V41">
        <v>-1</v>
      </c>
      <c r="W41" s="1">
        <v>34795</v>
      </c>
      <c r="X41" s="1">
        <v>2109</v>
      </c>
      <c r="AC41" t="s">
        <v>873</v>
      </c>
      <c r="AD41" t="s">
        <v>874</v>
      </c>
      <c r="AE41">
        <v>27546</v>
      </c>
      <c r="AF41">
        <v>1149</v>
      </c>
      <c r="AG41" t="s">
        <v>875</v>
      </c>
      <c r="AH41" t="s">
        <v>874</v>
      </c>
      <c r="AI41">
        <v>27546</v>
      </c>
      <c r="AJ41">
        <v>2</v>
      </c>
      <c r="AK41" t="s">
        <v>876</v>
      </c>
      <c r="AM41" t="s">
        <v>0</v>
      </c>
      <c r="AN41" t="s">
        <v>877</v>
      </c>
      <c r="AO41" t="s">
        <v>878</v>
      </c>
      <c r="AP41">
        <v>9108933446</v>
      </c>
      <c r="AQ41" t="s">
        <v>880</v>
      </c>
      <c r="AR41" t="s">
        <v>881</v>
      </c>
      <c r="AS41" t="s">
        <v>878</v>
      </c>
      <c r="AT41" t="s">
        <v>1</v>
      </c>
      <c r="AU41" t="s">
        <v>879</v>
      </c>
      <c r="AV41" t="s">
        <v>880</v>
      </c>
      <c r="AW41" t="s">
        <v>881</v>
      </c>
      <c r="AX41" t="s">
        <v>882</v>
      </c>
      <c r="AY41">
        <v>0</v>
      </c>
      <c r="AZ41">
        <v>0</v>
      </c>
      <c r="BA41">
        <v>0</v>
      </c>
      <c r="BB41" s="573">
        <v>42186</v>
      </c>
      <c r="BC41" s="573">
        <v>42551</v>
      </c>
      <c r="BD41">
        <v>1</v>
      </c>
      <c r="BE41">
        <v>5</v>
      </c>
      <c r="BF41">
        <v>0</v>
      </c>
      <c r="BG41">
        <v>1</v>
      </c>
      <c r="BH41">
        <v>7</v>
      </c>
      <c r="BJ41" s="1">
        <v>11674</v>
      </c>
      <c r="BK41">
        <v>3</v>
      </c>
      <c r="BL41">
        <v>2</v>
      </c>
      <c r="BM41">
        <v>5</v>
      </c>
      <c r="BN41">
        <v>10.3</v>
      </c>
      <c r="BO41">
        <v>15.3</v>
      </c>
      <c r="BP41" s="3">
        <v>0.1961</v>
      </c>
      <c r="BQ41">
        <v>515</v>
      </c>
      <c r="BR41" s="4">
        <v>56620</v>
      </c>
      <c r="DW41" s="4">
        <v>553243</v>
      </c>
      <c r="DX41" s="4">
        <v>814216</v>
      </c>
      <c r="DY41" s="4">
        <v>1367459</v>
      </c>
      <c r="DZ41" s="4">
        <v>159013</v>
      </c>
      <c r="EA41" s="4">
        <v>0</v>
      </c>
      <c r="EB41" s="4">
        <v>159013</v>
      </c>
      <c r="EC41" s="4">
        <v>28044</v>
      </c>
      <c r="ED41" s="4">
        <v>0</v>
      </c>
      <c r="EE41" s="4">
        <v>28044</v>
      </c>
      <c r="EF41" s="4">
        <v>11998</v>
      </c>
      <c r="EG41" s="4">
        <v>1566514</v>
      </c>
      <c r="EH41" s="4">
        <v>714562</v>
      </c>
      <c r="EI41" s="4">
        <v>251752</v>
      </c>
      <c r="EJ41" s="4">
        <v>966314</v>
      </c>
      <c r="EK41" s="4">
        <v>118349</v>
      </c>
      <c r="EL41" s="4">
        <v>30291</v>
      </c>
      <c r="EM41" s="4">
        <v>7568</v>
      </c>
      <c r="EN41" s="4">
        <v>156208</v>
      </c>
      <c r="EO41" s="4">
        <v>159380</v>
      </c>
      <c r="EP41" s="4">
        <v>1281902</v>
      </c>
      <c r="EQ41" s="4">
        <v>284612</v>
      </c>
      <c r="ER41" s="3">
        <v>0.1817</v>
      </c>
      <c r="ES41" s="4">
        <v>0</v>
      </c>
      <c r="ET41" s="4">
        <v>0</v>
      </c>
      <c r="EU41" s="4">
        <v>0</v>
      </c>
      <c r="EV41" s="4">
        <v>0</v>
      </c>
      <c r="EW41" s="4">
        <v>0</v>
      </c>
      <c r="EX41" s="4">
        <v>0</v>
      </c>
      <c r="EY41" s="1">
        <v>17742</v>
      </c>
      <c r="EZ41" s="1">
        <v>249178</v>
      </c>
      <c r="FA41" s="1">
        <v>49874</v>
      </c>
      <c r="FB41" s="1">
        <v>5130</v>
      </c>
      <c r="FC41" s="1">
        <v>52124</v>
      </c>
      <c r="FD41" s="1">
        <v>43513</v>
      </c>
      <c r="FF41" s="1">
        <v>28230</v>
      </c>
      <c r="FG41" s="1">
        <v>93387</v>
      </c>
      <c r="FH41" s="1">
        <v>5130</v>
      </c>
      <c r="FI41" s="1">
        <v>80354</v>
      </c>
      <c r="FJ41" s="1">
        <v>178871</v>
      </c>
      <c r="FK41" s="1">
        <v>1471</v>
      </c>
      <c r="FL41">
        <v>108</v>
      </c>
      <c r="FN41" s="1">
        <v>178871</v>
      </c>
      <c r="FO41" s="1">
        <v>4699</v>
      </c>
      <c r="FP41" s="1">
        <v>9622</v>
      </c>
      <c r="FQ41">
        <v>72</v>
      </c>
      <c r="FR41">
        <v>0</v>
      </c>
      <c r="FS41">
        <v>74</v>
      </c>
      <c r="FT41">
        <v>74</v>
      </c>
      <c r="FU41" s="1">
        <v>26725</v>
      </c>
      <c r="FV41" s="1">
        <v>2022</v>
      </c>
      <c r="FW41">
        <v>0</v>
      </c>
      <c r="GC41" s="1">
        <v>23798</v>
      </c>
      <c r="GD41" s="1">
        <v>1183</v>
      </c>
      <c r="GE41">
        <v>205</v>
      </c>
      <c r="GK41">
        <v>112</v>
      </c>
      <c r="GL41">
        <v>216</v>
      </c>
      <c r="GM41">
        <v>0</v>
      </c>
      <c r="GN41">
        <v>0</v>
      </c>
      <c r="GO41" s="1">
        <v>50635</v>
      </c>
      <c r="GP41" s="1">
        <v>3421</v>
      </c>
      <c r="GQ41">
        <v>205</v>
      </c>
      <c r="GR41">
        <v>0</v>
      </c>
      <c r="GS41">
        <v>10</v>
      </c>
      <c r="GU41" s="1">
        <v>58763</v>
      </c>
      <c r="GV41" s="1">
        <v>7111</v>
      </c>
      <c r="GW41" s="1">
        <v>106310</v>
      </c>
      <c r="GX41" s="1">
        <v>20140</v>
      </c>
      <c r="GY41">
        <v>20</v>
      </c>
      <c r="GZ41" s="1">
        <v>23841</v>
      </c>
      <c r="HA41" s="1">
        <v>78903</v>
      </c>
      <c r="HB41" s="1">
        <v>7131</v>
      </c>
      <c r="HC41" s="1">
        <v>130151</v>
      </c>
      <c r="HD41" s="1">
        <v>216185</v>
      </c>
      <c r="HE41">
        <v>963</v>
      </c>
      <c r="HF41" s="1">
        <v>218075</v>
      </c>
      <c r="HG41" s="1">
        <v>8199</v>
      </c>
      <c r="HH41" s="1">
        <v>31183</v>
      </c>
      <c r="HI41">
        <v>927</v>
      </c>
      <c r="HJ41">
        <v>556</v>
      </c>
      <c r="HK41" s="1">
        <v>39938</v>
      </c>
      <c r="HL41" s="1">
        <v>258013</v>
      </c>
      <c r="HM41">
        <v>116</v>
      </c>
      <c r="HN41" s="1">
        <v>12454</v>
      </c>
      <c r="HO41" s="1">
        <v>12570</v>
      </c>
      <c r="HP41">
        <v>282</v>
      </c>
      <c r="HQ41" s="1">
        <v>5064</v>
      </c>
      <c r="HR41" s="1">
        <v>5346</v>
      </c>
      <c r="HS41">
        <v>0</v>
      </c>
      <c r="HT41">
        <v>41</v>
      </c>
      <c r="HU41">
        <v>41</v>
      </c>
      <c r="HV41">
        <v>0</v>
      </c>
      <c r="HW41" s="1">
        <v>17957</v>
      </c>
      <c r="HX41" s="1">
        <v>6820</v>
      </c>
      <c r="HY41" s="1">
        <v>55560</v>
      </c>
      <c r="HZ41" s="1">
        <v>62380</v>
      </c>
      <c r="IA41" s="1">
        <v>80337</v>
      </c>
      <c r="IB41" s="1">
        <v>13545</v>
      </c>
      <c r="IC41" s="1">
        <v>44769</v>
      </c>
      <c r="ID41" s="1">
        <v>275970</v>
      </c>
      <c r="IE41" s="1">
        <v>275970</v>
      </c>
      <c r="IF41" s="1">
        <v>338350</v>
      </c>
      <c r="IG41" s="1">
        <v>151561</v>
      </c>
      <c r="IH41">
        <v>944</v>
      </c>
      <c r="IK41">
        <v>3</v>
      </c>
      <c r="IL41" s="3">
        <v>3.9399999999999998E-2</v>
      </c>
      <c r="IM41" s="3">
        <v>4.0000000000000002E-4</v>
      </c>
      <c r="IN41" s="3">
        <v>0.21779999999999999</v>
      </c>
      <c r="IO41" s="3">
        <v>0</v>
      </c>
      <c r="IP41" s="3">
        <v>0.20319999999999999</v>
      </c>
      <c r="IQ41" s="3">
        <v>2.9999999999999997E-4</v>
      </c>
      <c r="IR41" s="3">
        <v>0.71779999999999999</v>
      </c>
      <c r="IS41" s="3">
        <v>3.2599999999999997E-2</v>
      </c>
      <c r="IT41" s="3">
        <v>0.54920000000000002</v>
      </c>
      <c r="IU41" s="1">
        <v>47226</v>
      </c>
      <c r="IV41" s="1">
        <v>11007</v>
      </c>
      <c r="IW41" s="1">
        <v>58233</v>
      </c>
      <c r="IX41" s="3">
        <v>0.45810000000000001</v>
      </c>
      <c r="IY41" s="1">
        <v>241213</v>
      </c>
      <c r="JA41">
        <v>72</v>
      </c>
      <c r="JB41">
        <v>34</v>
      </c>
      <c r="JC41">
        <v>429</v>
      </c>
      <c r="JD41">
        <v>0</v>
      </c>
      <c r="JE41">
        <v>0</v>
      </c>
      <c r="JF41">
        <v>156</v>
      </c>
      <c r="JG41">
        <v>72</v>
      </c>
      <c r="JH41">
        <v>34</v>
      </c>
      <c r="JI41">
        <v>585</v>
      </c>
      <c r="JJ41">
        <v>691</v>
      </c>
      <c r="JK41">
        <v>535</v>
      </c>
      <c r="JL41">
        <v>156</v>
      </c>
      <c r="JM41">
        <v>495</v>
      </c>
      <c r="JN41">
        <v>277</v>
      </c>
      <c r="JO41" s="1">
        <v>12706</v>
      </c>
      <c r="JP41">
        <v>0</v>
      </c>
      <c r="JQ41">
        <v>0</v>
      </c>
      <c r="JR41" s="1">
        <v>4182</v>
      </c>
      <c r="JS41">
        <v>495</v>
      </c>
      <c r="JT41">
        <v>277</v>
      </c>
      <c r="JU41" s="1">
        <v>16888</v>
      </c>
      <c r="JV41" s="1">
        <v>17660</v>
      </c>
      <c r="JW41" s="1">
        <v>13478</v>
      </c>
      <c r="JX41" s="1">
        <v>4182</v>
      </c>
      <c r="JY41">
        <v>25.56</v>
      </c>
      <c r="JZ41">
        <v>6.88</v>
      </c>
      <c r="KA41">
        <v>28.87</v>
      </c>
      <c r="KB41">
        <v>0.03</v>
      </c>
      <c r="KC41">
        <v>0.96</v>
      </c>
      <c r="KD41">
        <v>5</v>
      </c>
      <c r="KE41">
        <v>72</v>
      </c>
      <c r="KF41">
        <v>5</v>
      </c>
      <c r="KG41">
        <v>72</v>
      </c>
      <c r="KN41" s="1">
        <v>8123</v>
      </c>
      <c r="KO41" s="1">
        <v>4299</v>
      </c>
      <c r="KP41" s="1">
        <v>2567</v>
      </c>
      <c r="KR41">
        <v>588</v>
      </c>
      <c r="KS41" s="1">
        <v>4344</v>
      </c>
      <c r="KT41" s="1">
        <v>18273</v>
      </c>
      <c r="KU41" s="1">
        <v>18554</v>
      </c>
      <c r="KV41">
        <v>29</v>
      </c>
      <c r="KW41">
        <v>99</v>
      </c>
      <c r="KX41" s="1">
        <v>33242</v>
      </c>
      <c r="KZ41" s="1">
        <v>26711</v>
      </c>
      <c r="LD41" t="s">
        <v>876</v>
      </c>
      <c r="LE41" t="s">
        <v>379</v>
      </c>
      <c r="LF41" t="s">
        <v>873</v>
      </c>
      <c r="LG41" t="s">
        <v>874</v>
      </c>
      <c r="LH41">
        <v>27546</v>
      </c>
      <c r="LI41">
        <v>1149</v>
      </c>
      <c r="LJ41" t="s">
        <v>875</v>
      </c>
      <c r="LK41" t="s">
        <v>874</v>
      </c>
      <c r="LL41">
        <v>27546</v>
      </c>
      <c r="LM41">
        <v>1149</v>
      </c>
      <c r="LN41" t="s">
        <v>877</v>
      </c>
      <c r="LO41">
        <v>9108933446</v>
      </c>
      <c r="LP41">
        <v>9108933001</v>
      </c>
      <c r="LQ41" s="1">
        <v>28495</v>
      </c>
      <c r="LR41">
        <v>24.8</v>
      </c>
      <c r="LT41" s="1">
        <v>11674</v>
      </c>
      <c r="LU41">
        <v>308</v>
      </c>
      <c r="LX41">
        <v>2</v>
      </c>
      <c r="LY41" t="s">
        <v>883</v>
      </c>
      <c r="LZ41">
        <v>0</v>
      </c>
      <c r="MA41" t="s">
        <v>363</v>
      </c>
      <c r="MB41">
        <v>9</v>
      </c>
      <c r="MC41">
        <v>89</v>
      </c>
      <c r="ME41" s="574">
        <v>4.6500000000000004</v>
      </c>
      <c r="MF41" s="574">
        <v>3.5</v>
      </c>
      <c r="MG41" s="574">
        <v>0.56999999999999995</v>
      </c>
      <c r="MH41" s="574">
        <v>22.01</v>
      </c>
      <c r="MI41" s="574">
        <v>16.59</v>
      </c>
      <c r="MJ41" s="574">
        <v>2.68</v>
      </c>
      <c r="MK41" s="574">
        <v>5.31</v>
      </c>
      <c r="ML41" s="574">
        <v>4.01</v>
      </c>
      <c r="MM41" s="574">
        <v>0.65</v>
      </c>
      <c r="MN41" s="574">
        <v>157.81</v>
      </c>
      <c r="MO41" s="574">
        <v>118.96</v>
      </c>
      <c r="MP41" s="574">
        <v>19.23</v>
      </c>
      <c r="MQ41" s="574">
        <v>72.59</v>
      </c>
      <c r="MR41" s="574">
        <v>54.72</v>
      </c>
      <c r="MS41" s="574">
        <v>8.85</v>
      </c>
      <c r="MT41" s="574">
        <v>8.4600000000000009</v>
      </c>
      <c r="MU41" s="574">
        <v>6.38</v>
      </c>
      <c r="MV41" s="574">
        <v>1.03</v>
      </c>
      <c r="MW41">
        <v>531</v>
      </c>
      <c r="MX41" s="1">
        <v>2708</v>
      </c>
      <c r="MY41" s="1">
        <v>1625</v>
      </c>
      <c r="MZ41" s="1">
        <v>15766</v>
      </c>
      <c r="NA41" s="1">
        <v>80404</v>
      </c>
      <c r="NB41" s="1">
        <v>48243</v>
      </c>
      <c r="NC41" s="1">
        <v>55194</v>
      </c>
      <c r="ND41" s="1">
        <v>91990</v>
      </c>
      <c r="NE41">
        <v>1.1100000000000001</v>
      </c>
      <c r="NF41" s="1">
        <v>18037</v>
      </c>
      <c r="NG41">
        <v>8.67</v>
      </c>
      <c r="NH41">
        <v>2.1709999999999998</v>
      </c>
      <c r="NI41">
        <v>1.9</v>
      </c>
      <c r="NJ41">
        <v>313.79000000000002</v>
      </c>
      <c r="NK41">
        <v>318.62</v>
      </c>
      <c r="NL41">
        <v>6.3899999999999998E-2</v>
      </c>
      <c r="NM41">
        <v>1.1921999999999999</v>
      </c>
      <c r="NN41">
        <v>0.46</v>
      </c>
      <c r="NO41">
        <v>0.14000000000000001</v>
      </c>
      <c r="NP41">
        <v>0.14000000000000001</v>
      </c>
      <c r="NQ41">
        <v>0.15</v>
      </c>
      <c r="NR41">
        <v>0.26</v>
      </c>
      <c r="NS41">
        <v>0</v>
      </c>
      <c r="NT41">
        <v>0.13</v>
      </c>
      <c r="NU41" s="574">
        <v>7.6</v>
      </c>
      <c r="NV41">
        <v>1.96</v>
      </c>
      <c r="NW41">
        <v>0</v>
      </c>
      <c r="NX41">
        <v>1E-3</v>
      </c>
      <c r="NY41">
        <v>0.39800000000000002</v>
      </c>
      <c r="NZ41">
        <v>1E-3</v>
      </c>
      <c r="OA41">
        <v>5.1499999999999997E-2</v>
      </c>
      <c r="OB41">
        <v>0.26269999999999999</v>
      </c>
      <c r="OC41">
        <v>1.855</v>
      </c>
      <c r="OD41">
        <v>1.407</v>
      </c>
      <c r="OE41">
        <v>8.1000000000000003E-2</v>
      </c>
      <c r="OF41">
        <v>869.524</v>
      </c>
      <c r="OG41">
        <v>1.2709999999999999</v>
      </c>
      <c r="OH41" s="574">
        <v>1.25</v>
      </c>
      <c r="OI41">
        <v>139</v>
      </c>
      <c r="OJ41">
        <v>169</v>
      </c>
      <c r="OK41" s="574">
        <v>10.08</v>
      </c>
      <c r="OL41" s="574">
        <v>1.23</v>
      </c>
      <c r="OM41" s="574">
        <v>0.93</v>
      </c>
      <c r="ON41">
        <v>0.12039999999999999</v>
      </c>
      <c r="OO41">
        <v>2.3599999999999999E-2</v>
      </c>
      <c r="OP41">
        <v>0.1769</v>
      </c>
      <c r="OQ41" s="574">
        <v>1.25</v>
      </c>
      <c r="OR41" s="574">
        <v>10.76</v>
      </c>
      <c r="OS41" s="574">
        <v>0.22</v>
      </c>
      <c r="OT41" s="574">
        <v>0.09</v>
      </c>
      <c r="OU41" s="574">
        <v>12.32</v>
      </c>
      <c r="OV41">
        <v>351</v>
      </c>
      <c r="OW41">
        <v>357</v>
      </c>
      <c r="OX41">
        <v>1.1399999999999999</v>
      </c>
      <c r="OY41" s="1">
        <v>5307</v>
      </c>
      <c r="OZ41">
        <v>20.66</v>
      </c>
      <c r="PA41" s="1">
        <v>4639</v>
      </c>
      <c r="PB41">
        <v>0.7</v>
      </c>
      <c r="PC41">
        <v>23.64</v>
      </c>
      <c r="PD41">
        <v>0.03</v>
      </c>
      <c r="PE41">
        <v>156</v>
      </c>
      <c r="PF41">
        <v>0.9</v>
      </c>
      <c r="PG41" s="574">
        <v>0.65</v>
      </c>
      <c r="PH41">
        <v>1.03</v>
      </c>
      <c r="PI41">
        <v>9.18</v>
      </c>
      <c r="PJ41">
        <v>4.74</v>
      </c>
      <c r="PK41" s="574">
        <v>5.31</v>
      </c>
      <c r="PL41">
        <v>32.07</v>
      </c>
      <c r="PM41" s="4">
        <v>63158</v>
      </c>
      <c r="PN41" s="4">
        <v>46703</v>
      </c>
      <c r="PO41">
        <v>5.5399999999999998E-2</v>
      </c>
      <c r="PP41">
        <v>1.8835</v>
      </c>
      <c r="PQ41">
        <v>6.3399999999999998E-2</v>
      </c>
      <c r="PR41">
        <v>1.09E-2</v>
      </c>
      <c r="PS41">
        <v>0.36930000000000002</v>
      </c>
      <c r="PT41">
        <v>1.24E-2</v>
      </c>
      <c r="PU41" s="3">
        <v>0.6</v>
      </c>
      <c r="PV41" s="3">
        <v>0.32679999999999998</v>
      </c>
      <c r="PW41" s="3">
        <v>0.67320000000000002</v>
      </c>
      <c r="PX41" s="3">
        <v>0.26050000000000001</v>
      </c>
      <c r="PY41" s="3">
        <v>0.73950000000000005</v>
      </c>
      <c r="PZ41" s="3">
        <v>0.12189999999999999</v>
      </c>
      <c r="QA41" s="3">
        <v>2.3599999999999999E-2</v>
      </c>
      <c r="QB41" s="3">
        <v>0.19639999999999999</v>
      </c>
      <c r="QC41" s="3">
        <v>5.8999999999999999E-3</v>
      </c>
      <c r="QD41" s="3">
        <v>0.12429999999999999</v>
      </c>
      <c r="QE41" s="3">
        <v>9.2299999999999993E-2</v>
      </c>
      <c r="QF41" s="3">
        <v>0.55740000000000001</v>
      </c>
      <c r="QG41" s="3">
        <v>0.75380000000000003</v>
      </c>
      <c r="QH41" s="3">
        <v>1.7899999999999999E-2</v>
      </c>
      <c r="QI41" s="3">
        <v>0.87290000000000001</v>
      </c>
      <c r="QJ41" s="3">
        <v>7.7000000000000002E-3</v>
      </c>
      <c r="QK41" s="3">
        <v>0.10150000000000001</v>
      </c>
      <c r="QL41" s="4">
        <v>16454</v>
      </c>
      <c r="QM41">
        <v>4.1399999999999997</v>
      </c>
      <c r="QN41" s="1">
        <v>25425</v>
      </c>
      <c r="QO41" s="1">
        <v>42376</v>
      </c>
      <c r="QP41" s="1">
        <v>8309</v>
      </c>
      <c r="QQ41" s="3">
        <v>0.75760000000000005</v>
      </c>
      <c r="QR41" s="3">
        <v>0.19389999999999999</v>
      </c>
      <c r="QS41" s="3">
        <v>4.8399999999999999E-2</v>
      </c>
      <c r="QT41" s="3">
        <v>0.1961</v>
      </c>
      <c r="QU41">
        <v>0.39</v>
      </c>
      <c r="QV41">
        <v>1.1000000000000001</v>
      </c>
      <c r="QW41">
        <v>0.28999999999999998</v>
      </c>
      <c r="QX41">
        <v>9</v>
      </c>
      <c r="QY41">
        <v>2.33</v>
      </c>
      <c r="QZ41">
        <v>36</v>
      </c>
      <c r="RA41">
        <v>1.77</v>
      </c>
      <c r="RB41">
        <v>0.22</v>
      </c>
      <c r="RC41">
        <v>0.18</v>
      </c>
    </row>
    <row r="42" spans="1:471" x14ac:dyDescent="0.25">
      <c r="A42" t="s">
        <v>884</v>
      </c>
      <c r="B42">
        <v>11714</v>
      </c>
      <c r="C42" t="s">
        <v>1754</v>
      </c>
      <c r="D42" t="s">
        <v>1754</v>
      </c>
      <c r="E42" t="s">
        <v>1754</v>
      </c>
      <c r="F42" t="s">
        <v>1755</v>
      </c>
      <c r="G42" t="s">
        <v>1755</v>
      </c>
      <c r="H42" t="s">
        <v>885</v>
      </c>
      <c r="I42" t="s">
        <v>342</v>
      </c>
      <c r="J42" t="s">
        <v>559</v>
      </c>
      <c r="K42" t="s">
        <v>533</v>
      </c>
      <c r="L42" t="s">
        <v>345</v>
      </c>
      <c r="M42" t="s">
        <v>560</v>
      </c>
      <c r="N42" t="s">
        <v>347</v>
      </c>
      <c r="O42" s="1">
        <v>5303</v>
      </c>
      <c r="P42" t="s">
        <v>472</v>
      </c>
      <c r="Q42">
        <v>73</v>
      </c>
      <c r="R42">
        <v>6</v>
      </c>
      <c r="S42">
        <v>3</v>
      </c>
      <c r="T42">
        <v>1</v>
      </c>
      <c r="U42">
        <v>40</v>
      </c>
      <c r="V42">
        <v>-1</v>
      </c>
      <c r="W42">
        <v>544</v>
      </c>
      <c r="X42">
        <v>314</v>
      </c>
      <c r="AC42" t="s">
        <v>886</v>
      </c>
      <c r="AD42" t="s">
        <v>887</v>
      </c>
      <c r="AE42">
        <v>27856</v>
      </c>
      <c r="AG42" t="s">
        <v>886</v>
      </c>
      <c r="AH42" t="s">
        <v>887</v>
      </c>
      <c r="AI42">
        <v>27856</v>
      </c>
      <c r="AJ42">
        <v>1</v>
      </c>
      <c r="AK42" t="s">
        <v>888</v>
      </c>
      <c r="AM42" t="s">
        <v>564</v>
      </c>
      <c r="AN42" t="s">
        <v>461</v>
      </c>
      <c r="AO42" t="s">
        <v>1916</v>
      </c>
      <c r="AP42">
        <v>2524592106</v>
      </c>
      <c r="AQ42" t="s">
        <v>890</v>
      </c>
      <c r="AR42" t="s">
        <v>1917</v>
      </c>
      <c r="AS42" t="s">
        <v>1916</v>
      </c>
      <c r="AT42" t="s">
        <v>1</v>
      </c>
      <c r="AU42" t="s">
        <v>889</v>
      </c>
      <c r="AV42" t="s">
        <v>890</v>
      </c>
      <c r="AW42" t="s">
        <v>1917</v>
      </c>
      <c r="AX42" t="s">
        <v>891</v>
      </c>
      <c r="AY42">
        <v>0</v>
      </c>
      <c r="AZ42">
        <v>0</v>
      </c>
      <c r="BA42">
        <v>0</v>
      </c>
      <c r="BB42" s="573">
        <v>42186</v>
      </c>
      <c r="BC42" s="573">
        <v>42551</v>
      </c>
      <c r="BD42">
        <v>1</v>
      </c>
      <c r="BE42">
        <v>0</v>
      </c>
      <c r="BF42">
        <v>0</v>
      </c>
      <c r="BG42">
        <v>0</v>
      </c>
      <c r="BH42">
        <v>1</v>
      </c>
      <c r="BJ42" s="1">
        <v>2652</v>
      </c>
      <c r="BK42">
        <v>1</v>
      </c>
      <c r="BL42">
        <v>0</v>
      </c>
      <c r="BM42">
        <v>1</v>
      </c>
      <c r="BN42">
        <v>3.75</v>
      </c>
      <c r="BO42">
        <v>4.75</v>
      </c>
      <c r="BP42" s="3">
        <v>0.21049999999999999</v>
      </c>
      <c r="BR42" s="4">
        <v>45000</v>
      </c>
      <c r="DW42" s="4">
        <v>195454</v>
      </c>
      <c r="DX42" s="4">
        <v>0</v>
      </c>
      <c r="DY42" s="4">
        <v>195454</v>
      </c>
      <c r="DZ42" s="4">
        <v>3900</v>
      </c>
      <c r="EA42" s="4">
        <v>0</v>
      </c>
      <c r="EB42" s="4">
        <v>3900</v>
      </c>
      <c r="EC42" s="4">
        <v>0</v>
      </c>
      <c r="ED42" s="4">
        <v>0</v>
      </c>
      <c r="EE42" s="4">
        <v>0</v>
      </c>
      <c r="EF42" s="4">
        <v>0</v>
      </c>
      <c r="EG42" s="4">
        <v>199354</v>
      </c>
      <c r="EH42" s="4">
        <v>112831</v>
      </c>
      <c r="EI42" s="4">
        <v>32673</v>
      </c>
      <c r="EJ42" s="4">
        <v>145504</v>
      </c>
      <c r="EK42" s="4">
        <v>12000</v>
      </c>
      <c r="EL42" s="4">
        <v>0</v>
      </c>
      <c r="EM42" s="4">
        <v>3900</v>
      </c>
      <c r="EN42" s="4">
        <v>15900</v>
      </c>
      <c r="EO42" s="4">
        <v>30450</v>
      </c>
      <c r="EP42" s="4">
        <v>191854</v>
      </c>
      <c r="EQ42" s="4">
        <v>7500</v>
      </c>
      <c r="ER42" s="3">
        <v>3.7600000000000001E-2</v>
      </c>
      <c r="ES42" s="4">
        <v>0</v>
      </c>
      <c r="ET42" s="4">
        <v>0</v>
      </c>
      <c r="EU42" s="4">
        <v>0</v>
      </c>
      <c r="EV42" s="4">
        <v>0</v>
      </c>
      <c r="EW42" s="4">
        <v>0</v>
      </c>
      <c r="EX42" s="4">
        <v>0</v>
      </c>
      <c r="EY42" s="1">
        <v>3903</v>
      </c>
      <c r="EZ42" s="1">
        <v>50205</v>
      </c>
      <c r="FA42" s="1">
        <v>7273</v>
      </c>
      <c r="FB42">
        <v>964</v>
      </c>
      <c r="FC42" s="1">
        <v>6730</v>
      </c>
      <c r="FD42" s="1">
        <v>2800</v>
      </c>
      <c r="FE42">
        <v>61</v>
      </c>
      <c r="FF42" s="1">
        <v>1630</v>
      </c>
      <c r="FG42" s="1">
        <v>10073</v>
      </c>
      <c r="FH42" s="1">
        <v>1025</v>
      </c>
      <c r="FI42" s="1">
        <v>8360</v>
      </c>
      <c r="FJ42" s="1">
        <v>19458</v>
      </c>
      <c r="FK42">
        <v>6</v>
      </c>
      <c r="FL42">
        <v>29</v>
      </c>
      <c r="FN42" s="1">
        <v>19458</v>
      </c>
      <c r="FO42">
        <v>359</v>
      </c>
      <c r="FP42" s="1">
        <v>1522</v>
      </c>
      <c r="FQ42">
        <v>11</v>
      </c>
      <c r="FR42">
        <v>0</v>
      </c>
      <c r="FS42">
        <v>74</v>
      </c>
      <c r="FT42">
        <v>74</v>
      </c>
      <c r="FU42" s="1">
        <v>26725</v>
      </c>
      <c r="FV42" s="1">
        <v>2022</v>
      </c>
      <c r="FW42">
        <v>0</v>
      </c>
      <c r="GK42">
        <v>0</v>
      </c>
      <c r="GL42">
        <v>0</v>
      </c>
      <c r="GM42">
        <v>0</v>
      </c>
      <c r="GN42">
        <v>-1</v>
      </c>
      <c r="GO42" s="1">
        <v>26725</v>
      </c>
      <c r="GP42" s="1">
        <v>2022</v>
      </c>
      <c r="GQ42">
        <v>0</v>
      </c>
      <c r="GR42">
        <v>-1</v>
      </c>
      <c r="GS42">
        <v>5</v>
      </c>
      <c r="GU42" s="1">
        <v>12216</v>
      </c>
      <c r="GV42">
        <v>913</v>
      </c>
      <c r="GW42" s="1">
        <v>4734</v>
      </c>
      <c r="GX42">
        <v>931</v>
      </c>
      <c r="GY42">
        <v>69</v>
      </c>
      <c r="GZ42" s="1">
        <v>1611</v>
      </c>
      <c r="HA42" s="1">
        <v>13147</v>
      </c>
      <c r="HB42">
        <v>982</v>
      </c>
      <c r="HC42" s="1">
        <v>6345</v>
      </c>
      <c r="HD42" s="1">
        <v>20474</v>
      </c>
      <c r="HE42">
        <v>377</v>
      </c>
      <c r="HF42" s="1">
        <v>20851</v>
      </c>
      <c r="HG42">
        <v>507</v>
      </c>
      <c r="HH42" s="1">
        <v>6288</v>
      </c>
      <c r="HI42">
        <v>0</v>
      </c>
      <c r="HJ42">
        <v>0</v>
      </c>
      <c r="HK42" s="1">
        <v>6795</v>
      </c>
      <c r="HL42" s="1">
        <v>27646</v>
      </c>
      <c r="HM42">
        <v>1</v>
      </c>
      <c r="HN42">
        <v>0</v>
      </c>
      <c r="HO42">
        <v>1</v>
      </c>
      <c r="HP42">
        <v>12</v>
      </c>
      <c r="HQ42">
        <v>0</v>
      </c>
      <c r="HR42">
        <v>12</v>
      </c>
      <c r="HS42">
        <v>0</v>
      </c>
      <c r="HT42">
        <v>0</v>
      </c>
      <c r="HU42">
        <v>0</v>
      </c>
      <c r="HV42">
        <v>0</v>
      </c>
      <c r="HW42">
        <v>13</v>
      </c>
      <c r="HX42" s="1">
        <v>1089</v>
      </c>
      <c r="HY42">
        <v>0</v>
      </c>
      <c r="HZ42" s="1">
        <v>1089</v>
      </c>
      <c r="IA42" s="1">
        <v>1102</v>
      </c>
      <c r="IB42">
        <v>519</v>
      </c>
      <c r="IC42" s="1">
        <v>6807</v>
      </c>
      <c r="ID42" s="1">
        <v>27659</v>
      </c>
      <c r="IE42" s="1">
        <v>27659</v>
      </c>
      <c r="IF42" s="1">
        <v>28748</v>
      </c>
      <c r="IG42" s="1">
        <v>6345</v>
      </c>
      <c r="IH42">
        <v>354</v>
      </c>
      <c r="IK42">
        <v>1</v>
      </c>
      <c r="IL42" s="3">
        <v>3.0300000000000001E-2</v>
      </c>
      <c r="IM42" s="3">
        <v>5.9999999999999995E-4</v>
      </c>
      <c r="IN42" s="3">
        <v>0.5726</v>
      </c>
      <c r="IO42" s="3">
        <v>0</v>
      </c>
      <c r="IP42" s="3">
        <v>0.5323</v>
      </c>
      <c r="IQ42" s="3">
        <v>1.5E-3</v>
      </c>
      <c r="IR42" s="3">
        <v>0.3876</v>
      </c>
      <c r="IS42" s="3">
        <v>4.7399999999999998E-2</v>
      </c>
      <c r="IT42" s="3">
        <v>0.22939999999999999</v>
      </c>
      <c r="IU42" s="1">
        <v>6735</v>
      </c>
      <c r="IV42">
        <v>841</v>
      </c>
      <c r="IW42" s="1">
        <v>7576</v>
      </c>
      <c r="IX42" s="3">
        <v>1.4286000000000001</v>
      </c>
      <c r="IY42" s="1">
        <v>51592</v>
      </c>
      <c r="JA42">
        <v>8</v>
      </c>
      <c r="JB42">
        <v>0</v>
      </c>
      <c r="JC42">
        <v>11</v>
      </c>
      <c r="JD42">
        <v>0</v>
      </c>
      <c r="JE42">
        <v>0</v>
      </c>
      <c r="JF42">
        <v>0</v>
      </c>
      <c r="JG42">
        <v>8</v>
      </c>
      <c r="JH42">
        <v>0</v>
      </c>
      <c r="JI42">
        <v>11</v>
      </c>
      <c r="JJ42">
        <v>19</v>
      </c>
      <c r="JK42">
        <v>19</v>
      </c>
      <c r="JL42">
        <v>0</v>
      </c>
      <c r="JM42">
        <v>65</v>
      </c>
      <c r="JN42">
        <v>0</v>
      </c>
      <c r="JO42">
        <v>646</v>
      </c>
      <c r="JP42">
        <v>0</v>
      </c>
      <c r="JQ42">
        <v>0</v>
      </c>
      <c r="JR42">
        <v>0</v>
      </c>
      <c r="JS42">
        <v>65</v>
      </c>
      <c r="JT42">
        <v>0</v>
      </c>
      <c r="JU42">
        <v>646</v>
      </c>
      <c r="JV42">
        <v>711</v>
      </c>
      <c r="JW42">
        <v>711</v>
      </c>
      <c r="JX42">
        <v>0</v>
      </c>
      <c r="JY42">
        <v>37.42</v>
      </c>
      <c r="JZ42">
        <v>8.1300000000000008</v>
      </c>
      <c r="KA42">
        <v>58.73</v>
      </c>
      <c r="KB42">
        <v>0.09</v>
      </c>
      <c r="KC42">
        <v>0.91</v>
      </c>
      <c r="KD42">
        <v>2</v>
      </c>
      <c r="KE42">
        <v>6</v>
      </c>
      <c r="KF42">
        <v>0</v>
      </c>
      <c r="KG42">
        <v>0</v>
      </c>
      <c r="KN42" s="1">
        <v>2175</v>
      </c>
      <c r="KO42">
        <v>256</v>
      </c>
      <c r="KP42">
        <v>117</v>
      </c>
      <c r="KS42" s="1">
        <v>2496</v>
      </c>
      <c r="KT42">
        <v>0</v>
      </c>
      <c r="KU42">
        <v>0</v>
      </c>
      <c r="KV42">
        <v>4</v>
      </c>
      <c r="KW42">
        <v>18</v>
      </c>
      <c r="KX42" s="1">
        <v>5667</v>
      </c>
      <c r="LA42" s="1">
        <v>4776</v>
      </c>
      <c r="LD42" t="s">
        <v>888</v>
      </c>
      <c r="LE42" t="s">
        <v>361</v>
      </c>
      <c r="LF42" t="s">
        <v>886</v>
      </c>
      <c r="LG42" t="s">
        <v>887</v>
      </c>
      <c r="LH42">
        <v>27856</v>
      </c>
      <c r="LI42">
        <v>1310</v>
      </c>
      <c r="LJ42" t="s">
        <v>886</v>
      </c>
      <c r="LK42" t="s">
        <v>887</v>
      </c>
      <c r="LL42">
        <v>27856</v>
      </c>
      <c r="LM42">
        <v>1310</v>
      </c>
      <c r="LN42" t="s">
        <v>461</v>
      </c>
      <c r="LO42">
        <v>2524592106</v>
      </c>
      <c r="LP42">
        <v>2524598926</v>
      </c>
      <c r="LQ42" s="1">
        <v>6000</v>
      </c>
      <c r="LR42">
        <v>2</v>
      </c>
      <c r="LT42" s="1">
        <v>2652</v>
      </c>
      <c r="LU42">
        <v>52</v>
      </c>
      <c r="LX42">
        <v>1</v>
      </c>
      <c r="LY42" t="s">
        <v>892</v>
      </c>
      <c r="LZ42">
        <v>0</v>
      </c>
      <c r="MA42" t="s">
        <v>363</v>
      </c>
      <c r="MB42">
        <v>1</v>
      </c>
      <c r="MC42">
        <v>15</v>
      </c>
      <c r="ME42" s="574">
        <v>6.94</v>
      </c>
      <c r="MF42" s="574">
        <v>5.26</v>
      </c>
      <c r="MG42" s="574">
        <v>0.56999999999999995</v>
      </c>
      <c r="MH42" s="574">
        <v>25.32</v>
      </c>
      <c r="MI42" s="574">
        <v>19.21</v>
      </c>
      <c r="MJ42" s="574">
        <v>2.1</v>
      </c>
      <c r="MK42" s="574">
        <v>3.72</v>
      </c>
      <c r="ML42" s="574">
        <v>2.82</v>
      </c>
      <c r="MM42" s="574">
        <v>0.31</v>
      </c>
      <c r="MN42" s="574">
        <v>88.21</v>
      </c>
      <c r="MO42" s="574">
        <v>66.900000000000006</v>
      </c>
      <c r="MP42" s="574">
        <v>7.31</v>
      </c>
      <c r="MQ42" s="574">
        <v>269.83999999999997</v>
      </c>
      <c r="MR42" s="574">
        <v>204.65</v>
      </c>
      <c r="MS42" s="574">
        <v>22.36</v>
      </c>
      <c r="MT42" s="574">
        <v>30.24</v>
      </c>
      <c r="MU42" s="574">
        <v>22.93</v>
      </c>
      <c r="MV42" s="574">
        <v>2.5099999999999998</v>
      </c>
      <c r="MW42">
        <v>458</v>
      </c>
      <c r="MX42" s="1">
        <v>2175</v>
      </c>
      <c r="MY42" s="1">
        <v>2175</v>
      </c>
      <c r="MZ42" s="1">
        <v>10861</v>
      </c>
      <c r="NA42" s="1">
        <v>51592</v>
      </c>
      <c r="NB42" s="1">
        <v>51592</v>
      </c>
      <c r="NC42" s="1">
        <v>27659</v>
      </c>
      <c r="ND42" s="1">
        <v>27659</v>
      </c>
      <c r="NE42">
        <v>0.55000000000000004</v>
      </c>
      <c r="NF42" s="1">
        <v>5823</v>
      </c>
      <c r="NG42">
        <v>2.8</v>
      </c>
      <c r="NH42">
        <v>5.2160000000000002</v>
      </c>
      <c r="NI42">
        <v>9.73</v>
      </c>
      <c r="NJ42">
        <v>0</v>
      </c>
      <c r="NK42">
        <v>0</v>
      </c>
      <c r="NL42">
        <v>0.41020000000000001</v>
      </c>
      <c r="NM42">
        <v>1.1964999999999999</v>
      </c>
      <c r="NN42">
        <v>1.43</v>
      </c>
      <c r="NO42">
        <v>0.13</v>
      </c>
      <c r="NP42">
        <v>0</v>
      </c>
      <c r="NQ42">
        <v>0</v>
      </c>
      <c r="NR42">
        <v>1.07</v>
      </c>
      <c r="NS42">
        <v>0.01</v>
      </c>
      <c r="NT42">
        <v>0.12</v>
      </c>
      <c r="NU42" s="574">
        <v>27.44</v>
      </c>
      <c r="NV42">
        <v>9.4670000000000005</v>
      </c>
      <c r="NW42">
        <v>0</v>
      </c>
      <c r="NX42">
        <v>5.0000000000000001E-3</v>
      </c>
      <c r="NY42">
        <v>5.04</v>
      </c>
      <c r="NZ42">
        <v>1.4E-2</v>
      </c>
      <c r="OA42">
        <v>0.13200000000000001</v>
      </c>
      <c r="OB42">
        <v>0.627</v>
      </c>
      <c r="OC42">
        <v>3.8279999999999998</v>
      </c>
      <c r="OD42">
        <v>3.669</v>
      </c>
      <c r="OE42">
        <v>0.70720000000000005</v>
      </c>
      <c r="OF42" s="2">
        <v>3527.587</v>
      </c>
      <c r="OG42">
        <v>9.7680000000000007</v>
      </c>
      <c r="OH42" s="574">
        <v>5.74</v>
      </c>
      <c r="OI42">
        <v>314</v>
      </c>
      <c r="OJ42">
        <v>201</v>
      </c>
      <c r="OK42" s="574">
        <v>36.18</v>
      </c>
      <c r="OL42" s="574">
        <v>3</v>
      </c>
      <c r="OM42" s="574">
        <v>2.2599999999999998</v>
      </c>
      <c r="ON42">
        <v>0.89570000000000005</v>
      </c>
      <c r="OO42">
        <v>0.18859999999999999</v>
      </c>
      <c r="OP42">
        <v>0.495</v>
      </c>
      <c r="OQ42" s="574">
        <v>0.74</v>
      </c>
      <c r="OR42" s="574">
        <v>36.86</v>
      </c>
      <c r="OS42" s="574">
        <v>0</v>
      </c>
      <c r="OT42" s="574">
        <v>0</v>
      </c>
      <c r="OU42" s="574">
        <v>37.590000000000003</v>
      </c>
      <c r="OV42">
        <v>0</v>
      </c>
      <c r="OW42">
        <v>0</v>
      </c>
      <c r="OX42">
        <v>0.54</v>
      </c>
      <c r="OY42">
        <v>532</v>
      </c>
      <c r="OZ42">
        <v>19.45</v>
      </c>
      <c r="PA42">
        <v>992</v>
      </c>
      <c r="PB42">
        <v>0.82</v>
      </c>
      <c r="PC42">
        <v>10.43</v>
      </c>
      <c r="PD42">
        <v>0.04</v>
      </c>
      <c r="PE42">
        <v>42</v>
      </c>
      <c r="PF42">
        <v>1.82</v>
      </c>
      <c r="PG42" s="574">
        <v>0.31</v>
      </c>
      <c r="PH42">
        <v>0.97</v>
      </c>
      <c r="PI42">
        <v>50.01</v>
      </c>
      <c r="PJ42">
        <v>3.65</v>
      </c>
      <c r="PK42" s="574">
        <v>3.72</v>
      </c>
      <c r="PL42">
        <v>51</v>
      </c>
      <c r="PM42" s="4">
        <v>30632</v>
      </c>
      <c r="PN42" s="4">
        <v>23754</v>
      </c>
      <c r="PO42">
        <v>0.17169999999999999</v>
      </c>
      <c r="PP42">
        <v>2.1839</v>
      </c>
      <c r="PQ42">
        <v>9.2100000000000001E-2</v>
      </c>
      <c r="PR42">
        <v>3.6200000000000003E-2</v>
      </c>
      <c r="PS42">
        <v>0.45979999999999999</v>
      </c>
      <c r="PT42">
        <v>1.9400000000000001E-2</v>
      </c>
      <c r="PU42" s="3">
        <v>1</v>
      </c>
      <c r="PV42" s="3">
        <v>0.21049999999999999</v>
      </c>
      <c r="PW42" s="3">
        <v>0.78949999999999998</v>
      </c>
      <c r="PX42" s="3">
        <v>0.22459999999999999</v>
      </c>
      <c r="PY42" s="3">
        <v>0.77539999999999998</v>
      </c>
      <c r="PZ42" s="3">
        <v>8.2900000000000001E-2</v>
      </c>
      <c r="QA42" s="3">
        <v>0</v>
      </c>
      <c r="QB42" s="3">
        <v>0.17030000000000001</v>
      </c>
      <c r="QC42" s="3">
        <v>2.0299999999999999E-2</v>
      </c>
      <c r="QD42" s="3">
        <v>0.15870000000000001</v>
      </c>
      <c r="QE42" s="3">
        <v>6.25E-2</v>
      </c>
      <c r="QF42" s="3">
        <v>0.58809999999999996</v>
      </c>
      <c r="QG42" s="3">
        <v>0.75839999999999996</v>
      </c>
      <c r="QH42" s="3">
        <v>0</v>
      </c>
      <c r="QI42" s="3">
        <v>0.98040000000000005</v>
      </c>
      <c r="QJ42" s="3">
        <v>0</v>
      </c>
      <c r="QK42" s="3">
        <v>1.9599999999999999E-2</v>
      </c>
      <c r="QL42" s="4">
        <v>6879</v>
      </c>
      <c r="QM42">
        <v>6.81</v>
      </c>
      <c r="QN42" s="1">
        <v>5303</v>
      </c>
      <c r="QO42" s="1">
        <v>5303</v>
      </c>
      <c r="QP42" s="1">
        <v>1116</v>
      </c>
      <c r="QQ42" s="3">
        <v>0.75470000000000004</v>
      </c>
      <c r="QR42" s="3">
        <v>0</v>
      </c>
      <c r="QS42" s="3">
        <v>0.24529999999999999</v>
      </c>
      <c r="QT42" s="3">
        <v>0.21049999999999999</v>
      </c>
      <c r="QU42">
        <v>0.25</v>
      </c>
      <c r="QV42">
        <v>0.85</v>
      </c>
      <c r="QW42">
        <v>0.19</v>
      </c>
      <c r="QX42">
        <v>0</v>
      </c>
      <c r="QY42">
        <v>2.2999999999999998</v>
      </c>
      <c r="QZ42">
        <v>7</v>
      </c>
      <c r="RA42">
        <v>1.74</v>
      </c>
      <c r="RB42">
        <v>0.14000000000000001</v>
      </c>
      <c r="RC42">
        <v>0.14000000000000001</v>
      </c>
    </row>
    <row r="43" spans="1:471" x14ac:dyDescent="0.25">
      <c r="A43" t="s">
        <v>893</v>
      </c>
      <c r="B43">
        <v>11677</v>
      </c>
      <c r="C43" t="s">
        <v>1754</v>
      </c>
      <c r="D43" t="s">
        <v>1754</v>
      </c>
      <c r="E43" t="s">
        <v>1754</v>
      </c>
      <c r="F43" t="s">
        <v>1755</v>
      </c>
      <c r="G43" t="s">
        <v>1755</v>
      </c>
      <c r="H43" t="s">
        <v>894</v>
      </c>
      <c r="I43" t="s">
        <v>342</v>
      </c>
      <c r="J43" t="s">
        <v>343</v>
      </c>
      <c r="K43" t="s">
        <v>344</v>
      </c>
      <c r="L43" t="s">
        <v>345</v>
      </c>
      <c r="M43" t="s">
        <v>346</v>
      </c>
      <c r="N43" t="s">
        <v>347</v>
      </c>
      <c r="O43" s="1">
        <v>60631</v>
      </c>
      <c r="P43" t="s">
        <v>348</v>
      </c>
      <c r="Q43">
        <v>387</v>
      </c>
      <c r="R43">
        <v>88</v>
      </c>
      <c r="S43">
        <v>85</v>
      </c>
      <c r="T43">
        <v>41</v>
      </c>
      <c r="U43" s="1">
        <v>2686</v>
      </c>
      <c r="V43">
        <v>297</v>
      </c>
      <c r="W43" s="1">
        <v>22880</v>
      </c>
      <c r="X43" s="1">
        <v>2708</v>
      </c>
      <c r="AC43" t="s">
        <v>895</v>
      </c>
      <c r="AD43" t="s">
        <v>896</v>
      </c>
      <c r="AE43">
        <v>28786</v>
      </c>
      <c r="AF43">
        <v>3197</v>
      </c>
      <c r="AG43" t="s">
        <v>895</v>
      </c>
      <c r="AH43" t="s">
        <v>896</v>
      </c>
      <c r="AI43">
        <v>28786</v>
      </c>
      <c r="AJ43">
        <v>2</v>
      </c>
      <c r="AK43" t="s">
        <v>897</v>
      </c>
      <c r="AM43" t="s">
        <v>0</v>
      </c>
      <c r="AN43" t="s">
        <v>898</v>
      </c>
      <c r="AO43" t="s">
        <v>899</v>
      </c>
      <c r="AP43">
        <v>8283562504</v>
      </c>
      <c r="AQ43" t="s">
        <v>901</v>
      </c>
      <c r="AR43" t="s">
        <v>902</v>
      </c>
      <c r="AS43" t="s">
        <v>899</v>
      </c>
      <c r="AT43" t="s">
        <v>1</v>
      </c>
      <c r="AU43" t="s">
        <v>900</v>
      </c>
      <c r="AV43" t="s">
        <v>901</v>
      </c>
      <c r="AW43" t="s">
        <v>902</v>
      </c>
      <c r="AX43" t="s">
        <v>903</v>
      </c>
      <c r="AY43">
        <v>0</v>
      </c>
      <c r="AZ43">
        <v>0</v>
      </c>
      <c r="BA43">
        <v>0</v>
      </c>
      <c r="BB43" s="573">
        <v>42186</v>
      </c>
      <c r="BC43" s="573">
        <v>42551</v>
      </c>
      <c r="BD43">
        <v>1</v>
      </c>
      <c r="BE43">
        <v>3</v>
      </c>
      <c r="BF43">
        <v>0</v>
      </c>
      <c r="BG43">
        <v>1</v>
      </c>
      <c r="BH43">
        <v>5</v>
      </c>
      <c r="BJ43" s="1">
        <v>7022</v>
      </c>
      <c r="BK43">
        <v>5</v>
      </c>
      <c r="BL43">
        <v>2</v>
      </c>
      <c r="BM43">
        <v>7</v>
      </c>
      <c r="BN43">
        <v>10</v>
      </c>
      <c r="BO43">
        <v>17</v>
      </c>
      <c r="BP43" s="3">
        <v>0.29409999999999997</v>
      </c>
      <c r="BQ43" s="1">
        <v>2120</v>
      </c>
      <c r="BR43" s="4">
        <v>71851</v>
      </c>
      <c r="DW43" s="4">
        <v>1074</v>
      </c>
      <c r="DX43" s="4">
        <v>1230359</v>
      </c>
      <c r="DY43" s="4">
        <v>1231433</v>
      </c>
      <c r="DZ43" s="4">
        <v>106068</v>
      </c>
      <c r="EA43" s="4">
        <v>0</v>
      </c>
      <c r="EB43" s="4">
        <v>106068</v>
      </c>
      <c r="EC43" s="4">
        <v>6465</v>
      </c>
      <c r="ED43" s="4">
        <v>11517</v>
      </c>
      <c r="EE43" s="4">
        <v>17982</v>
      </c>
      <c r="EF43" s="4">
        <v>0</v>
      </c>
      <c r="EG43" s="4">
        <v>1355483</v>
      </c>
      <c r="EH43" s="4">
        <v>691089</v>
      </c>
      <c r="EI43" s="4">
        <v>254372</v>
      </c>
      <c r="EJ43" s="4">
        <v>945461</v>
      </c>
      <c r="EK43" s="4">
        <v>67902</v>
      </c>
      <c r="EL43" s="4">
        <v>33812</v>
      </c>
      <c r="EM43" s="4">
        <v>17855</v>
      </c>
      <c r="EN43" s="4">
        <v>119569</v>
      </c>
      <c r="EO43" s="4">
        <v>189233</v>
      </c>
      <c r="EP43" s="4">
        <v>1254263</v>
      </c>
      <c r="EQ43" s="4">
        <v>101220</v>
      </c>
      <c r="ER43" s="3">
        <v>7.4700000000000003E-2</v>
      </c>
      <c r="ES43" s="4">
        <v>14952</v>
      </c>
      <c r="ET43" s="4">
        <v>0</v>
      </c>
      <c r="EU43" s="4">
        <v>0</v>
      </c>
      <c r="EV43" s="4">
        <v>0</v>
      </c>
      <c r="EW43" s="4">
        <v>14952</v>
      </c>
      <c r="EX43" s="4">
        <v>14952</v>
      </c>
      <c r="EY43" s="1">
        <v>34903</v>
      </c>
      <c r="EZ43" s="1">
        <v>225895</v>
      </c>
      <c r="FA43" s="1">
        <v>42953</v>
      </c>
      <c r="FB43" s="1">
        <v>4557</v>
      </c>
      <c r="FC43" s="1">
        <v>25228</v>
      </c>
      <c r="FD43" s="1">
        <v>45945</v>
      </c>
      <c r="FF43" s="1">
        <v>10449</v>
      </c>
      <c r="FG43" s="1">
        <v>88898</v>
      </c>
      <c r="FH43" s="1">
        <v>4557</v>
      </c>
      <c r="FI43" s="1">
        <v>35677</v>
      </c>
      <c r="FJ43" s="1">
        <v>129132</v>
      </c>
      <c r="FK43">
        <v>71</v>
      </c>
      <c r="FL43">
        <v>242</v>
      </c>
      <c r="FN43" s="1">
        <v>129132</v>
      </c>
      <c r="FO43" s="1">
        <v>8521</v>
      </c>
      <c r="FP43" s="1">
        <v>6334</v>
      </c>
      <c r="FQ43">
        <v>172</v>
      </c>
      <c r="FR43">
        <v>8</v>
      </c>
      <c r="FS43">
        <v>74</v>
      </c>
      <c r="FT43">
        <v>82</v>
      </c>
      <c r="FU43" s="1">
        <v>26725</v>
      </c>
      <c r="FV43" s="1">
        <v>2022</v>
      </c>
      <c r="FW43">
        <v>0</v>
      </c>
      <c r="GG43" s="1">
        <v>34298</v>
      </c>
      <c r="GH43" s="1">
        <v>13913</v>
      </c>
      <c r="GI43">
        <v>370</v>
      </c>
      <c r="GJ43">
        <v>87</v>
      </c>
      <c r="GK43">
        <v>152</v>
      </c>
      <c r="GL43" s="1">
        <v>3742</v>
      </c>
      <c r="GM43">
        <v>1</v>
      </c>
      <c r="GN43">
        <v>31</v>
      </c>
      <c r="GO43" s="1">
        <v>61175</v>
      </c>
      <c r="GP43" s="1">
        <v>19677</v>
      </c>
      <c r="GQ43">
        <v>371</v>
      </c>
      <c r="GR43">
        <v>118</v>
      </c>
      <c r="GS43">
        <v>26</v>
      </c>
      <c r="GU43" s="1">
        <v>102266</v>
      </c>
      <c r="GV43" s="1">
        <v>4588</v>
      </c>
      <c r="GW43" s="1">
        <v>51388</v>
      </c>
      <c r="GX43" s="1">
        <v>37058</v>
      </c>
      <c r="GY43">
        <v>441</v>
      </c>
      <c r="GZ43" s="1">
        <v>10633</v>
      </c>
      <c r="HA43" s="1">
        <v>139324</v>
      </c>
      <c r="HB43" s="1">
        <v>5029</v>
      </c>
      <c r="HC43" s="1">
        <v>62021</v>
      </c>
      <c r="HD43" s="1">
        <v>206374</v>
      </c>
      <c r="HE43" s="1">
        <v>4692</v>
      </c>
      <c r="HF43" s="1">
        <v>211585</v>
      </c>
      <c r="HG43" s="1">
        <v>24991</v>
      </c>
      <c r="HH43" s="1">
        <v>56082</v>
      </c>
      <c r="HI43">
        <v>519</v>
      </c>
      <c r="HJ43">
        <v>245</v>
      </c>
      <c r="HK43" s="1">
        <v>81318</v>
      </c>
      <c r="HL43" s="1">
        <v>292903</v>
      </c>
      <c r="HM43">
        <v>37</v>
      </c>
      <c r="HN43" s="1">
        <v>19225</v>
      </c>
      <c r="HO43" s="1">
        <v>19262</v>
      </c>
      <c r="HP43">
        <v>109</v>
      </c>
      <c r="HQ43" s="1">
        <v>10256</v>
      </c>
      <c r="HR43" s="1">
        <v>10365</v>
      </c>
      <c r="HS43">
        <v>0</v>
      </c>
      <c r="HT43">
        <v>125</v>
      </c>
      <c r="HU43">
        <v>125</v>
      </c>
      <c r="HV43">
        <v>434</v>
      </c>
      <c r="HW43" s="1">
        <v>30186</v>
      </c>
      <c r="HX43" s="1">
        <v>6073</v>
      </c>
      <c r="HY43" s="1">
        <v>15198</v>
      </c>
      <c r="HZ43" s="1">
        <v>21271</v>
      </c>
      <c r="IA43" s="1">
        <v>51457</v>
      </c>
      <c r="IB43" s="1">
        <v>35356</v>
      </c>
      <c r="IC43" s="1">
        <v>91563</v>
      </c>
      <c r="ID43" s="1">
        <v>323089</v>
      </c>
      <c r="IE43" s="1">
        <v>323089</v>
      </c>
      <c r="IF43" s="1">
        <v>344360</v>
      </c>
      <c r="IG43" s="1">
        <v>81464</v>
      </c>
      <c r="IH43">
        <v>6</v>
      </c>
      <c r="IK43">
        <v>1</v>
      </c>
      <c r="IL43" s="3">
        <v>2.9700000000000001E-2</v>
      </c>
      <c r="IM43" s="3">
        <v>1.1000000000000001E-3</v>
      </c>
      <c r="IN43" s="3">
        <v>0.36009999999999998</v>
      </c>
      <c r="IO43" s="3">
        <v>0</v>
      </c>
      <c r="IP43" s="3">
        <v>0.27079999999999999</v>
      </c>
      <c r="IQ43" s="3">
        <v>4.0000000000000002E-4</v>
      </c>
      <c r="IR43" s="3">
        <v>0.5716</v>
      </c>
      <c r="IS43" s="3">
        <v>0.12479999999999999</v>
      </c>
      <c r="IT43" s="3">
        <v>0.25209999999999999</v>
      </c>
      <c r="IU43" s="1">
        <v>31946</v>
      </c>
      <c r="IV43" s="1">
        <v>5756</v>
      </c>
      <c r="IW43" s="1">
        <v>37702</v>
      </c>
      <c r="IX43" s="3">
        <v>0.62180000000000002</v>
      </c>
      <c r="IY43" s="1">
        <v>273820</v>
      </c>
      <c r="JA43">
        <v>364</v>
      </c>
      <c r="JB43">
        <v>80</v>
      </c>
      <c r="JC43">
        <v>479</v>
      </c>
      <c r="JD43">
        <v>19</v>
      </c>
      <c r="JE43">
        <v>0</v>
      </c>
      <c r="JF43">
        <v>75</v>
      </c>
      <c r="JG43">
        <v>383</v>
      </c>
      <c r="JH43">
        <v>80</v>
      </c>
      <c r="JI43">
        <v>554</v>
      </c>
      <c r="JJ43" s="1">
        <v>1017</v>
      </c>
      <c r="JK43">
        <v>923</v>
      </c>
      <c r="JL43">
        <v>94</v>
      </c>
      <c r="JM43" s="1">
        <v>4146</v>
      </c>
      <c r="JN43">
        <v>795</v>
      </c>
      <c r="JO43" s="1">
        <v>10773</v>
      </c>
      <c r="JP43">
        <v>371</v>
      </c>
      <c r="JQ43">
        <v>0</v>
      </c>
      <c r="JR43" s="1">
        <v>2584</v>
      </c>
      <c r="JS43" s="1">
        <v>4517</v>
      </c>
      <c r="JT43">
        <v>795</v>
      </c>
      <c r="JU43" s="1">
        <v>13357</v>
      </c>
      <c r="JV43" s="1">
        <v>18669</v>
      </c>
      <c r="JW43" s="1">
        <v>15714</v>
      </c>
      <c r="JX43" s="1">
        <v>2955</v>
      </c>
      <c r="JY43">
        <v>18.36</v>
      </c>
      <c r="JZ43">
        <v>11.79</v>
      </c>
      <c r="KA43">
        <v>24.11</v>
      </c>
      <c r="KB43">
        <v>0.24</v>
      </c>
      <c r="KC43">
        <v>0.72</v>
      </c>
      <c r="KD43">
        <v>2</v>
      </c>
      <c r="KE43">
        <v>15</v>
      </c>
      <c r="KF43">
        <v>8</v>
      </c>
      <c r="KG43">
        <v>155</v>
      </c>
      <c r="KN43">
        <v>892</v>
      </c>
      <c r="KO43">
        <v>840</v>
      </c>
      <c r="KP43">
        <v>52</v>
      </c>
      <c r="KR43" s="1">
        <v>1340</v>
      </c>
      <c r="KS43" s="1">
        <v>19543</v>
      </c>
      <c r="KT43" s="1">
        <v>24481</v>
      </c>
      <c r="KU43" s="1">
        <v>24694</v>
      </c>
      <c r="KV43">
        <v>28</v>
      </c>
      <c r="KW43">
        <v>38</v>
      </c>
      <c r="KX43" s="1">
        <v>28979</v>
      </c>
      <c r="KZ43" s="1">
        <v>132035</v>
      </c>
      <c r="LA43" s="1">
        <v>4424</v>
      </c>
      <c r="LD43" t="s">
        <v>897</v>
      </c>
      <c r="LE43" t="s">
        <v>379</v>
      </c>
      <c r="LF43" t="s">
        <v>895</v>
      </c>
      <c r="LG43" t="s">
        <v>896</v>
      </c>
      <c r="LH43">
        <v>28786</v>
      </c>
      <c r="LI43">
        <v>3197</v>
      </c>
      <c r="LJ43" t="s">
        <v>895</v>
      </c>
      <c r="LK43" t="s">
        <v>896</v>
      </c>
      <c r="LL43">
        <v>28786</v>
      </c>
      <c r="LM43">
        <v>3197</v>
      </c>
      <c r="LN43" t="s">
        <v>898</v>
      </c>
      <c r="LO43">
        <v>8284525169</v>
      </c>
      <c r="LP43">
        <v>8284526746</v>
      </c>
      <c r="LQ43" s="1">
        <v>34328</v>
      </c>
      <c r="LR43">
        <v>16</v>
      </c>
      <c r="LT43" s="1">
        <v>7022</v>
      </c>
      <c r="LU43">
        <v>208</v>
      </c>
      <c r="LX43">
        <v>2</v>
      </c>
      <c r="LY43" t="s">
        <v>904</v>
      </c>
      <c r="LZ43">
        <v>0</v>
      </c>
      <c r="MA43" t="s">
        <v>363</v>
      </c>
      <c r="MB43">
        <v>27.78</v>
      </c>
      <c r="MC43">
        <v>42.65</v>
      </c>
      <c r="ME43" s="574">
        <v>3.88</v>
      </c>
      <c r="MF43" s="574">
        <v>2.93</v>
      </c>
      <c r="MG43" s="574">
        <v>0.37</v>
      </c>
      <c r="MH43" s="574">
        <v>33.270000000000003</v>
      </c>
      <c r="MI43" s="574">
        <v>25.08</v>
      </c>
      <c r="MJ43" s="574">
        <v>3.17</v>
      </c>
      <c r="MK43" s="574">
        <v>4.58</v>
      </c>
      <c r="ML43" s="574">
        <v>3.45</v>
      </c>
      <c r="MM43" s="574">
        <v>0.44</v>
      </c>
      <c r="MN43" s="574">
        <v>1406.12</v>
      </c>
      <c r="MO43" s="574">
        <v>1059.93</v>
      </c>
      <c r="MP43" s="574">
        <v>134.05000000000001</v>
      </c>
      <c r="MQ43" s="574">
        <v>67.180000000000007</v>
      </c>
      <c r="MR43" s="574">
        <v>50.64</v>
      </c>
      <c r="MS43" s="574">
        <v>6.4</v>
      </c>
      <c r="MT43" s="574">
        <v>15.4</v>
      </c>
      <c r="MU43" s="574">
        <v>11.61</v>
      </c>
      <c r="MV43" s="574">
        <v>1.47</v>
      </c>
      <c r="MW43">
        <v>52</v>
      </c>
      <c r="MX43">
        <v>178</v>
      </c>
      <c r="MY43">
        <v>127</v>
      </c>
      <c r="MZ43" s="1">
        <v>16107</v>
      </c>
      <c r="NA43" s="1">
        <v>54764</v>
      </c>
      <c r="NB43" s="1">
        <v>39117</v>
      </c>
      <c r="NC43" s="1">
        <v>46156</v>
      </c>
      <c r="ND43" s="1">
        <v>64618</v>
      </c>
      <c r="NE43">
        <v>1.43</v>
      </c>
      <c r="NF43" s="1">
        <v>19005</v>
      </c>
      <c r="NG43">
        <v>9.14</v>
      </c>
      <c r="NH43">
        <v>5.3289999999999997</v>
      </c>
      <c r="NI43">
        <v>4.5199999999999996</v>
      </c>
      <c r="NJ43">
        <v>649.33000000000004</v>
      </c>
      <c r="NK43">
        <v>654.98</v>
      </c>
      <c r="NL43">
        <v>1.47E-2</v>
      </c>
      <c r="NM43">
        <v>1.3435999999999999</v>
      </c>
      <c r="NN43">
        <v>0.62</v>
      </c>
      <c r="NO43">
        <v>0.31</v>
      </c>
      <c r="NP43">
        <v>0.4</v>
      </c>
      <c r="NQ43">
        <v>0.41</v>
      </c>
      <c r="NR43">
        <v>0.48</v>
      </c>
      <c r="NS43">
        <v>7.0000000000000007E-2</v>
      </c>
      <c r="NT43">
        <v>0.22</v>
      </c>
      <c r="NU43" s="574">
        <v>15.59</v>
      </c>
      <c r="NV43">
        <v>3.726</v>
      </c>
      <c r="NW43">
        <v>0</v>
      </c>
      <c r="NX43">
        <v>4.0000000000000001E-3</v>
      </c>
      <c r="NY43">
        <v>1.0089999999999999</v>
      </c>
      <c r="NZ43">
        <v>1E-3</v>
      </c>
      <c r="OA43">
        <v>0.1326</v>
      </c>
      <c r="OB43">
        <v>0.45090000000000002</v>
      </c>
      <c r="OC43">
        <v>6.4189999999999996</v>
      </c>
      <c r="OD43">
        <v>2.13</v>
      </c>
      <c r="OE43">
        <v>0.16489999999999999</v>
      </c>
      <c r="OF43" s="2">
        <v>1622.5930000000001</v>
      </c>
      <c r="OG43">
        <v>2.1749999999999998</v>
      </c>
      <c r="OH43" s="574">
        <v>3.12</v>
      </c>
      <c r="OI43">
        <v>748</v>
      </c>
      <c r="OJ43">
        <v>178</v>
      </c>
      <c r="OK43" s="574">
        <v>20.69</v>
      </c>
      <c r="OL43" s="574">
        <v>1.97</v>
      </c>
      <c r="OM43" s="574">
        <v>1.1200000000000001</v>
      </c>
      <c r="ON43">
        <v>0.28039999999999998</v>
      </c>
      <c r="OO43">
        <v>8.2500000000000004E-2</v>
      </c>
      <c r="OP43">
        <v>0.26519999999999999</v>
      </c>
      <c r="OQ43" s="574">
        <v>1.75</v>
      </c>
      <c r="OR43" s="574">
        <v>20.309999999999999</v>
      </c>
      <c r="OS43" s="574">
        <v>0.3</v>
      </c>
      <c r="OT43" s="574">
        <v>0</v>
      </c>
      <c r="OU43" s="574">
        <v>22.36</v>
      </c>
      <c r="OV43">
        <v>471</v>
      </c>
      <c r="OW43">
        <v>475</v>
      </c>
      <c r="OX43">
        <v>1.18</v>
      </c>
      <c r="OY43" s="1">
        <v>6213</v>
      </c>
      <c r="OZ43">
        <v>38.99</v>
      </c>
      <c r="PA43" s="1">
        <v>5266</v>
      </c>
      <c r="PB43">
        <v>0.13</v>
      </c>
      <c r="PC43">
        <v>46.01</v>
      </c>
      <c r="PD43">
        <v>0</v>
      </c>
      <c r="PE43">
        <v>17</v>
      </c>
      <c r="PF43">
        <v>0.7</v>
      </c>
      <c r="PG43" s="574">
        <v>0.44</v>
      </c>
      <c r="PH43">
        <v>0.82</v>
      </c>
      <c r="PI43">
        <v>11.58</v>
      </c>
      <c r="PJ43">
        <v>8.57</v>
      </c>
      <c r="PK43" s="574">
        <v>4.58</v>
      </c>
      <c r="PL43">
        <v>27.01</v>
      </c>
      <c r="PM43" s="4">
        <v>55615</v>
      </c>
      <c r="PN43" s="4">
        <v>40652</v>
      </c>
      <c r="PO43">
        <v>5.2600000000000001E-2</v>
      </c>
      <c r="PP43">
        <v>19.058299999999999</v>
      </c>
      <c r="PQ43">
        <v>6.2100000000000002E-2</v>
      </c>
      <c r="PR43">
        <v>1.55E-2</v>
      </c>
      <c r="PS43">
        <v>5.6054000000000004</v>
      </c>
      <c r="PT43">
        <v>1.83E-2</v>
      </c>
      <c r="PU43" s="3">
        <v>0.71430000000000005</v>
      </c>
      <c r="PV43" s="3">
        <v>0.4118</v>
      </c>
      <c r="PW43" s="3">
        <v>0.58819999999999995</v>
      </c>
      <c r="PX43" s="3">
        <v>0.26900000000000002</v>
      </c>
      <c r="PY43" s="3">
        <v>0.73099999999999998</v>
      </c>
      <c r="PZ43" s="3">
        <v>9.5299999999999996E-2</v>
      </c>
      <c r="QA43" s="3">
        <v>2.7E-2</v>
      </c>
      <c r="QB43" s="3">
        <v>0.20280000000000001</v>
      </c>
      <c r="QC43" s="3">
        <v>1.4200000000000001E-2</v>
      </c>
      <c r="QD43" s="3">
        <v>0.15090000000000001</v>
      </c>
      <c r="QE43" s="3">
        <v>5.4100000000000002E-2</v>
      </c>
      <c r="QF43" s="3">
        <v>0.55100000000000005</v>
      </c>
      <c r="QG43" s="3">
        <v>0.75380000000000003</v>
      </c>
      <c r="QH43" s="3">
        <v>1.3299999999999999E-2</v>
      </c>
      <c r="QI43" s="3">
        <v>0.90849999999999997</v>
      </c>
      <c r="QJ43" s="3">
        <v>0</v>
      </c>
      <c r="QK43" s="3">
        <v>7.8299999999999995E-2</v>
      </c>
      <c r="QL43" s="4">
        <v>14963</v>
      </c>
      <c r="QM43">
        <v>7.26</v>
      </c>
      <c r="QN43" s="1">
        <v>8662</v>
      </c>
      <c r="QO43" s="1">
        <v>12126</v>
      </c>
      <c r="QP43" s="1">
        <v>3567</v>
      </c>
      <c r="QQ43" s="3">
        <v>0.56789999999999996</v>
      </c>
      <c r="QR43" s="3">
        <v>0.2828</v>
      </c>
      <c r="QS43" s="3">
        <v>0.14929999999999999</v>
      </c>
      <c r="QT43" s="3">
        <v>0.29409999999999997</v>
      </c>
      <c r="QU43">
        <v>0.47</v>
      </c>
      <c r="QV43">
        <v>1.27</v>
      </c>
      <c r="QW43">
        <v>0.34</v>
      </c>
      <c r="QX43">
        <v>10</v>
      </c>
      <c r="QY43">
        <v>4.76</v>
      </c>
      <c r="QZ43">
        <v>18</v>
      </c>
      <c r="RA43">
        <v>2.7</v>
      </c>
      <c r="RB43">
        <v>0.26</v>
      </c>
      <c r="RC43">
        <v>0.24</v>
      </c>
    </row>
    <row r="44" spans="1:471" x14ac:dyDescent="0.25">
      <c r="A44" t="s">
        <v>905</v>
      </c>
      <c r="B44">
        <v>11678</v>
      </c>
      <c r="C44" t="s">
        <v>1754</v>
      </c>
      <c r="D44" t="s">
        <v>1754</v>
      </c>
      <c r="E44" t="s">
        <v>1754</v>
      </c>
      <c r="F44" t="s">
        <v>1755</v>
      </c>
      <c r="G44" t="s">
        <v>1755</v>
      </c>
      <c r="H44" t="s">
        <v>906</v>
      </c>
      <c r="I44" t="s">
        <v>342</v>
      </c>
      <c r="J44" t="s">
        <v>343</v>
      </c>
      <c r="K44" t="s">
        <v>344</v>
      </c>
      <c r="L44" t="s">
        <v>345</v>
      </c>
      <c r="M44" t="s">
        <v>346</v>
      </c>
      <c r="N44" t="s">
        <v>347</v>
      </c>
      <c r="O44" s="1">
        <v>112511</v>
      </c>
      <c r="P44" t="s">
        <v>348</v>
      </c>
      <c r="Q44" s="1">
        <v>1855</v>
      </c>
      <c r="R44">
        <v>458</v>
      </c>
      <c r="S44">
        <v>178</v>
      </c>
      <c r="T44">
        <v>20</v>
      </c>
      <c r="U44" s="1">
        <v>6046</v>
      </c>
      <c r="V44">
        <v>196</v>
      </c>
      <c r="W44" s="1">
        <v>63534</v>
      </c>
      <c r="X44" s="1">
        <v>12602</v>
      </c>
      <c r="Y44" s="1">
        <v>339416</v>
      </c>
      <c r="Z44" s="1">
        <v>128250</v>
      </c>
      <c r="AC44" t="s">
        <v>907</v>
      </c>
      <c r="AD44" t="s">
        <v>908</v>
      </c>
      <c r="AE44">
        <v>28739</v>
      </c>
      <c r="AF44">
        <v>4300</v>
      </c>
      <c r="AG44" t="s">
        <v>907</v>
      </c>
      <c r="AH44" t="s">
        <v>908</v>
      </c>
      <c r="AI44">
        <v>28739</v>
      </c>
      <c r="AJ44">
        <v>3</v>
      </c>
      <c r="AK44" t="s">
        <v>909</v>
      </c>
      <c r="AM44" t="s">
        <v>0</v>
      </c>
      <c r="AN44" t="s">
        <v>910</v>
      </c>
      <c r="AO44" t="s">
        <v>911</v>
      </c>
      <c r="AP44">
        <v>8286974725</v>
      </c>
      <c r="AQ44" t="s">
        <v>913</v>
      </c>
      <c r="AR44" t="s">
        <v>914</v>
      </c>
      <c r="AS44" t="s">
        <v>911</v>
      </c>
      <c r="AT44" t="s">
        <v>1</v>
      </c>
      <c r="AU44" t="s">
        <v>912</v>
      </c>
      <c r="AV44" t="s">
        <v>913</v>
      </c>
      <c r="AW44" t="s">
        <v>914</v>
      </c>
      <c r="AX44" t="s">
        <v>915</v>
      </c>
      <c r="AY44">
        <v>0</v>
      </c>
      <c r="AZ44">
        <v>0</v>
      </c>
      <c r="BA44">
        <v>0</v>
      </c>
      <c r="BB44" s="573">
        <v>42186</v>
      </c>
      <c r="BC44" s="573">
        <v>42551</v>
      </c>
      <c r="BD44">
        <v>1</v>
      </c>
      <c r="BE44">
        <v>5</v>
      </c>
      <c r="BF44">
        <v>0</v>
      </c>
      <c r="BG44">
        <v>0</v>
      </c>
      <c r="BH44">
        <v>6</v>
      </c>
      <c r="BJ44" s="1">
        <v>13600</v>
      </c>
      <c r="BK44">
        <v>10</v>
      </c>
      <c r="BL44">
        <v>0</v>
      </c>
      <c r="BM44">
        <v>10</v>
      </c>
      <c r="BN44">
        <v>28.88</v>
      </c>
      <c r="BO44">
        <v>38.880000000000003</v>
      </c>
      <c r="BP44" s="3">
        <v>0.25719999999999998</v>
      </c>
      <c r="BQ44" s="1">
        <v>16542</v>
      </c>
      <c r="BR44" s="4">
        <v>77250</v>
      </c>
      <c r="DW44" s="4">
        <v>0</v>
      </c>
      <c r="DX44" s="4">
        <v>2788776</v>
      </c>
      <c r="DY44" s="4">
        <v>2788776</v>
      </c>
      <c r="DZ44" s="4">
        <v>138738</v>
      </c>
      <c r="EA44" s="4">
        <v>0</v>
      </c>
      <c r="EB44" s="4">
        <v>138738</v>
      </c>
      <c r="EC44" s="4">
        <v>53985</v>
      </c>
      <c r="ED44" s="4">
        <v>0</v>
      </c>
      <c r="EE44" s="4">
        <v>53985</v>
      </c>
      <c r="EF44" s="4">
        <v>62913</v>
      </c>
      <c r="EG44" s="4">
        <v>3044412</v>
      </c>
      <c r="EH44" s="4">
        <v>1438600</v>
      </c>
      <c r="EI44" s="4">
        <v>665901</v>
      </c>
      <c r="EJ44" s="4">
        <v>2104501</v>
      </c>
      <c r="EK44" s="4">
        <v>352003</v>
      </c>
      <c r="EL44" s="4">
        <v>59880</v>
      </c>
      <c r="EM44" s="4">
        <v>55500</v>
      </c>
      <c r="EN44" s="4">
        <v>467383</v>
      </c>
      <c r="EO44" s="4">
        <v>298245</v>
      </c>
      <c r="EP44" s="4">
        <v>2870129</v>
      </c>
      <c r="EQ44" s="4">
        <v>174283</v>
      </c>
      <c r="ER44" s="3">
        <v>5.7200000000000001E-2</v>
      </c>
      <c r="ES44" s="4">
        <v>0</v>
      </c>
      <c r="ET44" s="4">
        <v>0</v>
      </c>
      <c r="EU44" s="4">
        <v>0</v>
      </c>
      <c r="EV44" s="4">
        <v>0</v>
      </c>
      <c r="EW44" s="4">
        <v>0</v>
      </c>
      <c r="EX44" s="4">
        <v>0</v>
      </c>
      <c r="EY44" s="1">
        <v>49777</v>
      </c>
      <c r="EZ44" s="1">
        <v>363713</v>
      </c>
      <c r="FA44" s="1">
        <v>89658</v>
      </c>
      <c r="FB44" s="1">
        <v>10505</v>
      </c>
      <c r="FC44" s="1">
        <v>52750</v>
      </c>
      <c r="FD44" s="1">
        <v>70166</v>
      </c>
      <c r="FE44" s="1">
        <v>3567</v>
      </c>
      <c r="FF44" s="1">
        <v>23222</v>
      </c>
      <c r="FG44" s="1">
        <v>159824</v>
      </c>
      <c r="FH44" s="1">
        <v>14072</v>
      </c>
      <c r="FI44" s="1">
        <v>75972</v>
      </c>
      <c r="FJ44" s="1">
        <v>249868</v>
      </c>
      <c r="FK44">
        <v>686</v>
      </c>
      <c r="FL44">
        <v>316</v>
      </c>
      <c r="FN44" s="1">
        <v>249868</v>
      </c>
      <c r="FO44" s="1">
        <v>14149</v>
      </c>
      <c r="FP44" s="1">
        <v>18376</v>
      </c>
      <c r="FQ44">
        <v>42</v>
      </c>
      <c r="FR44">
        <v>8</v>
      </c>
      <c r="FS44">
        <v>74</v>
      </c>
      <c r="FT44">
        <v>82</v>
      </c>
      <c r="FU44" s="1">
        <v>26725</v>
      </c>
      <c r="FV44" s="1">
        <v>2022</v>
      </c>
      <c r="FW44">
        <v>0</v>
      </c>
      <c r="GG44" s="1">
        <v>34298</v>
      </c>
      <c r="GH44" s="1">
        <v>13913</v>
      </c>
      <c r="GI44">
        <v>370</v>
      </c>
      <c r="GJ44">
        <v>87</v>
      </c>
      <c r="GK44" s="1">
        <v>1777</v>
      </c>
      <c r="GL44">
        <v>947</v>
      </c>
      <c r="GM44">
        <v>0</v>
      </c>
      <c r="GN44">
        <v>55</v>
      </c>
      <c r="GO44" s="1">
        <v>62800</v>
      </c>
      <c r="GP44" s="1">
        <v>16882</v>
      </c>
      <c r="GQ44">
        <v>370</v>
      </c>
      <c r="GR44">
        <v>142</v>
      </c>
      <c r="GS44">
        <v>35</v>
      </c>
      <c r="GU44" s="1">
        <v>254939</v>
      </c>
      <c r="GV44" s="1">
        <v>19232</v>
      </c>
      <c r="GW44" s="1">
        <v>163419</v>
      </c>
      <c r="GX44" s="1">
        <v>95047</v>
      </c>
      <c r="GY44" s="1">
        <v>2912</v>
      </c>
      <c r="GZ44" s="1">
        <v>39301</v>
      </c>
      <c r="HA44" s="1">
        <v>349986</v>
      </c>
      <c r="HB44" s="1">
        <v>22144</v>
      </c>
      <c r="HC44" s="1">
        <v>202720</v>
      </c>
      <c r="HD44" s="1">
        <v>574850</v>
      </c>
      <c r="HE44" s="1">
        <v>3631</v>
      </c>
      <c r="HF44" s="1">
        <v>578481</v>
      </c>
      <c r="HG44" s="1">
        <v>56947</v>
      </c>
      <c r="HH44" s="1">
        <v>211508</v>
      </c>
      <c r="HI44">
        <v>0</v>
      </c>
      <c r="HJ44">
        <v>0</v>
      </c>
      <c r="HK44" s="1">
        <v>268455</v>
      </c>
      <c r="HL44" s="1">
        <v>846936</v>
      </c>
      <c r="HM44">
        <v>83</v>
      </c>
      <c r="HN44" s="1">
        <v>51428</v>
      </c>
      <c r="HO44" s="1">
        <v>51511</v>
      </c>
      <c r="HP44">
        <v>703</v>
      </c>
      <c r="HQ44" s="1">
        <v>26854</v>
      </c>
      <c r="HR44" s="1">
        <v>27557</v>
      </c>
      <c r="HS44">
        <v>0</v>
      </c>
      <c r="HT44">
        <v>369</v>
      </c>
      <c r="HU44">
        <v>369</v>
      </c>
      <c r="HV44">
        <v>673</v>
      </c>
      <c r="HW44" s="1">
        <v>80110</v>
      </c>
      <c r="HX44" s="1">
        <v>42155</v>
      </c>
      <c r="HY44" s="1">
        <v>41353</v>
      </c>
      <c r="HZ44" s="1">
        <v>83508</v>
      </c>
      <c r="IA44" s="1">
        <v>163618</v>
      </c>
      <c r="IB44" s="1">
        <v>84504</v>
      </c>
      <c r="IC44" s="1">
        <v>296381</v>
      </c>
      <c r="ID44" s="1">
        <v>927046</v>
      </c>
      <c r="IE44" s="1">
        <v>927046</v>
      </c>
      <c r="IF44" s="1">
        <v>1010554</v>
      </c>
      <c r="IG44" s="1">
        <v>202720</v>
      </c>
      <c r="IH44">
        <v>403</v>
      </c>
      <c r="IK44">
        <v>1</v>
      </c>
      <c r="IL44" s="3">
        <v>5.1499999999999997E-2</v>
      </c>
      <c r="IM44" s="3">
        <v>8.9999999999999998E-4</v>
      </c>
      <c r="IN44" s="3">
        <v>0.2205</v>
      </c>
      <c r="IO44" s="3">
        <v>0</v>
      </c>
      <c r="IP44" s="3">
        <v>0.17269999999999999</v>
      </c>
      <c r="IQ44" s="3">
        <v>2.0000000000000001E-4</v>
      </c>
      <c r="IR44" s="3">
        <v>0.68700000000000006</v>
      </c>
      <c r="IS44" s="3">
        <v>8.5300000000000001E-2</v>
      </c>
      <c r="IT44" s="3">
        <v>0.21870000000000001</v>
      </c>
      <c r="IU44" s="1">
        <v>58161</v>
      </c>
      <c r="IV44" s="1">
        <v>11453</v>
      </c>
      <c r="IW44" s="1">
        <v>69614</v>
      </c>
      <c r="IX44" s="3">
        <v>0.61870000000000003</v>
      </c>
      <c r="IY44" s="1">
        <v>562206</v>
      </c>
      <c r="JA44">
        <v>471</v>
      </c>
      <c r="JB44">
        <v>66</v>
      </c>
      <c r="JC44">
        <v>754</v>
      </c>
      <c r="JD44">
        <v>5</v>
      </c>
      <c r="JE44">
        <v>1</v>
      </c>
      <c r="JF44">
        <v>50</v>
      </c>
      <c r="JG44">
        <v>476</v>
      </c>
      <c r="JH44">
        <v>67</v>
      </c>
      <c r="JI44">
        <v>804</v>
      </c>
      <c r="JJ44" s="1">
        <v>1347</v>
      </c>
      <c r="JK44" s="1">
        <v>1291</v>
      </c>
      <c r="JL44">
        <v>56</v>
      </c>
      <c r="JM44" s="1">
        <v>5557</v>
      </c>
      <c r="JN44">
        <v>654</v>
      </c>
      <c r="JO44" s="1">
        <v>21588</v>
      </c>
      <c r="JP44">
        <v>168</v>
      </c>
      <c r="JQ44">
        <v>83</v>
      </c>
      <c r="JR44" s="1">
        <v>2541</v>
      </c>
      <c r="JS44" s="1">
        <v>5725</v>
      </c>
      <c r="JT44">
        <v>737</v>
      </c>
      <c r="JU44" s="1">
        <v>24129</v>
      </c>
      <c r="JV44" s="1">
        <v>30591</v>
      </c>
      <c r="JW44" s="1">
        <v>27799</v>
      </c>
      <c r="JX44" s="1">
        <v>2792</v>
      </c>
      <c r="JY44">
        <v>22.71</v>
      </c>
      <c r="JZ44">
        <v>12.03</v>
      </c>
      <c r="KA44">
        <v>30.01</v>
      </c>
      <c r="KB44">
        <v>0.19</v>
      </c>
      <c r="KC44">
        <v>0.79</v>
      </c>
      <c r="KD44">
        <v>1</v>
      </c>
      <c r="KE44">
        <v>6</v>
      </c>
      <c r="KF44">
        <v>36</v>
      </c>
      <c r="KG44">
        <v>121</v>
      </c>
      <c r="KN44" s="1">
        <v>131262</v>
      </c>
      <c r="KO44" s="1">
        <v>23110</v>
      </c>
      <c r="KP44" s="1">
        <v>2472</v>
      </c>
      <c r="KR44" s="1">
        <v>4872</v>
      </c>
      <c r="KT44">
        <v>419</v>
      </c>
      <c r="KU44">
        <v>414</v>
      </c>
      <c r="KV44">
        <v>52</v>
      </c>
      <c r="KW44">
        <v>77</v>
      </c>
      <c r="KX44" s="1">
        <v>66762</v>
      </c>
      <c r="KZ44" s="1">
        <v>197951</v>
      </c>
      <c r="LA44" s="1">
        <v>25948</v>
      </c>
      <c r="LD44" t="s">
        <v>909</v>
      </c>
      <c r="LE44" t="s">
        <v>379</v>
      </c>
      <c r="LF44" t="s">
        <v>907</v>
      </c>
      <c r="LG44" t="s">
        <v>908</v>
      </c>
      <c r="LH44">
        <v>28739</v>
      </c>
      <c r="LI44">
        <v>4300</v>
      </c>
      <c r="LJ44" t="s">
        <v>907</v>
      </c>
      <c r="LK44" t="s">
        <v>908</v>
      </c>
      <c r="LL44">
        <v>28739</v>
      </c>
      <c r="LM44">
        <v>4300</v>
      </c>
      <c r="LN44" t="s">
        <v>910</v>
      </c>
      <c r="LO44">
        <v>8286974725</v>
      </c>
      <c r="LP44">
        <v>8286928449</v>
      </c>
      <c r="LQ44" s="1">
        <v>61790</v>
      </c>
      <c r="LR44">
        <v>38.880000000000003</v>
      </c>
      <c r="LT44" s="1">
        <v>13600</v>
      </c>
      <c r="LU44">
        <v>312</v>
      </c>
      <c r="LX44">
        <v>2</v>
      </c>
      <c r="LY44" t="s">
        <v>916</v>
      </c>
      <c r="LZ44">
        <v>0</v>
      </c>
      <c r="MA44" t="s">
        <v>363</v>
      </c>
      <c r="MB44">
        <v>92.61</v>
      </c>
      <c r="MC44">
        <v>75.349999999999994</v>
      </c>
      <c r="ME44" s="574">
        <v>3.1</v>
      </c>
      <c r="MF44" s="574">
        <v>2.27</v>
      </c>
      <c r="MG44" s="574">
        <v>0.5</v>
      </c>
      <c r="MH44" s="574">
        <v>41.23</v>
      </c>
      <c r="MI44" s="574">
        <v>30.23</v>
      </c>
      <c r="MJ44" s="574">
        <v>6.71</v>
      </c>
      <c r="MK44" s="574">
        <v>5.1100000000000003</v>
      </c>
      <c r="ML44" s="574">
        <v>3.74</v>
      </c>
      <c r="MM44" s="574">
        <v>0.83</v>
      </c>
      <c r="MN44" s="574">
        <v>21.87</v>
      </c>
      <c r="MO44" s="574">
        <v>16.03</v>
      </c>
      <c r="MP44" s="574">
        <v>3.56</v>
      </c>
      <c r="MQ44" s="574">
        <v>93.82</v>
      </c>
      <c r="MR44" s="574">
        <v>68.790000000000006</v>
      </c>
      <c r="MS44" s="574">
        <v>15.28</v>
      </c>
      <c r="MT44" s="574">
        <v>14.16</v>
      </c>
      <c r="MU44" s="574">
        <v>10.38</v>
      </c>
      <c r="MV44" s="574">
        <v>2.31</v>
      </c>
      <c r="MW44" s="1">
        <v>3376</v>
      </c>
      <c r="MX44" s="1">
        <v>13126</v>
      </c>
      <c r="MY44" s="1">
        <v>13126</v>
      </c>
      <c r="MZ44" s="1">
        <v>14460</v>
      </c>
      <c r="NA44" s="1">
        <v>56221</v>
      </c>
      <c r="NB44" s="1">
        <v>56221</v>
      </c>
      <c r="NC44" s="1">
        <v>92705</v>
      </c>
      <c r="ND44" s="1">
        <v>92705</v>
      </c>
      <c r="NE44">
        <v>2.5499999999999998</v>
      </c>
      <c r="NF44" s="1">
        <v>23844</v>
      </c>
      <c r="NG44">
        <v>11.46</v>
      </c>
      <c r="NH44">
        <v>8.24</v>
      </c>
      <c r="NI44">
        <v>5</v>
      </c>
      <c r="NJ44">
        <v>6.02</v>
      </c>
      <c r="NK44">
        <v>5.95</v>
      </c>
      <c r="NL44">
        <v>1.1667000000000001</v>
      </c>
      <c r="NM44">
        <v>1.8018000000000001</v>
      </c>
      <c r="NN44">
        <v>0.62</v>
      </c>
      <c r="NO44">
        <v>0.27</v>
      </c>
      <c r="NP44">
        <v>0</v>
      </c>
      <c r="NQ44">
        <v>0</v>
      </c>
      <c r="NR44">
        <v>0.59</v>
      </c>
      <c r="NS44">
        <v>0.05</v>
      </c>
      <c r="NT44">
        <v>0.21</v>
      </c>
      <c r="NU44" s="574">
        <v>18.7</v>
      </c>
      <c r="NV44">
        <v>3.2330000000000001</v>
      </c>
      <c r="NW44">
        <v>0</v>
      </c>
      <c r="NX44">
        <v>3.0000000000000001E-3</v>
      </c>
      <c r="NY44">
        <v>0.55800000000000005</v>
      </c>
      <c r="NZ44">
        <v>1E-3</v>
      </c>
      <c r="OA44">
        <v>0.14369999999999999</v>
      </c>
      <c r="OB44">
        <v>0.5585</v>
      </c>
      <c r="OC44">
        <v>4.5389999999999997</v>
      </c>
      <c r="OD44">
        <v>2.2210000000000001</v>
      </c>
      <c r="OE44">
        <v>0.25669999999999998</v>
      </c>
      <c r="OF44">
        <v>902.11699999999996</v>
      </c>
      <c r="OG44">
        <v>1.1779999999999999</v>
      </c>
      <c r="OH44" s="574">
        <v>2.65</v>
      </c>
      <c r="OI44">
        <v>446</v>
      </c>
      <c r="OJ44">
        <v>269</v>
      </c>
      <c r="OK44" s="574">
        <v>25.51</v>
      </c>
      <c r="OL44" s="574">
        <v>4.1500000000000004</v>
      </c>
      <c r="OM44" s="574">
        <v>3.13</v>
      </c>
      <c r="ON44">
        <v>0.34560000000000002</v>
      </c>
      <c r="OO44">
        <v>8.8900000000000007E-2</v>
      </c>
      <c r="OP44">
        <v>0.41489999999999999</v>
      </c>
      <c r="OQ44" s="574">
        <v>1.23</v>
      </c>
      <c r="OR44" s="574">
        <v>24.79</v>
      </c>
      <c r="OS44" s="574">
        <v>0.48</v>
      </c>
      <c r="OT44" s="574">
        <v>0.56000000000000005</v>
      </c>
      <c r="OU44" s="574">
        <v>27.06</v>
      </c>
      <c r="OV44">
        <v>8</v>
      </c>
      <c r="OW44">
        <v>8</v>
      </c>
      <c r="OX44">
        <v>1.65</v>
      </c>
      <c r="OY44" s="1">
        <v>17828</v>
      </c>
      <c r="OZ44">
        <v>41.34</v>
      </c>
      <c r="PA44" s="1">
        <v>10812</v>
      </c>
      <c r="PB44">
        <v>9.65</v>
      </c>
      <c r="PC44">
        <v>68.17</v>
      </c>
      <c r="PD44">
        <v>0.23</v>
      </c>
      <c r="PE44" s="1">
        <v>2524</v>
      </c>
      <c r="PF44">
        <v>0.39</v>
      </c>
      <c r="PG44" s="574">
        <v>0.83</v>
      </c>
      <c r="PH44">
        <v>0.65</v>
      </c>
      <c r="PI44">
        <v>12.09</v>
      </c>
      <c r="PJ44">
        <v>13.32</v>
      </c>
      <c r="PK44" s="574">
        <v>5.1100000000000003</v>
      </c>
      <c r="PL44">
        <v>43.59</v>
      </c>
      <c r="PM44" s="4">
        <v>54128</v>
      </c>
      <c r="PN44" s="4">
        <v>37001</v>
      </c>
      <c r="PO44">
        <v>4.19E-2</v>
      </c>
      <c r="PP44">
        <v>0.29620000000000002</v>
      </c>
      <c r="PQ44">
        <v>6.9199999999999998E-2</v>
      </c>
      <c r="PR44">
        <v>1.0800000000000001E-2</v>
      </c>
      <c r="PS44">
        <v>7.6200000000000004E-2</v>
      </c>
      <c r="PT44">
        <v>1.78E-2</v>
      </c>
      <c r="PU44" s="3">
        <v>1</v>
      </c>
      <c r="PV44" s="3">
        <v>0.25719999999999998</v>
      </c>
      <c r="PW44" s="3">
        <v>0.74280000000000002</v>
      </c>
      <c r="PX44" s="3">
        <v>0.31640000000000001</v>
      </c>
      <c r="PY44" s="3">
        <v>0.68359999999999999</v>
      </c>
      <c r="PZ44" s="3">
        <v>0.1628</v>
      </c>
      <c r="QA44" s="3">
        <v>2.0899999999999998E-2</v>
      </c>
      <c r="QB44" s="3">
        <v>0.23200000000000001</v>
      </c>
      <c r="QC44" s="3">
        <v>1.9300000000000001E-2</v>
      </c>
      <c r="QD44" s="3">
        <v>0.10390000000000001</v>
      </c>
      <c r="QE44" s="3">
        <v>0.1226</v>
      </c>
      <c r="QF44" s="3">
        <v>0.50119999999999998</v>
      </c>
      <c r="QG44" s="3">
        <v>0.73319999999999996</v>
      </c>
      <c r="QH44" s="3">
        <v>1.77E-2</v>
      </c>
      <c r="QI44" s="3">
        <v>0.91600000000000004</v>
      </c>
      <c r="QJ44" s="3">
        <v>2.07E-2</v>
      </c>
      <c r="QK44" s="3">
        <v>4.5600000000000002E-2</v>
      </c>
      <c r="QL44" s="4">
        <v>17127</v>
      </c>
      <c r="QM44">
        <v>8.08</v>
      </c>
      <c r="QN44" s="1">
        <v>11251</v>
      </c>
      <c r="QO44" s="1">
        <v>11251</v>
      </c>
      <c r="QP44" s="1">
        <v>2894</v>
      </c>
      <c r="QQ44" s="3">
        <v>0.75309999999999999</v>
      </c>
      <c r="QR44" s="3">
        <v>0.12809999999999999</v>
      </c>
      <c r="QS44" s="3">
        <v>0.1187</v>
      </c>
      <c r="QT44" s="3">
        <v>0.25719999999999998</v>
      </c>
      <c r="QU44">
        <v>0.64</v>
      </c>
      <c r="QV44">
        <v>1.39</v>
      </c>
      <c r="QW44">
        <v>0.44</v>
      </c>
      <c r="QX44">
        <v>15</v>
      </c>
      <c r="QY44">
        <v>2.63</v>
      </c>
      <c r="QZ44">
        <v>17</v>
      </c>
      <c r="RA44">
        <v>1.98</v>
      </c>
      <c r="RB44">
        <v>0.32</v>
      </c>
      <c r="RC44">
        <v>0.3</v>
      </c>
    </row>
    <row r="45" spans="1:471" x14ac:dyDescent="0.25">
      <c r="A45" t="s">
        <v>917</v>
      </c>
      <c r="B45">
        <v>11707</v>
      </c>
      <c r="C45" t="s">
        <v>1754</v>
      </c>
      <c r="D45" t="s">
        <v>1754</v>
      </c>
      <c r="E45" t="s">
        <v>1754</v>
      </c>
      <c r="F45" t="s">
        <v>1755</v>
      </c>
      <c r="G45" t="s">
        <v>1755</v>
      </c>
      <c r="H45" t="s">
        <v>918</v>
      </c>
      <c r="I45" t="s">
        <v>342</v>
      </c>
      <c r="J45" t="s">
        <v>559</v>
      </c>
      <c r="K45" t="s">
        <v>344</v>
      </c>
      <c r="L45" t="s">
        <v>345</v>
      </c>
      <c r="M45" t="s">
        <v>560</v>
      </c>
      <c r="N45" t="s">
        <v>347</v>
      </c>
      <c r="O45" s="1">
        <v>40351</v>
      </c>
      <c r="P45" t="s">
        <v>348</v>
      </c>
      <c r="Q45" s="1">
        <v>1103</v>
      </c>
      <c r="R45">
        <v>144</v>
      </c>
      <c r="S45">
        <v>128</v>
      </c>
      <c r="T45">
        <v>17</v>
      </c>
      <c r="U45" s="1">
        <v>4818</v>
      </c>
      <c r="V45">
        <v>159</v>
      </c>
      <c r="W45" s="1">
        <v>32076</v>
      </c>
      <c r="X45" s="1">
        <v>3890</v>
      </c>
      <c r="Y45" s="1">
        <v>652890</v>
      </c>
      <c r="Z45" s="1">
        <v>64120</v>
      </c>
      <c r="AC45" t="s">
        <v>919</v>
      </c>
      <c r="AD45" t="s">
        <v>920</v>
      </c>
      <c r="AE45">
        <v>28601</v>
      </c>
      <c r="AF45">
        <v>5126</v>
      </c>
      <c r="AG45" t="s">
        <v>919</v>
      </c>
      <c r="AH45" t="s">
        <v>920</v>
      </c>
      <c r="AI45">
        <v>28601</v>
      </c>
      <c r="AJ45">
        <v>2</v>
      </c>
      <c r="AK45" t="s">
        <v>921</v>
      </c>
      <c r="AM45" t="s">
        <v>564</v>
      </c>
      <c r="AN45" t="s">
        <v>549</v>
      </c>
      <c r="AO45" t="s">
        <v>922</v>
      </c>
      <c r="AP45">
        <v>8282612275</v>
      </c>
      <c r="AQ45" t="s">
        <v>923</v>
      </c>
      <c r="AR45" t="s">
        <v>924</v>
      </c>
      <c r="AS45" t="s">
        <v>925</v>
      </c>
      <c r="AT45" t="s">
        <v>926</v>
      </c>
      <c r="AU45" t="s">
        <v>927</v>
      </c>
      <c r="AV45" t="s">
        <v>923</v>
      </c>
      <c r="AW45" t="s">
        <v>928</v>
      </c>
      <c r="AX45" t="s">
        <v>929</v>
      </c>
      <c r="AY45">
        <v>0</v>
      </c>
      <c r="AZ45">
        <v>0</v>
      </c>
      <c r="BA45">
        <v>0</v>
      </c>
      <c r="BB45" s="573">
        <v>42186</v>
      </c>
      <c r="BC45" s="573">
        <v>42551</v>
      </c>
      <c r="BD45">
        <v>1</v>
      </c>
      <c r="BE45">
        <v>1</v>
      </c>
      <c r="BF45">
        <v>0</v>
      </c>
      <c r="BG45">
        <v>2</v>
      </c>
      <c r="BH45">
        <v>4</v>
      </c>
      <c r="BJ45" s="1">
        <v>6656</v>
      </c>
      <c r="BK45">
        <v>6.56</v>
      </c>
      <c r="BL45">
        <v>0.94</v>
      </c>
      <c r="BM45">
        <v>7.5</v>
      </c>
      <c r="BN45">
        <v>17.440000000000001</v>
      </c>
      <c r="BO45">
        <v>24.94</v>
      </c>
      <c r="BP45" s="3">
        <v>0.26300000000000001</v>
      </c>
      <c r="BQ45">
        <v>687</v>
      </c>
      <c r="BR45" s="4">
        <v>70638</v>
      </c>
      <c r="DW45" s="4">
        <v>1468535</v>
      </c>
      <c r="DX45" s="4">
        <v>213000</v>
      </c>
      <c r="DY45" s="4">
        <v>1681535</v>
      </c>
      <c r="DZ45" s="4">
        <v>27717</v>
      </c>
      <c r="EA45" s="4">
        <v>0</v>
      </c>
      <c r="EB45" s="4">
        <v>27717</v>
      </c>
      <c r="EC45" s="4">
        <v>4780</v>
      </c>
      <c r="ED45" s="4">
        <v>0</v>
      </c>
      <c r="EE45" s="4">
        <v>4780</v>
      </c>
      <c r="EF45" s="4">
        <v>93223</v>
      </c>
      <c r="EG45" s="4">
        <v>1807255</v>
      </c>
      <c r="EH45" s="4">
        <v>915620</v>
      </c>
      <c r="EI45" s="4">
        <v>209578</v>
      </c>
      <c r="EJ45" s="4">
        <v>1125198</v>
      </c>
      <c r="EK45" s="4">
        <v>155006</v>
      </c>
      <c r="EL45" s="4">
        <v>28663</v>
      </c>
      <c r="EM45" s="4">
        <v>49945</v>
      </c>
      <c r="EN45" s="4">
        <v>233614</v>
      </c>
      <c r="EO45" s="4">
        <v>472168</v>
      </c>
      <c r="EP45" s="4">
        <v>1830980</v>
      </c>
      <c r="EQ45" s="4">
        <v>-23725</v>
      </c>
      <c r="ER45" s="3">
        <v>-1.3100000000000001E-2</v>
      </c>
      <c r="ES45" s="4">
        <v>115116</v>
      </c>
      <c r="ET45" s="4">
        <v>0</v>
      </c>
      <c r="EU45" s="4">
        <v>0</v>
      </c>
      <c r="EV45" s="4">
        <v>0</v>
      </c>
      <c r="EW45" s="4">
        <v>115116</v>
      </c>
      <c r="EX45" s="4">
        <v>115116</v>
      </c>
      <c r="EY45" s="1">
        <v>364434</v>
      </c>
      <c r="EZ45" s="1">
        <v>664037</v>
      </c>
      <c r="FA45" s="1">
        <v>36978</v>
      </c>
      <c r="FB45" s="1">
        <v>4887</v>
      </c>
      <c r="FC45" s="1">
        <v>23177</v>
      </c>
      <c r="FD45" s="1">
        <v>33251</v>
      </c>
      <c r="FE45" s="1">
        <v>2445</v>
      </c>
      <c r="FF45" s="1">
        <v>15378</v>
      </c>
      <c r="FG45" s="1">
        <v>70229</v>
      </c>
      <c r="FH45" s="1">
        <v>7332</v>
      </c>
      <c r="FI45" s="1">
        <v>38555</v>
      </c>
      <c r="FJ45" s="1">
        <v>116116</v>
      </c>
      <c r="FK45">
        <v>0</v>
      </c>
      <c r="FL45">
        <v>269</v>
      </c>
      <c r="FN45" s="1">
        <v>116116</v>
      </c>
      <c r="FO45" s="1">
        <v>8703</v>
      </c>
      <c r="FP45" s="1">
        <v>12500</v>
      </c>
      <c r="FQ45" s="1">
        <v>7681</v>
      </c>
      <c r="FR45">
        <v>6</v>
      </c>
      <c r="FS45">
        <v>74</v>
      </c>
      <c r="FT45">
        <v>80</v>
      </c>
      <c r="FU45" s="1">
        <v>26725</v>
      </c>
      <c r="FV45" s="1">
        <v>2022</v>
      </c>
      <c r="FW45">
        <v>0</v>
      </c>
      <c r="GG45" s="1">
        <v>34298</v>
      </c>
      <c r="GH45" s="1">
        <v>13913</v>
      </c>
      <c r="GI45">
        <v>370</v>
      </c>
      <c r="GJ45">
        <v>87</v>
      </c>
      <c r="GK45" s="1">
        <v>114347</v>
      </c>
      <c r="GL45" s="1">
        <v>314154</v>
      </c>
      <c r="GM45" s="1">
        <v>12772</v>
      </c>
      <c r="GN45">
        <v>0</v>
      </c>
      <c r="GO45" s="1">
        <v>175370</v>
      </c>
      <c r="GP45" s="1">
        <v>330089</v>
      </c>
      <c r="GQ45" s="1">
        <v>13142</v>
      </c>
      <c r="GR45">
        <v>87</v>
      </c>
      <c r="GS45">
        <v>30</v>
      </c>
      <c r="GU45" s="1">
        <v>94919</v>
      </c>
      <c r="GV45" s="1">
        <v>10302</v>
      </c>
      <c r="GW45" s="1">
        <v>86494</v>
      </c>
      <c r="GX45" s="1">
        <v>19034</v>
      </c>
      <c r="GY45">
        <v>903</v>
      </c>
      <c r="GZ45" s="1">
        <v>17314</v>
      </c>
      <c r="HA45" s="1">
        <v>113953</v>
      </c>
      <c r="HB45" s="1">
        <v>11205</v>
      </c>
      <c r="HC45" s="1">
        <v>103808</v>
      </c>
      <c r="HD45" s="1">
        <v>228966</v>
      </c>
      <c r="HE45" s="1">
        <v>1593</v>
      </c>
      <c r="HF45" s="1">
        <v>230559</v>
      </c>
      <c r="HG45" s="1">
        <v>25028</v>
      </c>
      <c r="HH45" s="1">
        <v>97073</v>
      </c>
      <c r="HK45" s="1">
        <v>122101</v>
      </c>
      <c r="HL45" s="1">
        <v>352660</v>
      </c>
      <c r="HM45">
        <v>270</v>
      </c>
      <c r="HN45" s="1">
        <v>10712</v>
      </c>
      <c r="HO45" s="1">
        <v>10982</v>
      </c>
      <c r="HP45">
        <v>19</v>
      </c>
      <c r="HQ45" s="1">
        <v>7119</v>
      </c>
      <c r="HR45" s="1">
        <v>7138</v>
      </c>
      <c r="HS45">
        <v>0</v>
      </c>
      <c r="HT45">
        <v>60</v>
      </c>
      <c r="HU45">
        <v>60</v>
      </c>
      <c r="HV45">
        <v>0</v>
      </c>
      <c r="HW45" s="1">
        <v>18180</v>
      </c>
      <c r="HX45" s="1">
        <v>30629</v>
      </c>
      <c r="HZ45" s="1">
        <v>30629</v>
      </c>
      <c r="IA45" s="1">
        <v>48809</v>
      </c>
      <c r="IB45" s="1">
        <v>32166</v>
      </c>
      <c r="IC45" s="1">
        <v>129299</v>
      </c>
      <c r="ID45" s="1">
        <v>370840</v>
      </c>
      <c r="IE45" s="1">
        <v>370840</v>
      </c>
      <c r="IF45" s="1">
        <v>401469</v>
      </c>
      <c r="IG45" s="1">
        <v>153285</v>
      </c>
      <c r="IH45">
        <v>0</v>
      </c>
      <c r="IL45" s="3">
        <v>3.8600000000000002E-2</v>
      </c>
      <c r="IM45" s="3">
        <v>4.0000000000000002E-4</v>
      </c>
      <c r="IN45" s="3">
        <v>0.78110000000000002</v>
      </c>
      <c r="IO45" s="3">
        <v>0</v>
      </c>
      <c r="IP45" s="3">
        <v>0.2641</v>
      </c>
      <c r="IQ45" s="3">
        <v>1E-4</v>
      </c>
      <c r="IR45" s="3">
        <v>0.1749</v>
      </c>
      <c r="IS45" s="3">
        <v>0.51019999999999999</v>
      </c>
      <c r="IT45" s="3">
        <v>0.4133</v>
      </c>
      <c r="IU45" s="1">
        <v>27089</v>
      </c>
      <c r="IV45" s="1">
        <v>7391</v>
      </c>
      <c r="IW45" s="1">
        <v>34480</v>
      </c>
      <c r="IX45" s="3">
        <v>0.85450000000000004</v>
      </c>
      <c r="IY45" s="1">
        <v>347194</v>
      </c>
      <c r="JA45">
        <v>237</v>
      </c>
      <c r="JB45">
        <v>5</v>
      </c>
      <c r="JC45">
        <v>408</v>
      </c>
      <c r="JD45">
        <v>10</v>
      </c>
      <c r="JE45">
        <v>1</v>
      </c>
      <c r="JF45">
        <v>371</v>
      </c>
      <c r="JG45">
        <v>247</v>
      </c>
      <c r="JH45">
        <v>6</v>
      </c>
      <c r="JI45">
        <v>779</v>
      </c>
      <c r="JJ45" s="1">
        <v>1032</v>
      </c>
      <c r="JK45">
        <v>650</v>
      </c>
      <c r="JL45">
        <v>382</v>
      </c>
      <c r="JM45" s="1">
        <v>4020</v>
      </c>
      <c r="JN45">
        <v>118</v>
      </c>
      <c r="JO45" s="1">
        <v>8296</v>
      </c>
      <c r="JP45">
        <v>260</v>
      </c>
      <c r="JQ45">
        <v>24</v>
      </c>
      <c r="JR45" s="1">
        <v>7640</v>
      </c>
      <c r="JS45" s="1">
        <v>4280</v>
      </c>
      <c r="JT45">
        <v>142</v>
      </c>
      <c r="JU45" s="1">
        <v>15936</v>
      </c>
      <c r="JV45" s="1">
        <v>20358</v>
      </c>
      <c r="JW45" s="1">
        <v>12434</v>
      </c>
      <c r="JX45" s="1">
        <v>7924</v>
      </c>
      <c r="JY45">
        <v>19.73</v>
      </c>
      <c r="JZ45">
        <v>17.329999999999998</v>
      </c>
      <c r="KA45">
        <v>20.46</v>
      </c>
      <c r="KB45">
        <v>0.21</v>
      </c>
      <c r="KC45">
        <v>0.78</v>
      </c>
      <c r="KD45">
        <v>0</v>
      </c>
      <c r="KE45">
        <v>0</v>
      </c>
      <c r="KF45">
        <v>10</v>
      </c>
      <c r="KG45">
        <v>195</v>
      </c>
      <c r="KN45" s="1">
        <v>53163</v>
      </c>
      <c r="KO45" s="1">
        <v>22706</v>
      </c>
      <c r="KP45" s="1">
        <v>1902</v>
      </c>
      <c r="KR45" s="1">
        <v>1156</v>
      </c>
      <c r="KS45" s="1">
        <v>4890</v>
      </c>
      <c r="KT45">
        <v>179</v>
      </c>
      <c r="KU45">
        <v>277</v>
      </c>
      <c r="KV45">
        <v>35</v>
      </c>
      <c r="KW45">
        <v>56</v>
      </c>
      <c r="KX45" s="1">
        <v>57130</v>
      </c>
      <c r="LA45" s="1">
        <v>17210</v>
      </c>
      <c r="LD45" t="s">
        <v>930</v>
      </c>
      <c r="LE45" t="s">
        <v>361</v>
      </c>
      <c r="LF45" t="s">
        <v>919</v>
      </c>
      <c r="LG45" t="s">
        <v>920</v>
      </c>
      <c r="LH45">
        <v>28601</v>
      </c>
      <c r="LI45">
        <v>5126</v>
      </c>
      <c r="LJ45" t="s">
        <v>919</v>
      </c>
      <c r="LK45" t="s">
        <v>920</v>
      </c>
      <c r="LL45">
        <v>28601</v>
      </c>
      <c r="LM45">
        <v>5126</v>
      </c>
      <c r="LN45" t="s">
        <v>549</v>
      </c>
      <c r="LO45">
        <v>8283040500</v>
      </c>
      <c r="LP45">
        <v>8283040023</v>
      </c>
      <c r="LQ45" s="1">
        <v>44800</v>
      </c>
      <c r="LR45">
        <v>24.94</v>
      </c>
      <c r="LT45" s="1">
        <v>6656</v>
      </c>
      <c r="LU45">
        <v>104</v>
      </c>
      <c r="LX45">
        <v>2</v>
      </c>
      <c r="LY45" t="s">
        <v>931</v>
      </c>
      <c r="LZ45">
        <v>0</v>
      </c>
      <c r="MA45" t="s">
        <v>363</v>
      </c>
      <c r="MB45">
        <v>477.78</v>
      </c>
      <c r="MC45">
        <v>91.37</v>
      </c>
      <c r="ME45" s="574">
        <v>4.9400000000000004</v>
      </c>
      <c r="MF45" s="574">
        <v>3.03</v>
      </c>
      <c r="MG45" s="574">
        <v>0.63</v>
      </c>
      <c r="MH45" s="574">
        <v>53.1</v>
      </c>
      <c r="MI45" s="574">
        <v>32.630000000000003</v>
      </c>
      <c r="MJ45" s="574">
        <v>6.78</v>
      </c>
      <c r="MK45" s="574">
        <v>5.27</v>
      </c>
      <c r="ML45" s="574">
        <v>3.24</v>
      </c>
      <c r="MM45" s="574">
        <v>0.67</v>
      </c>
      <c r="MN45" s="574">
        <v>34.44</v>
      </c>
      <c r="MO45" s="574">
        <v>21.17</v>
      </c>
      <c r="MP45" s="574">
        <v>4.3899999999999997</v>
      </c>
      <c r="MQ45" s="574">
        <v>89.94</v>
      </c>
      <c r="MR45" s="574">
        <v>55.27</v>
      </c>
      <c r="MS45" s="574">
        <v>11.48</v>
      </c>
      <c r="MT45" s="574">
        <v>11.94</v>
      </c>
      <c r="MU45" s="574">
        <v>7.34</v>
      </c>
      <c r="MV45" s="574">
        <v>1.52</v>
      </c>
      <c r="MW45" s="1">
        <v>2132</v>
      </c>
      <c r="MX45" s="1">
        <v>8104</v>
      </c>
      <c r="MY45" s="1">
        <v>7088</v>
      </c>
      <c r="MZ45" s="1">
        <v>13921</v>
      </c>
      <c r="NA45" s="1">
        <v>52926</v>
      </c>
      <c r="NB45" s="1">
        <v>46293</v>
      </c>
      <c r="NC45" s="1">
        <v>49445</v>
      </c>
      <c r="ND45" s="1">
        <v>56530</v>
      </c>
      <c r="NE45">
        <v>0.56000000000000005</v>
      </c>
      <c r="NF45" s="1">
        <v>14869</v>
      </c>
      <c r="NG45">
        <v>7.15</v>
      </c>
      <c r="NH45">
        <v>9.19</v>
      </c>
      <c r="NI45">
        <v>8.6</v>
      </c>
      <c r="NJ45">
        <v>5.19</v>
      </c>
      <c r="NK45">
        <v>8.0299999999999994</v>
      </c>
      <c r="NL45">
        <v>1.3174999999999999</v>
      </c>
      <c r="NM45">
        <v>3.7988</v>
      </c>
      <c r="NN45">
        <v>0.85</v>
      </c>
      <c r="NO45">
        <v>0.5</v>
      </c>
      <c r="NP45">
        <v>0</v>
      </c>
      <c r="NQ45">
        <v>0.01</v>
      </c>
      <c r="NR45">
        <v>1.42</v>
      </c>
      <c r="NS45">
        <v>0.11</v>
      </c>
      <c r="NT45">
        <v>0.39</v>
      </c>
      <c r="NU45" s="574">
        <v>27.89</v>
      </c>
      <c r="NV45">
        <v>16.457000000000001</v>
      </c>
      <c r="NW45">
        <v>0</v>
      </c>
      <c r="NX45">
        <v>7.0000000000000001E-3</v>
      </c>
      <c r="NY45">
        <v>4.3460000000000001</v>
      </c>
      <c r="NZ45">
        <v>2E-3</v>
      </c>
      <c r="OA45">
        <v>0.1903</v>
      </c>
      <c r="OB45">
        <v>0.72330000000000005</v>
      </c>
      <c r="OC45">
        <v>7.8019999999999996</v>
      </c>
      <c r="OD45">
        <v>2.8780000000000001</v>
      </c>
      <c r="OE45">
        <v>0.43219999999999997</v>
      </c>
      <c r="OF45" s="2">
        <v>5086.1369999999997</v>
      </c>
      <c r="OG45">
        <v>2.3199999999999998</v>
      </c>
      <c r="OH45" s="574">
        <v>11.7</v>
      </c>
      <c r="OI45" s="1">
        <v>9826</v>
      </c>
      <c r="OJ45">
        <v>744</v>
      </c>
      <c r="OK45" s="574">
        <v>45.38</v>
      </c>
      <c r="OL45" s="574">
        <v>5.79</v>
      </c>
      <c r="OM45" s="574">
        <v>3.84</v>
      </c>
      <c r="ON45">
        <v>0.61809999999999998</v>
      </c>
      <c r="OO45">
        <v>0.16259999999999999</v>
      </c>
      <c r="OP45">
        <v>0.50580000000000003</v>
      </c>
      <c r="OQ45" s="574">
        <v>0.69</v>
      </c>
      <c r="OR45" s="574">
        <v>41.67</v>
      </c>
      <c r="OS45" s="574">
        <v>0.12</v>
      </c>
      <c r="OT45" s="574">
        <v>2.31</v>
      </c>
      <c r="OU45" s="574">
        <v>44.79</v>
      </c>
      <c r="OV45">
        <v>3</v>
      </c>
      <c r="OW45">
        <v>5</v>
      </c>
      <c r="OX45">
        <v>1.07</v>
      </c>
      <c r="OY45" s="1">
        <v>7132</v>
      </c>
      <c r="OZ45">
        <v>52.16</v>
      </c>
      <c r="PA45" s="1">
        <v>6677</v>
      </c>
      <c r="PB45">
        <v>7.99</v>
      </c>
      <c r="PC45">
        <v>55.72</v>
      </c>
      <c r="PD45">
        <v>0.15</v>
      </c>
      <c r="PE45" s="1">
        <v>1022</v>
      </c>
      <c r="PF45">
        <v>1.79</v>
      </c>
      <c r="PG45" s="574">
        <v>0.67</v>
      </c>
      <c r="PH45">
        <v>1.91</v>
      </c>
      <c r="PI45">
        <v>16.5</v>
      </c>
      <c r="PJ45">
        <v>10.76</v>
      </c>
      <c r="PK45" s="574">
        <v>5.27</v>
      </c>
      <c r="PL45">
        <v>32</v>
      </c>
      <c r="PM45" s="4">
        <v>45116</v>
      </c>
      <c r="PN45" s="4">
        <v>36713</v>
      </c>
      <c r="PO45">
        <v>6.7299999999999999E-2</v>
      </c>
      <c r="PP45">
        <v>0.46910000000000002</v>
      </c>
      <c r="PQ45">
        <v>7.1800000000000003E-2</v>
      </c>
      <c r="PR45">
        <v>1.77E-2</v>
      </c>
      <c r="PS45">
        <v>0.1234</v>
      </c>
      <c r="PT45">
        <v>1.89E-2</v>
      </c>
      <c r="PU45" s="3">
        <v>0.87470000000000003</v>
      </c>
      <c r="PV45" s="3">
        <v>0.30070000000000002</v>
      </c>
      <c r="PW45" s="3">
        <v>0.69930000000000003</v>
      </c>
      <c r="PX45" s="3">
        <v>0.18629999999999999</v>
      </c>
      <c r="PY45" s="3">
        <v>0.81369999999999998</v>
      </c>
      <c r="PZ45" s="3">
        <v>0.12759999999999999</v>
      </c>
      <c r="QA45" s="3">
        <v>1.5699999999999999E-2</v>
      </c>
      <c r="QB45" s="3">
        <v>0.1145</v>
      </c>
      <c r="QC45" s="3">
        <v>2.7300000000000001E-2</v>
      </c>
      <c r="QD45" s="3">
        <v>0.25790000000000002</v>
      </c>
      <c r="QE45" s="3">
        <v>8.4699999999999998E-2</v>
      </c>
      <c r="QF45" s="3">
        <v>0.50009999999999999</v>
      </c>
      <c r="QG45" s="3">
        <v>0.61450000000000005</v>
      </c>
      <c r="QH45" s="3">
        <v>2.5999999999999999E-3</v>
      </c>
      <c r="QI45" s="3">
        <v>0.9304</v>
      </c>
      <c r="QJ45" s="3">
        <v>5.16E-2</v>
      </c>
      <c r="QK45" s="3">
        <v>1.5299999999999999E-2</v>
      </c>
      <c r="QL45" s="4">
        <v>8403</v>
      </c>
      <c r="QM45">
        <v>10.07</v>
      </c>
      <c r="QN45" s="1">
        <v>5380</v>
      </c>
      <c r="QO45" s="1">
        <v>6151</v>
      </c>
      <c r="QP45" s="1">
        <v>1618</v>
      </c>
      <c r="QQ45" s="3">
        <v>0.66349999999999998</v>
      </c>
      <c r="QR45" s="3">
        <v>0.1227</v>
      </c>
      <c r="QS45" s="3">
        <v>0.21379999999999999</v>
      </c>
      <c r="QT45" s="3">
        <v>0.26300000000000001</v>
      </c>
      <c r="QU45">
        <v>0.41</v>
      </c>
      <c r="QV45">
        <v>1.77</v>
      </c>
      <c r="QW45">
        <v>0.33</v>
      </c>
      <c r="QX45">
        <v>13</v>
      </c>
      <c r="QY45">
        <v>2.39</v>
      </c>
      <c r="QZ45">
        <v>7</v>
      </c>
      <c r="RA45">
        <v>1.59</v>
      </c>
      <c r="RB45">
        <v>0.2</v>
      </c>
      <c r="RC45">
        <v>0.21</v>
      </c>
    </row>
    <row r="46" spans="1:471" x14ac:dyDescent="0.25">
      <c r="A46" t="s">
        <v>932</v>
      </c>
      <c r="B46">
        <v>11708</v>
      </c>
      <c r="C46" t="s">
        <v>1754</v>
      </c>
      <c r="D46" t="s">
        <v>1754</v>
      </c>
      <c r="E46" t="s">
        <v>1754</v>
      </c>
      <c r="F46" t="s">
        <v>1755</v>
      </c>
      <c r="G46" t="s">
        <v>1755</v>
      </c>
      <c r="H46" t="s">
        <v>933</v>
      </c>
      <c r="I46" t="s">
        <v>342</v>
      </c>
      <c r="J46" t="s">
        <v>559</v>
      </c>
      <c r="K46" t="s">
        <v>344</v>
      </c>
      <c r="L46" t="s">
        <v>345</v>
      </c>
      <c r="M46" t="s">
        <v>560</v>
      </c>
      <c r="N46" t="s">
        <v>347</v>
      </c>
      <c r="O46" s="1">
        <v>109749</v>
      </c>
      <c r="P46" t="s">
        <v>348</v>
      </c>
      <c r="Q46" s="1">
        <v>1200</v>
      </c>
      <c r="R46">
        <v>30</v>
      </c>
      <c r="S46">
        <v>424</v>
      </c>
      <c r="T46">
        <v>5</v>
      </c>
      <c r="U46" s="1">
        <v>10675</v>
      </c>
      <c r="V46">
        <v>44</v>
      </c>
      <c r="W46">
        <v>-1</v>
      </c>
      <c r="X46" s="1">
        <v>6732</v>
      </c>
      <c r="AC46" t="s">
        <v>934</v>
      </c>
      <c r="AD46" t="s">
        <v>935</v>
      </c>
      <c r="AE46">
        <v>27261</v>
      </c>
      <c r="AF46">
        <v>2530</v>
      </c>
      <c r="AG46" t="s">
        <v>936</v>
      </c>
      <c r="AH46" t="s">
        <v>935</v>
      </c>
      <c r="AI46">
        <v>27262</v>
      </c>
      <c r="AJ46">
        <v>3</v>
      </c>
      <c r="AK46" t="s">
        <v>937</v>
      </c>
      <c r="AM46" t="s">
        <v>564</v>
      </c>
      <c r="AN46" t="s">
        <v>848</v>
      </c>
      <c r="AO46" t="s">
        <v>938</v>
      </c>
      <c r="AP46">
        <v>3368833694</v>
      </c>
      <c r="AQ46" t="s">
        <v>939</v>
      </c>
      <c r="AR46" t="s">
        <v>940</v>
      </c>
      <c r="AS46" t="s">
        <v>941</v>
      </c>
      <c r="AT46" t="s">
        <v>554</v>
      </c>
      <c r="AU46" t="s">
        <v>942</v>
      </c>
      <c r="AV46" t="s">
        <v>939</v>
      </c>
      <c r="AW46" t="s">
        <v>943</v>
      </c>
      <c r="AX46" t="s">
        <v>944</v>
      </c>
      <c r="AY46">
        <v>0</v>
      </c>
      <c r="AZ46">
        <v>0</v>
      </c>
      <c r="BA46">
        <v>0</v>
      </c>
      <c r="BB46" s="573">
        <v>42186</v>
      </c>
      <c r="BC46" s="573">
        <v>42551</v>
      </c>
      <c r="BD46">
        <v>1</v>
      </c>
      <c r="BE46">
        <v>0</v>
      </c>
      <c r="BF46">
        <v>1</v>
      </c>
      <c r="BG46">
        <v>1</v>
      </c>
      <c r="BH46">
        <v>3</v>
      </c>
      <c r="BJ46" s="1">
        <v>3460</v>
      </c>
      <c r="BK46">
        <v>16.5</v>
      </c>
      <c r="BL46">
        <v>0</v>
      </c>
      <c r="BM46">
        <v>16.5</v>
      </c>
      <c r="BN46">
        <v>52.5</v>
      </c>
      <c r="BO46">
        <v>69</v>
      </c>
      <c r="BP46" s="3">
        <v>0.23910000000000001</v>
      </c>
      <c r="BQ46" s="1">
        <v>2016</v>
      </c>
      <c r="BR46" s="4">
        <v>108753</v>
      </c>
      <c r="DW46" s="4">
        <v>4396949</v>
      </c>
      <c r="DX46" s="4">
        <v>359960</v>
      </c>
      <c r="DY46" s="4">
        <v>4756909</v>
      </c>
      <c r="DZ46" s="4">
        <v>82308</v>
      </c>
      <c r="EA46" s="4">
        <v>0</v>
      </c>
      <c r="EB46" s="4">
        <v>82308</v>
      </c>
      <c r="EC46" s="4">
        <v>4943</v>
      </c>
      <c r="ED46" s="4">
        <v>0</v>
      </c>
      <c r="EE46" s="4">
        <v>4943</v>
      </c>
      <c r="EF46" s="4">
        <v>0</v>
      </c>
      <c r="EG46" s="4">
        <v>4844160</v>
      </c>
      <c r="EH46" s="4">
        <v>2424551</v>
      </c>
      <c r="EI46" s="4">
        <v>807528</v>
      </c>
      <c r="EJ46" s="4">
        <v>3232079</v>
      </c>
      <c r="EK46" s="4">
        <v>240860</v>
      </c>
      <c r="EL46" s="4">
        <v>93604</v>
      </c>
      <c r="EM46" s="4">
        <v>80334</v>
      </c>
      <c r="EN46" s="4">
        <v>414798</v>
      </c>
      <c r="EO46" s="4">
        <v>863062</v>
      </c>
      <c r="EP46" s="4">
        <v>4509939</v>
      </c>
      <c r="EQ46" s="4">
        <v>334221</v>
      </c>
      <c r="ER46" s="3">
        <v>6.9000000000000006E-2</v>
      </c>
      <c r="ES46" s="4">
        <v>0</v>
      </c>
      <c r="ET46" s="4">
        <v>0</v>
      </c>
      <c r="EU46" s="4">
        <v>0</v>
      </c>
      <c r="EV46" s="4">
        <v>0</v>
      </c>
      <c r="EW46" s="4">
        <v>0</v>
      </c>
      <c r="EX46" s="4">
        <v>0</v>
      </c>
      <c r="EY46" s="1">
        <v>236732</v>
      </c>
      <c r="EZ46" s="1">
        <v>932093</v>
      </c>
      <c r="FA46" s="1">
        <v>59543</v>
      </c>
      <c r="FB46" s="1">
        <v>5243</v>
      </c>
      <c r="FC46" s="1">
        <v>50645</v>
      </c>
      <c r="FD46" s="1">
        <v>108955</v>
      </c>
      <c r="FE46">
        <v>84</v>
      </c>
      <c r="FF46" s="1">
        <v>26863</v>
      </c>
      <c r="FG46" s="1">
        <v>168498</v>
      </c>
      <c r="FH46" s="1">
        <v>5327</v>
      </c>
      <c r="FI46" s="1">
        <v>77508</v>
      </c>
      <c r="FJ46" s="1">
        <v>251333</v>
      </c>
      <c r="FK46" s="1">
        <v>69048</v>
      </c>
      <c r="FL46">
        <v>752</v>
      </c>
      <c r="FN46" s="1">
        <v>251333</v>
      </c>
      <c r="FO46" s="1">
        <v>8928</v>
      </c>
      <c r="FP46" s="1">
        <v>17500</v>
      </c>
      <c r="FQ46" s="1">
        <v>18934</v>
      </c>
      <c r="FR46">
        <v>22</v>
      </c>
      <c r="FS46">
        <v>74</v>
      </c>
      <c r="FT46">
        <v>96</v>
      </c>
      <c r="FU46" s="1">
        <v>26725</v>
      </c>
      <c r="FV46" s="1">
        <v>2022</v>
      </c>
      <c r="FW46">
        <v>0</v>
      </c>
      <c r="GG46" s="1">
        <v>34298</v>
      </c>
      <c r="GH46" s="1">
        <v>13913</v>
      </c>
      <c r="GI46">
        <v>370</v>
      </c>
      <c r="GJ46">
        <v>87</v>
      </c>
      <c r="GK46" s="1">
        <v>294000</v>
      </c>
      <c r="GL46">
        <v>-1</v>
      </c>
      <c r="GM46" s="1">
        <v>194000</v>
      </c>
      <c r="GN46">
        <v>88</v>
      </c>
      <c r="GO46" s="1">
        <v>355023</v>
      </c>
      <c r="GP46" s="1">
        <v>15934</v>
      </c>
      <c r="GQ46" s="1">
        <v>194370</v>
      </c>
      <c r="GR46">
        <v>175</v>
      </c>
      <c r="GS46">
        <v>142</v>
      </c>
      <c r="GU46" s="1">
        <v>126205</v>
      </c>
      <c r="GV46" s="1">
        <v>19497</v>
      </c>
      <c r="GW46" s="1">
        <v>129385</v>
      </c>
      <c r="GX46" s="1">
        <v>77564</v>
      </c>
      <c r="GY46">
        <v>197</v>
      </c>
      <c r="GZ46" s="1">
        <v>26924</v>
      </c>
      <c r="HA46" s="1">
        <v>203769</v>
      </c>
      <c r="HB46" s="1">
        <v>19694</v>
      </c>
      <c r="HC46" s="1">
        <v>156309</v>
      </c>
      <c r="HD46" s="1">
        <v>379772</v>
      </c>
      <c r="HE46">
        <v>803</v>
      </c>
      <c r="HF46" s="1">
        <v>380581</v>
      </c>
      <c r="HG46" s="1">
        <v>34923</v>
      </c>
      <c r="HH46" s="1">
        <v>168236</v>
      </c>
      <c r="HI46">
        <v>6</v>
      </c>
      <c r="HJ46" s="1">
        <v>50845</v>
      </c>
      <c r="HK46" s="1">
        <v>254004</v>
      </c>
      <c r="HL46" s="1">
        <v>634585</v>
      </c>
      <c r="HM46">
        <v>156</v>
      </c>
      <c r="HN46" s="1">
        <v>32218</v>
      </c>
      <c r="HO46" s="1">
        <v>32374</v>
      </c>
      <c r="HP46">
        <v>730</v>
      </c>
      <c r="HQ46" s="1">
        <v>13733</v>
      </c>
      <c r="HR46" s="1">
        <v>14463</v>
      </c>
      <c r="HS46">
        <v>0</v>
      </c>
      <c r="HT46">
        <v>177</v>
      </c>
      <c r="HU46">
        <v>177</v>
      </c>
      <c r="HV46">
        <v>574</v>
      </c>
      <c r="HW46" s="1">
        <v>47588</v>
      </c>
      <c r="HX46" s="1">
        <v>100423</v>
      </c>
      <c r="HY46">
        <v>0</v>
      </c>
      <c r="HZ46" s="1">
        <v>100423</v>
      </c>
      <c r="IA46" s="1">
        <v>148011</v>
      </c>
      <c r="IB46" s="1">
        <v>49386</v>
      </c>
      <c r="IC46" s="1">
        <v>217799</v>
      </c>
      <c r="ID46" s="1">
        <v>682173</v>
      </c>
      <c r="IE46" s="1">
        <v>682173</v>
      </c>
      <c r="IF46" s="1">
        <v>782596</v>
      </c>
      <c r="IG46" s="1">
        <v>176622</v>
      </c>
      <c r="IH46">
        <v>446</v>
      </c>
      <c r="IK46">
        <v>1</v>
      </c>
      <c r="IL46" s="3">
        <v>0.2273</v>
      </c>
      <c r="IM46" s="3">
        <v>8.0000000000000004E-4</v>
      </c>
      <c r="IN46" s="3">
        <v>0.60670000000000002</v>
      </c>
      <c r="IO46" s="3">
        <v>0</v>
      </c>
      <c r="IP46" s="3">
        <v>0.38090000000000002</v>
      </c>
      <c r="IQ46" s="3">
        <v>1E-4</v>
      </c>
      <c r="IR46" s="3">
        <v>0.26960000000000001</v>
      </c>
      <c r="IS46" s="3">
        <v>2.6700000000000002E-2</v>
      </c>
      <c r="IT46" s="3">
        <v>0.25890000000000002</v>
      </c>
      <c r="IU46" s="1">
        <v>69735</v>
      </c>
      <c r="IV46" s="1">
        <v>13222</v>
      </c>
      <c r="IW46" s="1">
        <v>82957</v>
      </c>
      <c r="IX46" s="3">
        <v>0.75590000000000002</v>
      </c>
      <c r="IY46" s="1">
        <v>315277</v>
      </c>
      <c r="JA46" s="1">
        <v>1831</v>
      </c>
      <c r="JB46">
        <v>12</v>
      </c>
      <c r="JC46">
        <v>970</v>
      </c>
      <c r="JD46">
        <v>35</v>
      </c>
      <c r="JE46">
        <v>0</v>
      </c>
      <c r="JF46">
        <v>940</v>
      </c>
      <c r="JG46" s="1">
        <v>1866</v>
      </c>
      <c r="JH46">
        <v>12</v>
      </c>
      <c r="JI46" s="1">
        <v>1910</v>
      </c>
      <c r="JJ46" s="1">
        <v>3788</v>
      </c>
      <c r="JK46" s="1">
        <v>2813</v>
      </c>
      <c r="JL46">
        <v>975</v>
      </c>
      <c r="JM46" s="1">
        <v>8069</v>
      </c>
      <c r="JN46">
        <v>161</v>
      </c>
      <c r="JO46" s="1">
        <v>14020</v>
      </c>
      <c r="JP46" s="1">
        <v>1128</v>
      </c>
      <c r="JQ46">
        <v>0</v>
      </c>
      <c r="JR46" s="1">
        <v>15283</v>
      </c>
      <c r="JS46" s="1">
        <v>9197</v>
      </c>
      <c r="JT46">
        <v>161</v>
      </c>
      <c r="JU46" s="1">
        <v>29303</v>
      </c>
      <c r="JV46" s="1">
        <v>38661</v>
      </c>
      <c r="JW46" s="1">
        <v>22250</v>
      </c>
      <c r="JX46" s="1">
        <v>16411</v>
      </c>
      <c r="JY46">
        <v>10.210000000000001</v>
      </c>
      <c r="JZ46">
        <v>4.93</v>
      </c>
      <c r="KA46">
        <v>15.34</v>
      </c>
      <c r="KB46">
        <v>0.24</v>
      </c>
      <c r="KC46">
        <v>0.76</v>
      </c>
      <c r="KD46">
        <v>99</v>
      </c>
      <c r="KE46">
        <v>233</v>
      </c>
      <c r="KF46">
        <v>742</v>
      </c>
      <c r="KG46" s="1">
        <v>1067</v>
      </c>
      <c r="KN46" s="1">
        <v>97833</v>
      </c>
      <c r="KO46" s="1">
        <v>8903</v>
      </c>
      <c r="KP46" s="1">
        <v>10356</v>
      </c>
      <c r="KR46">
        <v>175</v>
      </c>
      <c r="KS46" s="1">
        <v>4283</v>
      </c>
      <c r="KT46" s="1">
        <v>1376</v>
      </c>
      <c r="KU46">
        <v>782</v>
      </c>
      <c r="KV46">
        <v>125</v>
      </c>
      <c r="KW46">
        <v>112</v>
      </c>
      <c r="KX46" s="1">
        <v>65659</v>
      </c>
      <c r="KZ46" s="1">
        <v>127761</v>
      </c>
      <c r="LA46" s="1">
        <v>18806</v>
      </c>
      <c r="LD46" t="s">
        <v>937</v>
      </c>
      <c r="LE46" t="s">
        <v>379</v>
      </c>
      <c r="LF46" t="s">
        <v>934</v>
      </c>
      <c r="LG46" t="s">
        <v>935</v>
      </c>
      <c r="LH46">
        <v>27261</v>
      </c>
      <c r="LI46">
        <v>2530</v>
      </c>
      <c r="LJ46" t="s">
        <v>936</v>
      </c>
      <c r="LK46" t="s">
        <v>935</v>
      </c>
      <c r="LL46">
        <v>27262</v>
      </c>
      <c r="LM46">
        <v>3923</v>
      </c>
      <c r="LN46" t="s">
        <v>848</v>
      </c>
      <c r="LO46">
        <v>3368833631</v>
      </c>
      <c r="LP46">
        <v>3368833636</v>
      </c>
      <c r="LQ46" s="1">
        <v>83440</v>
      </c>
      <c r="LR46">
        <v>69</v>
      </c>
      <c r="LT46" s="1">
        <v>3460</v>
      </c>
      <c r="LU46">
        <v>41</v>
      </c>
      <c r="LX46">
        <v>2</v>
      </c>
      <c r="LY46" t="s">
        <v>945</v>
      </c>
      <c r="LZ46">
        <v>0</v>
      </c>
      <c r="MA46" t="s">
        <v>363</v>
      </c>
      <c r="MB46">
        <v>28.37</v>
      </c>
      <c r="MC46">
        <v>10.91</v>
      </c>
      <c r="ME46" s="574">
        <v>6.61</v>
      </c>
      <c r="MF46" s="574">
        <v>4.74</v>
      </c>
      <c r="MG46" s="574">
        <v>0.61</v>
      </c>
      <c r="MH46" s="574">
        <v>54.36</v>
      </c>
      <c r="MI46" s="574">
        <v>38.96</v>
      </c>
      <c r="MJ46" s="574">
        <v>5</v>
      </c>
      <c r="MK46" s="574">
        <v>14.3</v>
      </c>
      <c r="ML46" s="574">
        <v>10.25</v>
      </c>
      <c r="MM46" s="574">
        <v>1.32</v>
      </c>
      <c r="MN46" s="574">
        <v>46.1</v>
      </c>
      <c r="MO46" s="574">
        <v>33.04</v>
      </c>
      <c r="MP46" s="574">
        <v>4.24</v>
      </c>
      <c r="MQ46" s="574">
        <v>116.65</v>
      </c>
      <c r="MR46" s="574">
        <v>83.6</v>
      </c>
      <c r="MS46" s="574">
        <v>10.73</v>
      </c>
      <c r="MT46" s="574">
        <v>25.53</v>
      </c>
      <c r="MU46" s="574">
        <v>18.3</v>
      </c>
      <c r="MV46" s="574">
        <v>2.35</v>
      </c>
      <c r="MW46" s="1">
        <v>1418</v>
      </c>
      <c r="MX46" s="1">
        <v>5929</v>
      </c>
      <c r="MY46" s="1">
        <v>5929</v>
      </c>
      <c r="MZ46" s="1">
        <v>4569</v>
      </c>
      <c r="NA46" s="1">
        <v>19108</v>
      </c>
      <c r="NB46" s="1">
        <v>19108</v>
      </c>
      <c r="NC46" s="1">
        <v>41344</v>
      </c>
      <c r="ND46" s="1">
        <v>41344</v>
      </c>
      <c r="NE46">
        <v>0.73</v>
      </c>
      <c r="NF46" s="1">
        <v>9887</v>
      </c>
      <c r="NG46">
        <v>4.75</v>
      </c>
      <c r="NH46">
        <v>6.2160000000000002</v>
      </c>
      <c r="NI46">
        <v>2.87</v>
      </c>
      <c r="NJ46">
        <v>16.59</v>
      </c>
      <c r="NK46">
        <v>9.43</v>
      </c>
      <c r="NL46">
        <v>0.89139999999999997</v>
      </c>
      <c r="NM46">
        <v>1.6093</v>
      </c>
      <c r="NN46">
        <v>0.76</v>
      </c>
      <c r="NO46">
        <v>0.35</v>
      </c>
      <c r="NP46">
        <v>0.01</v>
      </c>
      <c r="NQ46">
        <v>0.01</v>
      </c>
      <c r="NR46">
        <v>0.6</v>
      </c>
      <c r="NS46">
        <v>0.08</v>
      </c>
      <c r="NT46">
        <v>0.27</v>
      </c>
      <c r="NU46" s="574">
        <v>29.45</v>
      </c>
      <c r="NV46">
        <v>8.4930000000000003</v>
      </c>
      <c r="NW46">
        <v>0</v>
      </c>
      <c r="NX46">
        <v>7.0000000000000001E-3</v>
      </c>
      <c r="NY46">
        <v>3.2349999999999999</v>
      </c>
      <c r="NZ46">
        <v>1E-3</v>
      </c>
      <c r="OA46">
        <v>0.19889999999999999</v>
      </c>
      <c r="OB46">
        <v>0.83179999999999998</v>
      </c>
      <c r="OC46">
        <v>9.0649999999999995</v>
      </c>
      <c r="OD46">
        <v>2.29</v>
      </c>
      <c r="OE46">
        <v>0.47839999999999999</v>
      </c>
      <c r="OF46" s="2">
        <v>4279.6030000000001</v>
      </c>
      <c r="OG46">
        <v>1.157</v>
      </c>
      <c r="OH46" s="574">
        <v>7.86</v>
      </c>
      <c r="OI46">
        <v>300</v>
      </c>
      <c r="OJ46" s="1">
        <v>2554</v>
      </c>
      <c r="OK46" s="574">
        <v>41.09</v>
      </c>
      <c r="OL46" s="574">
        <v>3.78</v>
      </c>
      <c r="OM46" s="574">
        <v>2.19</v>
      </c>
      <c r="ON46">
        <v>0.62870000000000004</v>
      </c>
      <c r="OO46">
        <v>0.15029999999999999</v>
      </c>
      <c r="OP46">
        <v>0.63290000000000002</v>
      </c>
      <c r="OQ46" s="574">
        <v>0.75</v>
      </c>
      <c r="OR46" s="574">
        <v>43.34</v>
      </c>
      <c r="OS46" s="574">
        <v>0.05</v>
      </c>
      <c r="OT46" s="574">
        <v>0</v>
      </c>
      <c r="OU46" s="574">
        <v>44.14</v>
      </c>
      <c r="OV46">
        <v>26</v>
      </c>
      <c r="OW46">
        <v>15</v>
      </c>
      <c r="OX46">
        <v>2.16</v>
      </c>
      <c r="OY46" s="1">
        <v>13119</v>
      </c>
      <c r="OZ46">
        <v>91.12</v>
      </c>
      <c r="PA46" s="1">
        <v>6063</v>
      </c>
      <c r="PB46">
        <v>28.28</v>
      </c>
      <c r="PC46">
        <v>197.16</v>
      </c>
      <c r="PD46">
        <v>0.31</v>
      </c>
      <c r="PE46" s="1">
        <v>1881</v>
      </c>
      <c r="PF46">
        <v>1.37</v>
      </c>
      <c r="PG46" s="574">
        <v>1.32</v>
      </c>
      <c r="PH46">
        <v>2.96</v>
      </c>
      <c r="PI46">
        <v>3.15</v>
      </c>
      <c r="PJ46">
        <v>8.2200000000000006</v>
      </c>
      <c r="PK46" s="574">
        <v>14.3</v>
      </c>
      <c r="PL46">
        <v>22.18</v>
      </c>
      <c r="PM46" s="4">
        <v>46842</v>
      </c>
      <c r="PN46" s="4">
        <v>35138</v>
      </c>
      <c r="PO46">
        <v>0.1012</v>
      </c>
      <c r="PP46">
        <v>0.70530000000000004</v>
      </c>
      <c r="PQ46">
        <v>0.21890000000000001</v>
      </c>
      <c r="PR46">
        <v>2.4199999999999999E-2</v>
      </c>
      <c r="PS46">
        <v>0.16869999999999999</v>
      </c>
      <c r="PT46">
        <v>5.2299999999999999E-2</v>
      </c>
      <c r="PU46" s="3">
        <v>1</v>
      </c>
      <c r="PV46" s="3">
        <v>0.23910000000000001</v>
      </c>
      <c r="PW46" s="3">
        <v>0.76090000000000002</v>
      </c>
      <c r="PX46" s="3">
        <v>0.24979999999999999</v>
      </c>
      <c r="PY46" s="3">
        <v>0.75019999999999998</v>
      </c>
      <c r="PZ46" s="3">
        <v>9.1999999999999998E-2</v>
      </c>
      <c r="QA46" s="3">
        <v>2.0799999999999999E-2</v>
      </c>
      <c r="QB46" s="3">
        <v>0.17910000000000001</v>
      </c>
      <c r="QC46" s="3">
        <v>1.78E-2</v>
      </c>
      <c r="QD46" s="3">
        <v>0.19139999999999999</v>
      </c>
      <c r="QE46" s="3">
        <v>5.3400000000000003E-2</v>
      </c>
      <c r="QF46" s="3">
        <v>0.53759999999999997</v>
      </c>
      <c r="QG46" s="3">
        <v>0.7167</v>
      </c>
      <c r="QH46" s="3">
        <v>1E-3</v>
      </c>
      <c r="QI46" s="3">
        <v>0.98199999999999998</v>
      </c>
      <c r="QJ46" s="3">
        <v>0</v>
      </c>
      <c r="QK46" s="3">
        <v>1.7000000000000001E-2</v>
      </c>
      <c r="QL46" s="4">
        <v>11703</v>
      </c>
      <c r="QM46">
        <v>3.8</v>
      </c>
      <c r="QN46" s="1">
        <v>6651</v>
      </c>
      <c r="QO46" s="1">
        <v>6651</v>
      </c>
      <c r="QP46" s="1">
        <v>1591</v>
      </c>
      <c r="QQ46" s="3">
        <v>0.58069999999999999</v>
      </c>
      <c r="QR46" s="3">
        <v>0.22570000000000001</v>
      </c>
      <c r="QS46" s="3">
        <v>0.19370000000000001</v>
      </c>
      <c r="QT46" s="3">
        <v>0.23910000000000001</v>
      </c>
      <c r="QU46">
        <v>0.28000000000000003</v>
      </c>
      <c r="QV46">
        <v>0.84</v>
      </c>
      <c r="QW46">
        <v>0.21</v>
      </c>
      <c r="QX46">
        <v>7</v>
      </c>
      <c r="QY46">
        <v>2.83</v>
      </c>
      <c r="QZ46">
        <v>8</v>
      </c>
      <c r="RA46">
        <v>1.64</v>
      </c>
      <c r="RB46">
        <v>0.15</v>
      </c>
      <c r="RC46">
        <v>0.14000000000000001</v>
      </c>
    </row>
    <row r="47" spans="1:471" x14ac:dyDescent="0.25">
      <c r="A47" t="s">
        <v>946</v>
      </c>
      <c r="B47">
        <v>158202</v>
      </c>
      <c r="C47" s="572" t="s">
        <v>1754</v>
      </c>
      <c r="D47" s="572" t="s">
        <v>1754</v>
      </c>
      <c r="E47" s="572" t="s">
        <v>1754</v>
      </c>
      <c r="F47" s="572" t="s">
        <v>1755</v>
      </c>
      <c r="G47" s="572" t="s">
        <v>1755</v>
      </c>
      <c r="H47" t="s">
        <v>1757</v>
      </c>
      <c r="I47" t="s">
        <v>342</v>
      </c>
      <c r="J47" t="s">
        <v>559</v>
      </c>
      <c r="K47" t="s">
        <v>533</v>
      </c>
      <c r="L47" t="s">
        <v>345</v>
      </c>
      <c r="M47" t="s">
        <v>560</v>
      </c>
      <c r="N47" t="s">
        <v>345</v>
      </c>
      <c r="O47" s="1">
        <v>18734</v>
      </c>
      <c r="P47" t="s">
        <v>348</v>
      </c>
      <c r="Q47">
        <v>183</v>
      </c>
      <c r="R47">
        <v>53</v>
      </c>
      <c r="S47">
        <v>23</v>
      </c>
      <c r="T47">
        <v>8</v>
      </c>
      <c r="U47" s="1">
        <v>2100</v>
      </c>
      <c r="V47">
        <v>130</v>
      </c>
      <c r="W47" s="1">
        <v>8506</v>
      </c>
      <c r="X47">
        <v>942</v>
      </c>
      <c r="Y47" s="1">
        <v>10240</v>
      </c>
      <c r="Z47" s="1">
        <v>1802</v>
      </c>
      <c r="AC47" t="s">
        <v>947</v>
      </c>
      <c r="AD47" t="s">
        <v>948</v>
      </c>
      <c r="AE47">
        <v>27520</v>
      </c>
      <c r="AF47">
        <v>2420</v>
      </c>
      <c r="AG47" t="s">
        <v>947</v>
      </c>
      <c r="AH47" t="s">
        <v>948</v>
      </c>
      <c r="AI47">
        <v>27520</v>
      </c>
      <c r="AJ47">
        <v>3</v>
      </c>
      <c r="AK47" t="s">
        <v>949</v>
      </c>
      <c r="AM47" t="s">
        <v>564</v>
      </c>
      <c r="AN47" t="s">
        <v>950</v>
      </c>
      <c r="AO47" t="s">
        <v>951</v>
      </c>
      <c r="AP47">
        <v>9193599366</v>
      </c>
      <c r="AR47" t="s">
        <v>953</v>
      </c>
      <c r="AS47" t="s">
        <v>951</v>
      </c>
      <c r="AT47" t="s">
        <v>1</v>
      </c>
      <c r="AU47" t="s">
        <v>952</v>
      </c>
      <c r="AW47" t="s">
        <v>953</v>
      </c>
      <c r="AX47" t="s">
        <v>954</v>
      </c>
      <c r="AY47">
        <v>4</v>
      </c>
      <c r="AZ47">
        <v>0</v>
      </c>
      <c r="BA47">
        <v>0</v>
      </c>
      <c r="BB47" s="573">
        <v>42186</v>
      </c>
      <c r="BC47" s="573">
        <v>42551</v>
      </c>
      <c r="BD47">
        <v>1</v>
      </c>
      <c r="BE47">
        <v>0</v>
      </c>
      <c r="BF47">
        <v>0</v>
      </c>
      <c r="BG47">
        <v>1</v>
      </c>
      <c r="BH47">
        <v>2</v>
      </c>
      <c r="BJ47" s="1">
        <v>2449</v>
      </c>
      <c r="BK47">
        <v>2</v>
      </c>
      <c r="BL47">
        <v>0</v>
      </c>
      <c r="BM47">
        <v>2</v>
      </c>
      <c r="BN47">
        <v>6</v>
      </c>
      <c r="BO47">
        <v>8</v>
      </c>
      <c r="BP47" s="3">
        <v>0.25</v>
      </c>
      <c r="BQ47">
        <v>755</v>
      </c>
      <c r="BR47" s="4">
        <v>58000</v>
      </c>
      <c r="DW47" s="4">
        <v>517919</v>
      </c>
      <c r="DX47" s="4">
        <v>0</v>
      </c>
      <c r="DY47" s="4">
        <v>517919</v>
      </c>
      <c r="DZ47" s="4">
        <v>11180</v>
      </c>
      <c r="EA47" s="4">
        <v>0</v>
      </c>
      <c r="EB47" s="4">
        <v>11180</v>
      </c>
      <c r="EC47" s="4">
        <v>0</v>
      </c>
      <c r="ED47" s="4">
        <v>0</v>
      </c>
      <c r="EE47" s="4">
        <v>0</v>
      </c>
      <c r="EF47" s="4">
        <v>0</v>
      </c>
      <c r="EG47" s="4">
        <v>529099</v>
      </c>
      <c r="EH47" s="4">
        <v>330997</v>
      </c>
      <c r="EI47" s="4">
        <v>109380</v>
      </c>
      <c r="EJ47" s="4">
        <v>440377</v>
      </c>
      <c r="EK47" s="4">
        <v>40833</v>
      </c>
      <c r="EL47" s="4">
        <v>0</v>
      </c>
      <c r="EM47" s="4">
        <v>1049</v>
      </c>
      <c r="EN47" s="4">
        <v>41882</v>
      </c>
      <c r="EO47" s="4">
        <v>35660</v>
      </c>
      <c r="EP47" s="4">
        <v>517919</v>
      </c>
      <c r="EQ47" s="4">
        <v>11180</v>
      </c>
      <c r="ER47" s="3">
        <v>2.1100000000000001E-2</v>
      </c>
      <c r="ES47" s="4">
        <v>36951</v>
      </c>
      <c r="ET47" s="4">
        <v>0</v>
      </c>
      <c r="EU47" s="4">
        <v>0</v>
      </c>
      <c r="EV47" s="4">
        <v>0</v>
      </c>
      <c r="EW47" s="4">
        <v>36951</v>
      </c>
      <c r="EX47" s="4">
        <v>36951</v>
      </c>
      <c r="EY47" s="1">
        <v>8153</v>
      </c>
      <c r="EZ47" s="1">
        <v>102245</v>
      </c>
      <c r="FA47" s="1">
        <v>26458</v>
      </c>
      <c r="FB47" s="1">
        <v>2212</v>
      </c>
      <c r="FC47" s="1">
        <v>7053</v>
      </c>
      <c r="FD47" s="1">
        <v>14515</v>
      </c>
      <c r="FE47">
        <v>706</v>
      </c>
      <c r="FF47" s="1">
        <v>7727</v>
      </c>
      <c r="FG47" s="1">
        <v>40973</v>
      </c>
      <c r="FH47" s="1">
        <v>2918</v>
      </c>
      <c r="FI47" s="1">
        <v>14780</v>
      </c>
      <c r="FJ47" s="1">
        <v>58671</v>
      </c>
      <c r="FK47" s="1">
        <v>6464</v>
      </c>
      <c r="FL47">
        <v>18</v>
      </c>
      <c r="FN47" s="1">
        <v>58671</v>
      </c>
      <c r="FO47" s="1">
        <v>1688</v>
      </c>
      <c r="FP47">
        <v>0</v>
      </c>
      <c r="FQ47">
        <v>0</v>
      </c>
      <c r="FR47">
        <v>0</v>
      </c>
      <c r="FS47">
        <v>74</v>
      </c>
      <c r="FT47">
        <v>74</v>
      </c>
      <c r="FU47" s="1">
        <v>26725</v>
      </c>
      <c r="FV47" s="1">
        <v>2022</v>
      </c>
      <c r="FW47">
        <v>0</v>
      </c>
      <c r="GK47" s="1">
        <v>2140</v>
      </c>
      <c r="GL47" s="1">
        <v>4443</v>
      </c>
      <c r="GM47">
        <v>0</v>
      </c>
      <c r="GN47">
        <v>0</v>
      </c>
      <c r="GO47" s="1">
        <v>28865</v>
      </c>
      <c r="GP47" s="1">
        <v>6465</v>
      </c>
      <c r="GQ47">
        <v>0</v>
      </c>
      <c r="GR47">
        <v>0</v>
      </c>
      <c r="GS47">
        <v>14</v>
      </c>
      <c r="GU47" s="1">
        <v>28991</v>
      </c>
      <c r="GV47" s="1">
        <v>2747</v>
      </c>
      <c r="GW47" s="1">
        <v>33127</v>
      </c>
      <c r="GX47" s="1">
        <v>7937</v>
      </c>
      <c r="GY47">
        <v>860</v>
      </c>
      <c r="GZ47" s="1">
        <v>12591</v>
      </c>
      <c r="HA47" s="1">
        <v>36928</v>
      </c>
      <c r="HB47" s="1">
        <v>3607</v>
      </c>
      <c r="HC47" s="1">
        <v>45718</v>
      </c>
      <c r="HD47" s="1">
        <v>86253</v>
      </c>
      <c r="HE47">
        <v>0</v>
      </c>
      <c r="HF47" s="1">
        <v>92598</v>
      </c>
      <c r="HG47">
        <v>0</v>
      </c>
      <c r="HH47">
        <v>0</v>
      </c>
      <c r="HI47" s="1">
        <v>6345</v>
      </c>
      <c r="HJ47">
        <v>0</v>
      </c>
      <c r="HK47">
        <v>0</v>
      </c>
      <c r="HL47" s="1">
        <v>92598</v>
      </c>
      <c r="HM47">
        <v>94</v>
      </c>
      <c r="HN47" s="1">
        <v>1592</v>
      </c>
      <c r="HO47" s="1">
        <v>1686</v>
      </c>
      <c r="HP47">
        <v>227</v>
      </c>
      <c r="HQ47">
        <v>599</v>
      </c>
      <c r="HR47">
        <v>826</v>
      </c>
      <c r="HS47">
        <v>0</v>
      </c>
      <c r="HT47">
        <v>11</v>
      </c>
      <c r="HU47">
        <v>11</v>
      </c>
      <c r="HV47">
        <v>0</v>
      </c>
      <c r="HW47" s="1">
        <v>2523</v>
      </c>
      <c r="HX47">
        <v>154</v>
      </c>
      <c r="HY47">
        <v>0</v>
      </c>
      <c r="HZ47">
        <v>154</v>
      </c>
      <c r="IA47" s="1">
        <v>2677</v>
      </c>
      <c r="IB47">
        <v>826</v>
      </c>
      <c r="IC47">
        <v>837</v>
      </c>
      <c r="ID47" s="1">
        <v>95121</v>
      </c>
      <c r="IE47" s="1">
        <v>95121</v>
      </c>
      <c r="IF47" s="1">
        <v>95275</v>
      </c>
      <c r="IG47" s="1">
        <v>49325</v>
      </c>
      <c r="IH47">
        <v>0</v>
      </c>
      <c r="IL47" s="3">
        <v>0</v>
      </c>
      <c r="IM47" s="3">
        <v>2.0000000000000001E-4</v>
      </c>
      <c r="IN47" s="3">
        <v>0.34549999999999997</v>
      </c>
      <c r="IO47" s="3">
        <v>0</v>
      </c>
      <c r="IP47" s="3">
        <v>0.2823</v>
      </c>
      <c r="IQ47" s="3">
        <v>6.9999999999999999E-4</v>
      </c>
      <c r="IR47" s="3">
        <v>0.57379999999999998</v>
      </c>
      <c r="IS47" s="3">
        <v>7.9699999999999993E-2</v>
      </c>
      <c r="IT47" s="3">
        <v>0.51859999999999995</v>
      </c>
      <c r="IU47" s="1">
        <v>8238</v>
      </c>
      <c r="IV47">
        <v>374</v>
      </c>
      <c r="IW47" s="1">
        <v>8612</v>
      </c>
      <c r="IX47" s="3">
        <v>0.4597</v>
      </c>
      <c r="IY47" s="1">
        <v>62161</v>
      </c>
      <c r="JA47">
        <v>109</v>
      </c>
      <c r="JB47">
        <v>22</v>
      </c>
      <c r="JC47">
        <v>136</v>
      </c>
      <c r="JD47">
        <v>3</v>
      </c>
      <c r="JE47">
        <v>1</v>
      </c>
      <c r="JF47">
        <v>23</v>
      </c>
      <c r="JG47">
        <v>112</v>
      </c>
      <c r="JH47">
        <v>23</v>
      </c>
      <c r="JI47">
        <v>159</v>
      </c>
      <c r="JJ47">
        <v>294</v>
      </c>
      <c r="JK47">
        <v>267</v>
      </c>
      <c r="JL47">
        <v>27</v>
      </c>
      <c r="JM47" s="1">
        <v>2280</v>
      </c>
      <c r="JN47">
        <v>271</v>
      </c>
      <c r="JO47" s="1">
        <v>4478</v>
      </c>
      <c r="JP47">
        <v>80</v>
      </c>
      <c r="JQ47">
        <v>10</v>
      </c>
      <c r="JR47">
        <v>330</v>
      </c>
      <c r="JS47" s="1">
        <v>2360</v>
      </c>
      <c r="JT47">
        <v>281</v>
      </c>
      <c r="JU47" s="1">
        <v>4808</v>
      </c>
      <c r="JV47" s="1">
        <v>7449</v>
      </c>
      <c r="JW47" s="1">
        <v>7029</v>
      </c>
      <c r="JX47">
        <v>420</v>
      </c>
      <c r="JY47">
        <v>25.34</v>
      </c>
      <c r="JZ47">
        <v>21.07</v>
      </c>
      <c r="KA47">
        <v>30.24</v>
      </c>
      <c r="KB47">
        <v>0.32</v>
      </c>
      <c r="KC47">
        <v>0.65</v>
      </c>
      <c r="KD47">
        <v>104</v>
      </c>
      <c r="KE47">
        <v>156</v>
      </c>
      <c r="KF47">
        <v>12</v>
      </c>
      <c r="KG47">
        <v>144</v>
      </c>
      <c r="KN47" s="1">
        <v>20885</v>
      </c>
      <c r="KO47">
        <v>411</v>
      </c>
      <c r="KP47">
        <v>119</v>
      </c>
      <c r="KT47">
        <v>0</v>
      </c>
      <c r="KU47">
        <v>275</v>
      </c>
      <c r="KV47">
        <v>7</v>
      </c>
      <c r="KW47">
        <v>8</v>
      </c>
      <c r="KX47" s="1">
        <v>7906</v>
      </c>
      <c r="KZ47" s="1">
        <v>31291</v>
      </c>
      <c r="LA47" s="1">
        <v>56160</v>
      </c>
      <c r="LD47" t="s">
        <v>949</v>
      </c>
      <c r="LE47" t="s">
        <v>361</v>
      </c>
      <c r="LF47" t="s">
        <v>955</v>
      </c>
      <c r="LG47" t="s">
        <v>948</v>
      </c>
      <c r="LH47">
        <v>27520</v>
      </c>
      <c r="LJ47" t="s">
        <v>947</v>
      </c>
      <c r="LK47" t="s">
        <v>948</v>
      </c>
      <c r="LL47">
        <v>27520</v>
      </c>
      <c r="LN47" t="s">
        <v>956</v>
      </c>
      <c r="LO47">
        <v>9195535542</v>
      </c>
      <c r="LQ47" s="1">
        <v>9200</v>
      </c>
      <c r="LR47">
        <v>9.25</v>
      </c>
      <c r="LT47" s="1">
        <v>2756</v>
      </c>
      <c r="LU47">
        <v>52</v>
      </c>
      <c r="LX47">
        <v>1</v>
      </c>
      <c r="LY47" t="s">
        <v>1918</v>
      </c>
      <c r="LZ47">
        <v>0</v>
      </c>
      <c r="MA47" t="s">
        <v>363</v>
      </c>
      <c r="MB47">
        <v>93.42</v>
      </c>
      <c r="MC47">
        <v>38.619999999999997</v>
      </c>
      <c r="ME47" s="574">
        <v>5.44</v>
      </c>
      <c r="MF47" s="574">
        <v>4.63</v>
      </c>
      <c r="MG47" s="574">
        <v>0.44</v>
      </c>
      <c r="MH47" s="574">
        <v>60.14</v>
      </c>
      <c r="MI47" s="574">
        <v>51.14</v>
      </c>
      <c r="MJ47" s="574">
        <v>4.8600000000000003</v>
      </c>
      <c r="MK47" s="574">
        <v>8.33</v>
      </c>
      <c r="ML47" s="574">
        <v>7.08</v>
      </c>
      <c r="MM47" s="574">
        <v>0.67</v>
      </c>
      <c r="MN47" s="574">
        <v>24.8</v>
      </c>
      <c r="MO47" s="574">
        <v>21.09</v>
      </c>
      <c r="MP47" s="574">
        <v>2.0099999999999998</v>
      </c>
      <c r="MQ47" s="574">
        <v>69.53</v>
      </c>
      <c r="MR47" s="574">
        <v>59.12</v>
      </c>
      <c r="MS47" s="574">
        <v>5.62</v>
      </c>
      <c r="MT47" s="574">
        <v>10.5</v>
      </c>
      <c r="MU47" s="574">
        <v>8.93</v>
      </c>
      <c r="MV47" s="574">
        <v>0.85</v>
      </c>
      <c r="MW47" s="1">
        <v>2611</v>
      </c>
      <c r="MX47" s="1">
        <v>10443</v>
      </c>
      <c r="MY47" s="1">
        <v>10443</v>
      </c>
      <c r="MZ47" s="1">
        <v>7770</v>
      </c>
      <c r="NA47" s="1">
        <v>31081</v>
      </c>
      <c r="NB47" s="1">
        <v>31081</v>
      </c>
      <c r="NC47" s="1">
        <v>47561</v>
      </c>
      <c r="ND47" s="1">
        <v>47561</v>
      </c>
      <c r="NE47">
        <v>0.93</v>
      </c>
      <c r="NF47" s="1">
        <v>11890</v>
      </c>
      <c r="NG47">
        <v>5.72</v>
      </c>
      <c r="NH47">
        <v>5.077</v>
      </c>
      <c r="NI47">
        <v>3.32</v>
      </c>
      <c r="NJ47">
        <v>0</v>
      </c>
      <c r="NK47">
        <v>31.93</v>
      </c>
      <c r="NL47">
        <v>1.1148</v>
      </c>
      <c r="NM47">
        <v>2.6328999999999998</v>
      </c>
      <c r="NN47">
        <v>0.46</v>
      </c>
      <c r="NO47">
        <v>0.4</v>
      </c>
      <c r="NP47">
        <v>0</v>
      </c>
      <c r="NQ47">
        <v>0.01</v>
      </c>
      <c r="NR47">
        <v>0.42</v>
      </c>
      <c r="NS47">
        <v>0.13</v>
      </c>
      <c r="NT47">
        <v>0.26</v>
      </c>
      <c r="NU47" s="574">
        <v>23.51</v>
      </c>
      <c r="NV47">
        <v>5.4580000000000002</v>
      </c>
      <c r="NW47">
        <v>0</v>
      </c>
      <c r="NX47">
        <v>1E-3</v>
      </c>
      <c r="NY47">
        <v>1.5409999999999999</v>
      </c>
      <c r="NZ47">
        <v>4.0000000000000001E-3</v>
      </c>
      <c r="OA47">
        <v>0.23219999999999999</v>
      </c>
      <c r="OB47">
        <v>0.92889999999999995</v>
      </c>
      <c r="OC47">
        <v>2.09</v>
      </c>
      <c r="OD47">
        <v>3.1320000000000001</v>
      </c>
      <c r="OE47">
        <v>0.32029999999999997</v>
      </c>
      <c r="OF47" s="2">
        <v>3351.7190000000001</v>
      </c>
      <c r="OG47">
        <v>8.593</v>
      </c>
      <c r="OH47" s="574">
        <v>1.9</v>
      </c>
      <c r="OI47">
        <v>947</v>
      </c>
      <c r="OJ47">
        <v>0</v>
      </c>
      <c r="OK47" s="574">
        <v>27.65</v>
      </c>
      <c r="OL47" s="574">
        <v>2.2400000000000002</v>
      </c>
      <c r="OM47" s="574">
        <v>2.1800000000000002</v>
      </c>
      <c r="ON47">
        <v>0.42699999999999999</v>
      </c>
      <c r="OO47">
        <v>0.10680000000000001</v>
      </c>
      <c r="OP47">
        <v>0.69669999999999999</v>
      </c>
      <c r="OQ47" s="574">
        <v>0.6</v>
      </c>
      <c r="OR47" s="574">
        <v>27.65</v>
      </c>
      <c r="OS47" s="574">
        <v>0</v>
      </c>
      <c r="OT47" s="574">
        <v>0</v>
      </c>
      <c r="OU47" s="574">
        <v>28.24</v>
      </c>
      <c r="OV47">
        <v>0</v>
      </c>
      <c r="OW47">
        <v>5</v>
      </c>
      <c r="OX47">
        <v>1.53</v>
      </c>
      <c r="OY47" s="1">
        <v>1829</v>
      </c>
      <c r="OZ47">
        <v>25.38</v>
      </c>
      <c r="PA47" s="1">
        <v>1195</v>
      </c>
      <c r="PB47">
        <v>8.5299999999999994</v>
      </c>
      <c r="PC47">
        <v>38.840000000000003</v>
      </c>
      <c r="PD47">
        <v>0.34</v>
      </c>
      <c r="PE47">
        <v>402</v>
      </c>
      <c r="PF47">
        <v>1.07</v>
      </c>
      <c r="PG47" s="574">
        <v>0.67</v>
      </c>
      <c r="PH47">
        <v>1.64</v>
      </c>
      <c r="PI47">
        <v>13.07</v>
      </c>
      <c r="PJ47">
        <v>11.05</v>
      </c>
      <c r="PK47" s="574">
        <v>8.33</v>
      </c>
      <c r="PL47">
        <v>23.55</v>
      </c>
      <c r="PM47" s="4">
        <v>55047</v>
      </c>
      <c r="PN47" s="4">
        <v>41375</v>
      </c>
      <c r="PO47">
        <v>8.4099999999999994E-2</v>
      </c>
      <c r="PP47">
        <v>0.3831</v>
      </c>
      <c r="PQ47">
        <v>0.12870000000000001</v>
      </c>
      <c r="PR47">
        <v>2.1000000000000001E-2</v>
      </c>
      <c r="PS47">
        <v>9.5799999999999996E-2</v>
      </c>
      <c r="PT47">
        <v>3.2199999999999999E-2</v>
      </c>
      <c r="PU47" s="3">
        <v>1</v>
      </c>
      <c r="PV47" s="3">
        <v>0.25</v>
      </c>
      <c r="PW47" s="3">
        <v>0.75</v>
      </c>
      <c r="PX47" s="3">
        <v>0.24840000000000001</v>
      </c>
      <c r="PY47" s="3">
        <v>0.75160000000000005</v>
      </c>
      <c r="PZ47" s="3">
        <v>8.09E-2</v>
      </c>
      <c r="QA47" s="3">
        <v>0</v>
      </c>
      <c r="QB47" s="3">
        <v>0.2112</v>
      </c>
      <c r="QC47" s="3">
        <v>2E-3</v>
      </c>
      <c r="QD47" s="3">
        <v>6.8900000000000003E-2</v>
      </c>
      <c r="QE47" s="3">
        <v>7.8799999999999995E-2</v>
      </c>
      <c r="QF47" s="3">
        <v>0.6391</v>
      </c>
      <c r="QG47" s="3">
        <v>0.85029999999999994</v>
      </c>
      <c r="QH47" s="3">
        <v>0</v>
      </c>
      <c r="QI47" s="3">
        <v>0.97889999999999999</v>
      </c>
      <c r="QJ47" s="3">
        <v>0</v>
      </c>
      <c r="QK47" s="3">
        <v>2.1100000000000001E-2</v>
      </c>
      <c r="QL47" s="4">
        <v>13673</v>
      </c>
      <c r="QM47">
        <v>7.22</v>
      </c>
      <c r="QN47" s="1">
        <v>9367</v>
      </c>
      <c r="QO47" s="1">
        <v>9367</v>
      </c>
      <c r="QP47" s="1">
        <v>2342</v>
      </c>
      <c r="QQ47" s="3">
        <v>0.97499999999999998</v>
      </c>
      <c r="QR47" s="3">
        <v>0</v>
      </c>
      <c r="QS47" s="3">
        <v>2.5000000000000001E-2</v>
      </c>
      <c r="QT47" s="3">
        <v>0.25</v>
      </c>
      <c r="QU47">
        <v>0.28999999999999998</v>
      </c>
      <c r="QV47">
        <v>0.87</v>
      </c>
      <c r="QW47">
        <v>0.22</v>
      </c>
      <c r="QX47">
        <v>0</v>
      </c>
      <c r="QY47">
        <v>2.33</v>
      </c>
      <c r="QZ47">
        <v>91</v>
      </c>
      <c r="RA47">
        <v>2.27</v>
      </c>
      <c r="RB47">
        <v>0.18</v>
      </c>
      <c r="RC47">
        <v>0.18</v>
      </c>
    </row>
    <row r="48" spans="1:471" x14ac:dyDescent="0.25">
      <c r="A48" t="s">
        <v>1760</v>
      </c>
      <c r="B48">
        <v>11649</v>
      </c>
      <c r="C48" t="s">
        <v>1754</v>
      </c>
      <c r="D48" t="s">
        <v>1754</v>
      </c>
      <c r="E48" t="s">
        <v>1754</v>
      </c>
      <c r="F48" t="s">
        <v>1755</v>
      </c>
      <c r="G48" t="s">
        <v>1755</v>
      </c>
      <c r="H48" t="s">
        <v>1919</v>
      </c>
      <c r="I48" t="s">
        <v>342</v>
      </c>
      <c r="J48" t="s">
        <v>366</v>
      </c>
      <c r="K48" t="s">
        <v>344</v>
      </c>
      <c r="L48" t="s">
        <v>345</v>
      </c>
      <c r="M48" t="s">
        <v>430</v>
      </c>
      <c r="N48" t="s">
        <v>347</v>
      </c>
      <c r="AC48" t="s">
        <v>1920</v>
      </c>
      <c r="AD48" t="s">
        <v>1120</v>
      </c>
      <c r="AE48">
        <v>27278</v>
      </c>
      <c r="AF48">
        <v>8181</v>
      </c>
      <c r="AG48" t="s">
        <v>1119</v>
      </c>
      <c r="AH48" t="s">
        <v>1120</v>
      </c>
      <c r="AI48">
        <v>27278</v>
      </c>
      <c r="AK48" t="s">
        <v>1921</v>
      </c>
      <c r="AN48" t="s">
        <v>565</v>
      </c>
      <c r="AO48" t="s">
        <v>1122</v>
      </c>
      <c r="AP48" t="s">
        <v>1123</v>
      </c>
      <c r="AQ48" t="s">
        <v>1124</v>
      </c>
      <c r="AR48" t="s">
        <v>1125</v>
      </c>
      <c r="AX48" t="s">
        <v>1922</v>
      </c>
      <c r="AY48">
        <v>0</v>
      </c>
      <c r="AZ48">
        <v>0</v>
      </c>
      <c r="BA48">
        <v>0</v>
      </c>
      <c r="BB48" s="573">
        <v>42186</v>
      </c>
      <c r="BC48" s="573">
        <v>42551</v>
      </c>
    </row>
    <row r="49" spans="1:471" x14ac:dyDescent="0.25">
      <c r="A49" t="s">
        <v>957</v>
      </c>
      <c r="B49">
        <v>11679</v>
      </c>
      <c r="C49" t="s">
        <v>1754</v>
      </c>
      <c r="D49" t="s">
        <v>1754</v>
      </c>
      <c r="E49" t="s">
        <v>1754</v>
      </c>
      <c r="F49" t="s">
        <v>1755</v>
      </c>
      <c r="G49" t="s">
        <v>1755</v>
      </c>
      <c r="H49" t="s">
        <v>958</v>
      </c>
      <c r="I49" t="s">
        <v>342</v>
      </c>
      <c r="J49" t="s">
        <v>343</v>
      </c>
      <c r="K49" t="s">
        <v>344</v>
      </c>
      <c r="L49" t="s">
        <v>345</v>
      </c>
      <c r="M49" t="s">
        <v>457</v>
      </c>
      <c r="N49" t="s">
        <v>347</v>
      </c>
      <c r="O49" s="1">
        <v>132480</v>
      </c>
      <c r="P49" t="s">
        <v>472</v>
      </c>
      <c r="Q49">
        <v>987</v>
      </c>
      <c r="R49">
        <v>218</v>
      </c>
      <c r="S49">
        <v>141</v>
      </c>
      <c r="T49">
        <v>41</v>
      </c>
      <c r="U49" s="1">
        <v>5151</v>
      </c>
      <c r="V49">
        <v>643</v>
      </c>
      <c r="W49" s="1">
        <v>41266</v>
      </c>
      <c r="X49" s="1">
        <v>5367</v>
      </c>
      <c r="AC49" t="s">
        <v>959</v>
      </c>
      <c r="AD49" t="s">
        <v>960</v>
      </c>
      <c r="AE49">
        <v>28677</v>
      </c>
      <c r="AF49">
        <v>1810</v>
      </c>
      <c r="AG49" t="s">
        <v>961</v>
      </c>
      <c r="AH49" t="s">
        <v>960</v>
      </c>
      <c r="AI49">
        <v>28677</v>
      </c>
      <c r="AJ49">
        <v>3</v>
      </c>
      <c r="AK49" t="s">
        <v>962</v>
      </c>
      <c r="AM49" t="s">
        <v>0</v>
      </c>
      <c r="AN49" t="s">
        <v>963</v>
      </c>
      <c r="AO49" t="s">
        <v>964</v>
      </c>
      <c r="AP49">
        <v>7048783092</v>
      </c>
      <c r="AQ49" t="s">
        <v>966</v>
      </c>
      <c r="AR49" t="s">
        <v>967</v>
      </c>
      <c r="AS49" t="s">
        <v>964</v>
      </c>
      <c r="AT49" t="s">
        <v>1</v>
      </c>
      <c r="AU49" t="s">
        <v>965</v>
      </c>
      <c r="AV49" t="s">
        <v>966</v>
      </c>
      <c r="AW49" t="s">
        <v>967</v>
      </c>
      <c r="AX49" t="s">
        <v>968</v>
      </c>
      <c r="AY49">
        <v>0</v>
      </c>
      <c r="AZ49">
        <v>0</v>
      </c>
      <c r="BA49">
        <v>0</v>
      </c>
      <c r="BB49" s="573">
        <v>42186</v>
      </c>
      <c r="BC49" s="573">
        <v>42551</v>
      </c>
      <c r="BD49">
        <v>1</v>
      </c>
      <c r="BE49">
        <v>2</v>
      </c>
      <c r="BF49">
        <v>0</v>
      </c>
      <c r="BG49">
        <v>0</v>
      </c>
      <c r="BH49">
        <v>3</v>
      </c>
      <c r="BJ49" s="1">
        <v>9048</v>
      </c>
      <c r="BK49">
        <v>6</v>
      </c>
      <c r="BL49">
        <v>1</v>
      </c>
      <c r="BM49">
        <v>7</v>
      </c>
      <c r="BN49">
        <v>21.9</v>
      </c>
      <c r="BO49">
        <v>28.9</v>
      </c>
      <c r="BP49" s="3">
        <v>0.20760000000000001</v>
      </c>
      <c r="BQ49" s="1">
        <v>2921</v>
      </c>
      <c r="BR49" s="4">
        <v>98644</v>
      </c>
      <c r="DW49" s="4">
        <v>0</v>
      </c>
      <c r="DX49" s="4">
        <v>1938182</v>
      </c>
      <c r="DY49" s="4">
        <v>1938182</v>
      </c>
      <c r="DZ49" s="4">
        <v>149530</v>
      </c>
      <c r="EA49" s="4">
        <v>0</v>
      </c>
      <c r="EB49" s="4">
        <v>149530</v>
      </c>
      <c r="EC49" s="4">
        <v>53947</v>
      </c>
      <c r="ED49" s="4">
        <v>0</v>
      </c>
      <c r="EE49" s="4">
        <v>53947</v>
      </c>
      <c r="EF49" s="4">
        <v>1042</v>
      </c>
      <c r="EG49" s="4">
        <v>2142701</v>
      </c>
      <c r="EH49" s="4">
        <v>1051821</v>
      </c>
      <c r="EI49" s="4">
        <v>474843</v>
      </c>
      <c r="EJ49" s="4">
        <v>1526664</v>
      </c>
      <c r="EK49" s="4">
        <v>212402</v>
      </c>
      <c r="EL49" s="4">
        <v>113270</v>
      </c>
      <c r="EM49" s="4">
        <v>3831</v>
      </c>
      <c r="EN49" s="4">
        <v>329503</v>
      </c>
      <c r="EO49" s="4">
        <v>220126</v>
      </c>
      <c r="EP49" s="4">
        <v>2076293</v>
      </c>
      <c r="EQ49" s="4">
        <v>66408</v>
      </c>
      <c r="ER49" s="3">
        <v>3.1E-2</v>
      </c>
      <c r="ES49" s="4">
        <v>0</v>
      </c>
      <c r="ET49" s="4">
        <v>0</v>
      </c>
      <c r="EU49" s="4">
        <v>0</v>
      </c>
      <c r="EV49" s="4">
        <v>0</v>
      </c>
      <c r="EW49" s="4">
        <v>0</v>
      </c>
      <c r="EX49" s="4">
        <v>0</v>
      </c>
      <c r="EY49" s="1">
        <v>11211</v>
      </c>
      <c r="EZ49" s="1">
        <v>269415</v>
      </c>
      <c r="FA49" s="1">
        <v>68593</v>
      </c>
      <c r="FB49" s="1">
        <v>10036</v>
      </c>
      <c r="FC49" s="1">
        <v>44026</v>
      </c>
      <c r="FD49" s="1">
        <v>73125</v>
      </c>
      <c r="FE49" s="1">
        <v>3151</v>
      </c>
      <c r="FF49" s="1">
        <v>23846</v>
      </c>
      <c r="FG49" s="1">
        <v>141718</v>
      </c>
      <c r="FH49" s="1">
        <v>13187</v>
      </c>
      <c r="FI49" s="1">
        <v>67872</v>
      </c>
      <c r="FJ49" s="1">
        <v>222777</v>
      </c>
      <c r="FK49" s="1">
        <v>1651</v>
      </c>
      <c r="FL49">
        <v>91</v>
      </c>
      <c r="FN49" s="1">
        <v>222777</v>
      </c>
      <c r="FO49" s="1">
        <v>7874</v>
      </c>
      <c r="FP49">
        <v>134</v>
      </c>
      <c r="FQ49">
        <v>0</v>
      </c>
      <c r="FR49">
        <v>6</v>
      </c>
      <c r="FS49">
        <v>74</v>
      </c>
      <c r="FT49">
        <v>80</v>
      </c>
      <c r="FU49" s="1">
        <v>26725</v>
      </c>
      <c r="FV49" s="1">
        <v>2022</v>
      </c>
      <c r="FW49">
        <v>0</v>
      </c>
      <c r="GK49" s="1">
        <v>6780</v>
      </c>
      <c r="GL49">
        <v>917</v>
      </c>
      <c r="GM49">
        <v>264</v>
      </c>
      <c r="GN49">
        <v>100</v>
      </c>
      <c r="GO49" s="1">
        <v>33505</v>
      </c>
      <c r="GP49" s="1">
        <v>2939</v>
      </c>
      <c r="GQ49">
        <v>264</v>
      </c>
      <c r="GR49">
        <v>100</v>
      </c>
      <c r="GS49">
        <v>104</v>
      </c>
      <c r="GU49" s="1">
        <v>142628</v>
      </c>
      <c r="GV49" s="1">
        <v>15792</v>
      </c>
      <c r="GW49" s="1">
        <v>98799</v>
      </c>
      <c r="GX49" s="1">
        <v>51475</v>
      </c>
      <c r="GY49" s="1">
        <v>1867</v>
      </c>
      <c r="GZ49" s="1">
        <v>42761</v>
      </c>
      <c r="HA49" s="1">
        <v>194103</v>
      </c>
      <c r="HB49" s="1">
        <v>17659</v>
      </c>
      <c r="HC49" s="1">
        <v>141560</v>
      </c>
      <c r="HD49" s="1">
        <v>353322</v>
      </c>
      <c r="HE49">
        <v>0</v>
      </c>
      <c r="HF49" s="1">
        <v>354244</v>
      </c>
      <c r="HG49" s="1">
        <v>19911</v>
      </c>
      <c r="HH49">
        <v>0</v>
      </c>
      <c r="HI49">
        <v>922</v>
      </c>
      <c r="HJ49">
        <v>0</v>
      </c>
      <c r="HK49" s="1">
        <v>19911</v>
      </c>
      <c r="HL49" s="1">
        <v>374155</v>
      </c>
      <c r="HM49">
        <v>42</v>
      </c>
      <c r="HN49" s="1">
        <v>23801</v>
      </c>
      <c r="HO49" s="1">
        <v>23843</v>
      </c>
      <c r="HP49">
        <v>14</v>
      </c>
      <c r="HQ49" s="1">
        <v>5132</v>
      </c>
      <c r="HR49" s="1">
        <v>5146</v>
      </c>
      <c r="HS49">
        <v>0</v>
      </c>
      <c r="HT49">
        <v>53</v>
      </c>
      <c r="HU49">
        <v>53</v>
      </c>
      <c r="HV49" s="1">
        <v>23801</v>
      </c>
      <c r="HW49" s="1">
        <v>52843</v>
      </c>
      <c r="HX49" s="1">
        <v>14318</v>
      </c>
      <c r="HY49" s="1">
        <v>28444</v>
      </c>
      <c r="HZ49" s="1">
        <v>42762</v>
      </c>
      <c r="IA49" s="1">
        <v>95605</v>
      </c>
      <c r="IB49" s="1">
        <v>25057</v>
      </c>
      <c r="IC49" s="1">
        <v>25110</v>
      </c>
      <c r="ID49" s="1">
        <v>426998</v>
      </c>
      <c r="IE49" s="1">
        <v>426998</v>
      </c>
      <c r="IF49" s="1">
        <v>469760</v>
      </c>
      <c r="IG49" s="1">
        <v>159219</v>
      </c>
      <c r="IL49" s="3">
        <v>1.5E-3</v>
      </c>
      <c r="IM49" s="3">
        <v>2.9999999999999997E-4</v>
      </c>
      <c r="IN49" s="3">
        <v>0.1366</v>
      </c>
      <c r="IO49" s="3">
        <v>0</v>
      </c>
      <c r="IP49" s="3">
        <v>0.1244</v>
      </c>
      <c r="IQ49" s="3">
        <v>2.9999999999999997E-4</v>
      </c>
      <c r="IR49" s="3">
        <v>0.82689999999999997</v>
      </c>
      <c r="IS49" s="3">
        <v>4.0099999999999997E-2</v>
      </c>
      <c r="IT49" s="3">
        <v>0.37290000000000001</v>
      </c>
      <c r="IU49" s="1">
        <v>31915</v>
      </c>
      <c r="IV49" s="1">
        <v>9646</v>
      </c>
      <c r="IW49" s="1">
        <v>41561</v>
      </c>
      <c r="IX49" s="3">
        <v>0.31369999999999998</v>
      </c>
      <c r="IY49" s="1">
        <v>257940</v>
      </c>
      <c r="JA49">
        <v>350</v>
      </c>
      <c r="JB49">
        <v>333</v>
      </c>
      <c r="JC49">
        <v>479</v>
      </c>
      <c r="JD49">
        <v>0</v>
      </c>
      <c r="JE49">
        <v>0</v>
      </c>
      <c r="JF49">
        <v>0</v>
      </c>
      <c r="JG49">
        <v>350</v>
      </c>
      <c r="JH49">
        <v>333</v>
      </c>
      <c r="JI49">
        <v>479</v>
      </c>
      <c r="JJ49" s="1">
        <v>1162</v>
      </c>
      <c r="JK49" s="1">
        <v>1162</v>
      </c>
      <c r="JL49">
        <v>0</v>
      </c>
      <c r="JM49" s="1">
        <v>4089</v>
      </c>
      <c r="JN49" s="1">
        <v>3186</v>
      </c>
      <c r="JO49" s="1">
        <v>11315</v>
      </c>
      <c r="JP49">
        <v>0</v>
      </c>
      <c r="JQ49">
        <v>0</v>
      </c>
      <c r="JR49">
        <v>0</v>
      </c>
      <c r="JS49" s="1">
        <v>4089</v>
      </c>
      <c r="JT49" s="1">
        <v>3186</v>
      </c>
      <c r="JU49" s="1">
        <v>11315</v>
      </c>
      <c r="JV49" s="1">
        <v>18590</v>
      </c>
      <c r="JW49" s="1">
        <v>18590</v>
      </c>
      <c r="JX49">
        <v>0</v>
      </c>
      <c r="JY49">
        <v>16</v>
      </c>
      <c r="JZ49">
        <v>11.68</v>
      </c>
      <c r="KA49">
        <v>23.62</v>
      </c>
      <c r="KB49">
        <v>0.22</v>
      </c>
      <c r="KC49">
        <v>0.61</v>
      </c>
      <c r="KD49">
        <v>84</v>
      </c>
      <c r="KE49">
        <v>258</v>
      </c>
      <c r="KF49">
        <v>49</v>
      </c>
      <c r="KG49">
        <v>247</v>
      </c>
      <c r="KN49" s="1">
        <v>80799</v>
      </c>
      <c r="KO49" s="1">
        <v>27688</v>
      </c>
      <c r="KP49" s="1">
        <v>3860</v>
      </c>
      <c r="KR49">
        <v>920</v>
      </c>
      <c r="KS49" s="1">
        <v>7803</v>
      </c>
      <c r="KT49">
        <v>52</v>
      </c>
      <c r="KU49">
        <v>55</v>
      </c>
      <c r="KV49">
        <v>33</v>
      </c>
      <c r="KW49">
        <v>72</v>
      </c>
      <c r="KX49" s="1">
        <v>69353</v>
      </c>
      <c r="KZ49" s="1">
        <v>73216</v>
      </c>
      <c r="LA49" s="1">
        <v>58604</v>
      </c>
      <c r="LD49" t="s">
        <v>962</v>
      </c>
      <c r="LE49" t="s">
        <v>379</v>
      </c>
      <c r="LF49" t="s">
        <v>959</v>
      </c>
      <c r="LG49" t="s">
        <v>960</v>
      </c>
      <c r="LH49">
        <v>28687</v>
      </c>
      <c r="LI49">
        <v>1810</v>
      </c>
      <c r="LJ49" t="s">
        <v>961</v>
      </c>
      <c r="LK49" t="s">
        <v>960</v>
      </c>
      <c r="LL49">
        <v>28687</v>
      </c>
      <c r="LM49">
        <v>1810</v>
      </c>
      <c r="LN49" t="s">
        <v>963</v>
      </c>
      <c r="LO49">
        <v>7048783090</v>
      </c>
      <c r="LQ49" s="1">
        <v>64000</v>
      </c>
      <c r="LR49">
        <v>31.36</v>
      </c>
      <c r="LT49" s="1">
        <v>9048</v>
      </c>
      <c r="LU49">
        <v>156</v>
      </c>
      <c r="LX49">
        <v>2</v>
      </c>
      <c r="LY49" t="s">
        <v>969</v>
      </c>
      <c r="LZ49">
        <v>0</v>
      </c>
      <c r="MA49" t="s">
        <v>363</v>
      </c>
      <c r="MB49">
        <v>97</v>
      </c>
      <c r="MC49">
        <v>85</v>
      </c>
      <c r="ME49" s="574">
        <v>4.8600000000000003</v>
      </c>
      <c r="MF49" s="574">
        <v>3.58</v>
      </c>
      <c r="MG49" s="574">
        <v>0.77</v>
      </c>
      <c r="MH49" s="574">
        <v>49.96</v>
      </c>
      <c r="MI49" s="574">
        <v>36.729999999999997</v>
      </c>
      <c r="MJ49" s="574">
        <v>7.93</v>
      </c>
      <c r="MK49" s="574">
        <v>8.0500000000000007</v>
      </c>
      <c r="ML49" s="574">
        <v>5.92</v>
      </c>
      <c r="MM49" s="574">
        <v>1.28</v>
      </c>
      <c r="MN49" s="574">
        <v>25.7</v>
      </c>
      <c r="MO49" s="574">
        <v>18.89</v>
      </c>
      <c r="MP49" s="574">
        <v>4.08</v>
      </c>
      <c r="MQ49" s="574">
        <v>111.69</v>
      </c>
      <c r="MR49" s="574">
        <v>82.12</v>
      </c>
      <c r="MS49" s="574">
        <v>17.72</v>
      </c>
      <c r="MT49" s="574">
        <v>13.04</v>
      </c>
      <c r="MU49" s="574">
        <v>9.59</v>
      </c>
      <c r="MV49" s="574">
        <v>2.0699999999999998</v>
      </c>
      <c r="MW49" s="1">
        <v>2796</v>
      </c>
      <c r="MX49" s="1">
        <v>13467</v>
      </c>
      <c r="MY49" s="1">
        <v>11543</v>
      </c>
      <c r="MZ49" s="1">
        <v>8925</v>
      </c>
      <c r="NA49" s="1">
        <v>42990</v>
      </c>
      <c r="NB49" s="1">
        <v>36849</v>
      </c>
      <c r="NC49" s="1">
        <v>61000</v>
      </c>
      <c r="ND49" s="1">
        <v>71166</v>
      </c>
      <c r="NE49">
        <v>1.58</v>
      </c>
      <c r="NF49" s="1">
        <v>14775</v>
      </c>
      <c r="NG49">
        <v>7.1</v>
      </c>
      <c r="NH49">
        <v>3.2229999999999999</v>
      </c>
      <c r="NI49">
        <v>1.95</v>
      </c>
      <c r="NJ49">
        <v>1.25</v>
      </c>
      <c r="NK49">
        <v>1.32</v>
      </c>
      <c r="NL49">
        <v>0.6099</v>
      </c>
      <c r="NM49">
        <v>1.2018</v>
      </c>
      <c r="NN49">
        <v>0.31</v>
      </c>
      <c r="NO49">
        <v>0.14000000000000001</v>
      </c>
      <c r="NP49">
        <v>0</v>
      </c>
      <c r="NQ49">
        <v>0</v>
      </c>
      <c r="NR49">
        <v>0.52</v>
      </c>
      <c r="NS49">
        <v>0.03</v>
      </c>
      <c r="NT49">
        <v>0.09</v>
      </c>
      <c r="NU49" s="574">
        <v>11.52</v>
      </c>
      <c r="NV49">
        <v>2.0339999999999998</v>
      </c>
      <c r="NW49">
        <v>0</v>
      </c>
      <c r="NX49">
        <v>1E-3</v>
      </c>
      <c r="NY49">
        <v>0.253</v>
      </c>
      <c r="NZ49">
        <v>1E-3</v>
      </c>
      <c r="OA49">
        <v>0.1444</v>
      </c>
      <c r="OB49">
        <v>0.69540000000000002</v>
      </c>
      <c r="OC49">
        <v>2.19</v>
      </c>
      <c r="OD49">
        <v>1.6819999999999999</v>
      </c>
      <c r="OE49">
        <v>0.1653</v>
      </c>
      <c r="OF49">
        <v>806.16399999999999</v>
      </c>
      <c r="OG49">
        <v>1.925</v>
      </c>
      <c r="OH49" s="574">
        <v>1.66</v>
      </c>
      <c r="OI49">
        <v>260</v>
      </c>
      <c r="OJ49">
        <v>10</v>
      </c>
      <c r="OK49" s="574">
        <v>15.67</v>
      </c>
      <c r="OL49" s="574">
        <v>2.4900000000000002</v>
      </c>
      <c r="OM49" s="574">
        <v>1.6</v>
      </c>
      <c r="ON49">
        <v>0.21820000000000001</v>
      </c>
      <c r="OO49">
        <v>4.53E-2</v>
      </c>
      <c r="OP49">
        <v>0.52690000000000003</v>
      </c>
      <c r="OQ49" s="574">
        <v>1.1299999999999999</v>
      </c>
      <c r="OR49" s="574">
        <v>14.63</v>
      </c>
      <c r="OS49" s="574">
        <v>0.41</v>
      </c>
      <c r="OT49" s="574">
        <v>0.01</v>
      </c>
      <c r="OU49" s="574">
        <v>16.170000000000002</v>
      </c>
      <c r="OV49">
        <v>1</v>
      </c>
      <c r="OW49">
        <v>1</v>
      </c>
      <c r="OX49">
        <v>1.66</v>
      </c>
      <c r="OY49" s="1">
        <v>8212</v>
      </c>
      <c r="OZ49">
        <v>28.51</v>
      </c>
      <c r="PA49" s="1">
        <v>4960</v>
      </c>
      <c r="PB49">
        <v>8.93</v>
      </c>
      <c r="PC49">
        <v>47.19</v>
      </c>
      <c r="PD49">
        <v>0.31</v>
      </c>
      <c r="PE49" s="1">
        <v>1554</v>
      </c>
      <c r="PF49">
        <v>0.63</v>
      </c>
      <c r="PG49" s="574">
        <v>1.28</v>
      </c>
      <c r="PH49">
        <v>1.04</v>
      </c>
      <c r="PI49">
        <v>6.83</v>
      </c>
      <c r="PJ49">
        <v>10.27</v>
      </c>
      <c r="PK49" s="574">
        <v>8.0500000000000007</v>
      </c>
      <c r="PL49">
        <v>58</v>
      </c>
      <c r="PM49" s="4">
        <v>52826</v>
      </c>
      <c r="PN49" s="4">
        <v>36395</v>
      </c>
      <c r="PO49">
        <v>6.7699999999999996E-2</v>
      </c>
      <c r="PP49">
        <v>0.35770000000000002</v>
      </c>
      <c r="PQ49">
        <v>0.112</v>
      </c>
      <c r="PR49">
        <v>1.41E-2</v>
      </c>
      <c r="PS49">
        <v>7.4300000000000005E-2</v>
      </c>
      <c r="PT49">
        <v>2.3300000000000001E-2</v>
      </c>
      <c r="PU49" s="3">
        <v>0.85709999999999997</v>
      </c>
      <c r="PV49" s="3">
        <v>0.2422</v>
      </c>
      <c r="PW49" s="3">
        <v>0.75780000000000003</v>
      </c>
      <c r="PX49" s="3">
        <v>0.311</v>
      </c>
      <c r="PY49" s="3">
        <v>0.68899999999999995</v>
      </c>
      <c r="PZ49" s="3">
        <v>0.15870000000000001</v>
      </c>
      <c r="QA49" s="3">
        <v>5.4600000000000003E-2</v>
      </c>
      <c r="QB49" s="3">
        <v>0.22869999999999999</v>
      </c>
      <c r="QC49" s="3">
        <v>1.8E-3</v>
      </c>
      <c r="QD49" s="3">
        <v>0.106</v>
      </c>
      <c r="QE49" s="3">
        <v>0.1023</v>
      </c>
      <c r="QF49" s="3">
        <v>0.50660000000000005</v>
      </c>
      <c r="QG49" s="3">
        <v>0.73529999999999995</v>
      </c>
      <c r="QH49" s="3">
        <v>2.52E-2</v>
      </c>
      <c r="QI49" s="3">
        <v>0.90459999999999996</v>
      </c>
      <c r="QJ49" s="3">
        <v>5.0000000000000001E-4</v>
      </c>
      <c r="QK49" s="3">
        <v>6.9800000000000001E-2</v>
      </c>
      <c r="QL49" s="4">
        <v>16431</v>
      </c>
      <c r="QM49">
        <v>6.21</v>
      </c>
      <c r="QN49" s="1">
        <v>18926</v>
      </c>
      <c r="QO49" s="1">
        <v>22080</v>
      </c>
      <c r="QP49" s="1">
        <v>4584</v>
      </c>
      <c r="QQ49" s="3">
        <v>0.64459999999999995</v>
      </c>
      <c r="QR49" s="3">
        <v>0.34379999999999999</v>
      </c>
      <c r="QS49" s="3">
        <v>1.1599999999999999E-2</v>
      </c>
      <c r="QT49" s="3">
        <v>0.20760000000000001</v>
      </c>
      <c r="QU49">
        <v>0.41</v>
      </c>
      <c r="QV49">
        <v>0.9</v>
      </c>
      <c r="QW49">
        <v>0.28000000000000003</v>
      </c>
      <c r="QX49">
        <v>4</v>
      </c>
      <c r="QY49">
        <v>2.0099999999999998</v>
      </c>
      <c r="QZ49">
        <v>111</v>
      </c>
      <c r="RA49">
        <v>1.3</v>
      </c>
      <c r="RB49">
        <v>0.21</v>
      </c>
      <c r="RC49">
        <v>0.2</v>
      </c>
    </row>
    <row r="50" spans="1:471" x14ac:dyDescent="0.25">
      <c r="A50" t="s">
        <v>970</v>
      </c>
      <c r="B50">
        <v>11712</v>
      </c>
      <c r="C50" t="s">
        <v>1754</v>
      </c>
      <c r="D50" t="s">
        <v>1754</v>
      </c>
      <c r="E50" t="s">
        <v>1754</v>
      </c>
      <c r="F50" t="s">
        <v>1755</v>
      </c>
      <c r="G50" t="s">
        <v>1755</v>
      </c>
      <c r="H50" t="s">
        <v>971</v>
      </c>
      <c r="I50" t="s">
        <v>342</v>
      </c>
      <c r="J50" t="s">
        <v>559</v>
      </c>
      <c r="K50" t="s">
        <v>533</v>
      </c>
      <c r="L50" t="s">
        <v>345</v>
      </c>
      <c r="M50" t="s">
        <v>560</v>
      </c>
      <c r="N50" t="s">
        <v>347</v>
      </c>
      <c r="O50" s="1">
        <v>10667</v>
      </c>
      <c r="P50" t="s">
        <v>348</v>
      </c>
      <c r="Q50">
        <v>797</v>
      </c>
      <c r="S50">
        <v>46</v>
      </c>
      <c r="T50">
        <v>23</v>
      </c>
      <c r="U50" s="1">
        <v>3495</v>
      </c>
      <c r="V50">
        <v>476</v>
      </c>
      <c r="W50" s="1">
        <v>11776</v>
      </c>
      <c r="X50" s="1">
        <v>1041</v>
      </c>
      <c r="Y50" s="1">
        <v>42851</v>
      </c>
      <c r="Z50" s="1">
        <v>1981000</v>
      </c>
      <c r="AC50" t="s">
        <v>972</v>
      </c>
      <c r="AD50" t="s">
        <v>973</v>
      </c>
      <c r="AE50">
        <v>28086</v>
      </c>
      <c r="AF50">
        <v>3414</v>
      </c>
      <c r="AG50" t="s">
        <v>972</v>
      </c>
      <c r="AH50" t="s">
        <v>973</v>
      </c>
      <c r="AI50">
        <v>28086</v>
      </c>
      <c r="AJ50">
        <v>2</v>
      </c>
      <c r="AK50" t="s">
        <v>974</v>
      </c>
      <c r="AM50" t="s">
        <v>564</v>
      </c>
      <c r="AN50" t="s">
        <v>610</v>
      </c>
      <c r="AO50" t="s">
        <v>975</v>
      </c>
      <c r="AP50">
        <v>7047392371</v>
      </c>
      <c r="AQ50" t="s">
        <v>977</v>
      </c>
      <c r="AR50" t="s">
        <v>978</v>
      </c>
      <c r="AS50" t="s">
        <v>975</v>
      </c>
      <c r="AT50" t="s">
        <v>1</v>
      </c>
      <c r="AU50" t="s">
        <v>976</v>
      </c>
      <c r="AV50" t="s">
        <v>977</v>
      </c>
      <c r="AW50" t="s">
        <v>978</v>
      </c>
      <c r="AX50" t="s">
        <v>979</v>
      </c>
      <c r="AY50">
        <v>0</v>
      </c>
      <c r="AZ50">
        <v>0</v>
      </c>
      <c r="BA50">
        <v>0</v>
      </c>
      <c r="BB50" s="573">
        <v>42186</v>
      </c>
      <c r="BC50" s="573">
        <v>42551</v>
      </c>
      <c r="BD50">
        <v>1</v>
      </c>
      <c r="BE50">
        <v>0</v>
      </c>
      <c r="BF50">
        <v>0</v>
      </c>
      <c r="BG50">
        <v>1</v>
      </c>
      <c r="BH50">
        <v>2</v>
      </c>
      <c r="BJ50" s="1">
        <v>2704</v>
      </c>
      <c r="BK50">
        <v>2</v>
      </c>
      <c r="BL50">
        <v>1</v>
      </c>
      <c r="BM50">
        <v>3</v>
      </c>
      <c r="BN50">
        <v>5.5</v>
      </c>
      <c r="BO50">
        <v>8.5</v>
      </c>
      <c r="BP50" s="3">
        <v>0.23530000000000001</v>
      </c>
      <c r="BQ50" s="1">
        <v>1830</v>
      </c>
      <c r="BR50" s="4">
        <v>55589</v>
      </c>
      <c r="DW50" s="4">
        <v>637282</v>
      </c>
      <c r="DX50" s="4">
        <v>68000</v>
      </c>
      <c r="DY50" s="4">
        <v>705282</v>
      </c>
      <c r="DZ50" s="4">
        <v>9509</v>
      </c>
      <c r="EA50" s="4">
        <v>0</v>
      </c>
      <c r="EB50" s="4">
        <v>9509</v>
      </c>
      <c r="EC50" s="4">
        <v>43868</v>
      </c>
      <c r="ED50" s="4">
        <v>0</v>
      </c>
      <c r="EE50" s="4">
        <v>43868</v>
      </c>
      <c r="EF50" s="4">
        <v>0</v>
      </c>
      <c r="EG50" s="4">
        <v>758659</v>
      </c>
      <c r="EH50" s="4">
        <v>269035</v>
      </c>
      <c r="EI50" s="4">
        <v>124949</v>
      </c>
      <c r="EJ50" s="4">
        <v>393984</v>
      </c>
      <c r="EK50" s="4">
        <v>51361</v>
      </c>
      <c r="EL50" s="4">
        <v>31210</v>
      </c>
      <c r="EM50" s="4">
        <v>0</v>
      </c>
      <c r="EN50" s="4">
        <v>82571</v>
      </c>
      <c r="EO50" s="4">
        <v>228713</v>
      </c>
      <c r="EP50" s="4">
        <v>705268</v>
      </c>
      <c r="EQ50" s="4">
        <v>53391</v>
      </c>
      <c r="ER50" s="3">
        <v>7.0400000000000004E-2</v>
      </c>
      <c r="ES50" s="4">
        <v>0</v>
      </c>
      <c r="ET50" s="4">
        <v>0</v>
      </c>
      <c r="EU50" s="4">
        <v>0</v>
      </c>
      <c r="EV50" s="4">
        <v>0</v>
      </c>
      <c r="EW50" s="4">
        <v>0</v>
      </c>
      <c r="EX50" s="4">
        <v>0</v>
      </c>
      <c r="EY50" s="1">
        <v>12764</v>
      </c>
      <c r="EZ50" s="1">
        <v>108023</v>
      </c>
      <c r="FA50" s="1">
        <v>11021</v>
      </c>
      <c r="FB50" s="1">
        <v>1541</v>
      </c>
      <c r="FC50" s="1">
        <v>12145</v>
      </c>
      <c r="FD50" s="1">
        <v>10896</v>
      </c>
      <c r="FF50" s="1">
        <v>5839</v>
      </c>
      <c r="FG50" s="1">
        <v>21917</v>
      </c>
      <c r="FH50" s="1">
        <v>1541</v>
      </c>
      <c r="FI50" s="1">
        <v>17984</v>
      </c>
      <c r="FJ50" s="1">
        <v>41442</v>
      </c>
      <c r="FK50" s="1">
        <v>2784</v>
      </c>
      <c r="FL50">
        <v>86</v>
      </c>
      <c r="FN50" s="1">
        <v>41442</v>
      </c>
      <c r="FO50">
        <v>801</v>
      </c>
      <c r="FP50" s="1">
        <v>2377</v>
      </c>
      <c r="FQ50">
        <v>82</v>
      </c>
      <c r="FR50">
        <v>13</v>
      </c>
      <c r="FS50">
        <v>74</v>
      </c>
      <c r="FT50">
        <v>87</v>
      </c>
      <c r="FU50" s="1">
        <v>26725</v>
      </c>
      <c r="FV50" s="1">
        <v>2022</v>
      </c>
      <c r="FW50">
        <v>0</v>
      </c>
      <c r="GC50" s="1">
        <v>23798</v>
      </c>
      <c r="GD50" s="1">
        <v>1183</v>
      </c>
      <c r="GE50">
        <v>205</v>
      </c>
      <c r="GK50">
        <v>0</v>
      </c>
      <c r="GL50" s="1">
        <v>6382</v>
      </c>
      <c r="GM50">
        <v>-1</v>
      </c>
      <c r="GN50">
        <v>50</v>
      </c>
      <c r="GO50" s="1">
        <v>50523</v>
      </c>
      <c r="GP50" s="1">
        <v>9587</v>
      </c>
      <c r="GQ50">
        <v>204</v>
      </c>
      <c r="GR50">
        <v>50</v>
      </c>
      <c r="GS50">
        <v>53</v>
      </c>
      <c r="GU50" s="1">
        <v>26528</v>
      </c>
      <c r="GV50" s="1">
        <v>3613</v>
      </c>
      <c r="GW50" s="1">
        <v>31519</v>
      </c>
      <c r="GX50" s="1">
        <v>8014</v>
      </c>
      <c r="GY50">
        <v>81</v>
      </c>
      <c r="GZ50" s="1">
        <v>6112</v>
      </c>
      <c r="HA50" s="1">
        <v>34542</v>
      </c>
      <c r="HB50" s="1">
        <v>3694</v>
      </c>
      <c r="HC50" s="1">
        <v>37631</v>
      </c>
      <c r="HD50" s="1">
        <v>75867</v>
      </c>
      <c r="HE50">
        <v>449</v>
      </c>
      <c r="HF50" s="1">
        <v>78253</v>
      </c>
      <c r="HG50" s="1">
        <v>2427</v>
      </c>
      <c r="HH50" s="1">
        <v>11897</v>
      </c>
      <c r="HI50" s="1">
        <v>1937</v>
      </c>
      <c r="HJ50">
        <v>23</v>
      </c>
      <c r="HK50" s="1">
        <v>14347</v>
      </c>
      <c r="HL50" s="1">
        <v>92600</v>
      </c>
      <c r="HM50">
        <v>18</v>
      </c>
      <c r="HN50" s="1">
        <v>3501</v>
      </c>
      <c r="HO50" s="1">
        <v>3519</v>
      </c>
      <c r="HP50">
        <v>147</v>
      </c>
      <c r="HQ50">
        <v>275</v>
      </c>
      <c r="HR50">
        <v>422</v>
      </c>
      <c r="HS50">
        <v>0</v>
      </c>
      <c r="HT50">
        <v>7</v>
      </c>
      <c r="HU50">
        <v>7</v>
      </c>
      <c r="HV50">
        <v>312</v>
      </c>
      <c r="HW50" s="1">
        <v>4260</v>
      </c>
      <c r="HX50" s="1">
        <v>1987</v>
      </c>
      <c r="HY50" s="1">
        <v>16098</v>
      </c>
      <c r="HZ50" s="1">
        <v>18085</v>
      </c>
      <c r="IA50" s="1">
        <v>22345</v>
      </c>
      <c r="IB50" s="1">
        <v>2849</v>
      </c>
      <c r="IC50" s="1">
        <v>14753</v>
      </c>
      <c r="ID50" s="1">
        <v>96860</v>
      </c>
      <c r="IE50" s="1">
        <v>96860</v>
      </c>
      <c r="IF50" s="1">
        <v>114945</v>
      </c>
      <c r="IG50" s="1">
        <v>31005</v>
      </c>
      <c r="IH50">
        <v>12</v>
      </c>
      <c r="IK50">
        <v>1</v>
      </c>
      <c r="IL50" s="3">
        <v>2.3900000000000001E-2</v>
      </c>
      <c r="IM50" s="3">
        <v>8.0000000000000004E-4</v>
      </c>
      <c r="IN50" s="3">
        <v>0.55879999999999996</v>
      </c>
      <c r="IO50" s="3">
        <v>0</v>
      </c>
      <c r="IP50" s="3">
        <v>0.4677</v>
      </c>
      <c r="IQ50" s="3">
        <v>8.0000000000000004E-4</v>
      </c>
      <c r="IR50" s="3">
        <v>0.3836</v>
      </c>
      <c r="IS50" s="3">
        <v>9.6199999999999994E-2</v>
      </c>
      <c r="IT50" s="3">
        <v>0.3201</v>
      </c>
      <c r="IU50" s="1">
        <v>16812</v>
      </c>
      <c r="IV50">
        <v>0</v>
      </c>
      <c r="IW50" s="1">
        <v>16812</v>
      </c>
      <c r="IX50" s="3">
        <v>1.5761000000000001</v>
      </c>
      <c r="IY50" s="1">
        <v>117070</v>
      </c>
      <c r="JA50">
        <v>88</v>
      </c>
      <c r="JB50">
        <v>11</v>
      </c>
      <c r="JC50">
        <v>170</v>
      </c>
      <c r="JD50">
        <v>7</v>
      </c>
      <c r="JE50">
        <v>15</v>
      </c>
      <c r="JF50">
        <v>294</v>
      </c>
      <c r="JG50">
        <v>95</v>
      </c>
      <c r="JH50">
        <v>26</v>
      </c>
      <c r="JI50">
        <v>464</v>
      </c>
      <c r="JJ50">
        <v>585</v>
      </c>
      <c r="JK50">
        <v>269</v>
      </c>
      <c r="JL50">
        <v>316</v>
      </c>
      <c r="JM50">
        <v>866</v>
      </c>
      <c r="JN50">
        <v>324</v>
      </c>
      <c r="JO50" s="1">
        <v>6876</v>
      </c>
      <c r="JP50">
        <v>121</v>
      </c>
      <c r="JQ50" s="1">
        <v>4054</v>
      </c>
      <c r="JR50" s="1">
        <v>7005</v>
      </c>
      <c r="JS50">
        <v>987</v>
      </c>
      <c r="JT50" s="1">
        <v>4378</v>
      </c>
      <c r="JU50" s="1">
        <v>13881</v>
      </c>
      <c r="JV50" s="1">
        <v>19246</v>
      </c>
      <c r="JW50" s="1">
        <v>8066</v>
      </c>
      <c r="JX50" s="1">
        <v>11180</v>
      </c>
      <c r="JY50">
        <v>32.9</v>
      </c>
      <c r="JZ50">
        <v>10.39</v>
      </c>
      <c r="KA50">
        <v>29.92</v>
      </c>
      <c r="KB50">
        <v>0.05</v>
      </c>
      <c r="KC50">
        <v>0.72</v>
      </c>
      <c r="KD50">
        <v>22</v>
      </c>
      <c r="KE50">
        <v>122</v>
      </c>
      <c r="KF50">
        <v>18</v>
      </c>
      <c r="KG50">
        <v>85</v>
      </c>
      <c r="KN50" s="1">
        <v>6204</v>
      </c>
      <c r="KO50" s="1">
        <v>4110</v>
      </c>
      <c r="KP50">
        <v>774</v>
      </c>
      <c r="KR50">
        <v>58</v>
      </c>
      <c r="KS50" s="1">
        <v>2332</v>
      </c>
      <c r="KT50" s="1">
        <v>11215</v>
      </c>
      <c r="KU50" s="1">
        <v>11189</v>
      </c>
      <c r="KV50">
        <v>11</v>
      </c>
      <c r="KW50">
        <v>29</v>
      </c>
      <c r="KX50" s="1">
        <v>20370</v>
      </c>
      <c r="KZ50" s="1">
        <v>19910</v>
      </c>
      <c r="LA50" s="1">
        <v>19710</v>
      </c>
      <c r="LD50" t="s">
        <v>974</v>
      </c>
      <c r="LE50" t="s">
        <v>361</v>
      </c>
      <c r="LF50" t="s">
        <v>972</v>
      </c>
      <c r="LG50" t="s">
        <v>973</v>
      </c>
      <c r="LH50">
        <v>28086</v>
      </c>
      <c r="LI50">
        <v>3414</v>
      </c>
      <c r="LJ50" t="s">
        <v>972</v>
      </c>
      <c r="LK50" t="s">
        <v>973</v>
      </c>
      <c r="LL50">
        <v>28086</v>
      </c>
      <c r="LM50">
        <v>3414</v>
      </c>
      <c r="LN50" t="s">
        <v>610</v>
      </c>
      <c r="LO50">
        <v>7047392371</v>
      </c>
      <c r="LP50">
        <v>7047344499</v>
      </c>
      <c r="LQ50" s="1">
        <v>13457</v>
      </c>
      <c r="LR50">
        <v>8.5</v>
      </c>
      <c r="LT50" s="1">
        <v>2704</v>
      </c>
      <c r="LU50">
        <v>52</v>
      </c>
      <c r="LX50">
        <v>2</v>
      </c>
      <c r="LY50" t="s">
        <v>980</v>
      </c>
      <c r="LZ50">
        <v>0</v>
      </c>
      <c r="MA50" t="s">
        <v>363</v>
      </c>
      <c r="MB50">
        <v>4.1399999999999997</v>
      </c>
      <c r="MC50">
        <v>2.2400000000000002</v>
      </c>
      <c r="ME50" s="574">
        <v>7.28</v>
      </c>
      <c r="MF50" s="574">
        <v>4.07</v>
      </c>
      <c r="MG50" s="574">
        <v>0.85</v>
      </c>
      <c r="MH50" s="574">
        <v>41.95</v>
      </c>
      <c r="MI50" s="574">
        <v>23.43</v>
      </c>
      <c r="MJ50" s="574">
        <v>4.91</v>
      </c>
      <c r="MK50" s="574">
        <v>6.02</v>
      </c>
      <c r="ML50" s="574">
        <v>3.37</v>
      </c>
      <c r="MM50" s="574">
        <v>0.71</v>
      </c>
      <c r="MN50" s="574">
        <v>113.68</v>
      </c>
      <c r="MO50" s="574">
        <v>63.5</v>
      </c>
      <c r="MP50" s="574">
        <v>13.31</v>
      </c>
      <c r="MQ50" s="574">
        <v>36.64</v>
      </c>
      <c r="MR50" s="574">
        <v>20.47</v>
      </c>
      <c r="MS50" s="574">
        <v>4.29</v>
      </c>
      <c r="MT50" s="574">
        <v>22.75</v>
      </c>
      <c r="MU50" s="574">
        <v>12.71</v>
      </c>
      <c r="MV50" s="574">
        <v>2.66</v>
      </c>
      <c r="MW50">
        <v>730</v>
      </c>
      <c r="MX50" s="1">
        <v>3102</v>
      </c>
      <c r="MY50" s="1">
        <v>2068</v>
      </c>
      <c r="MZ50" s="1">
        <v>13773</v>
      </c>
      <c r="NA50" s="1">
        <v>58535</v>
      </c>
      <c r="NB50" s="1">
        <v>39023</v>
      </c>
      <c r="NC50" s="1">
        <v>32287</v>
      </c>
      <c r="ND50" s="1">
        <v>48430</v>
      </c>
      <c r="NE50">
        <v>0.9</v>
      </c>
      <c r="NF50" s="1">
        <v>11395</v>
      </c>
      <c r="NG50">
        <v>5.48</v>
      </c>
      <c r="NH50">
        <v>9.08</v>
      </c>
      <c r="NI50">
        <v>10.97</v>
      </c>
      <c r="NJ50">
        <v>667.08</v>
      </c>
      <c r="NK50">
        <v>665.54</v>
      </c>
      <c r="NL50">
        <v>0.58160000000000001</v>
      </c>
      <c r="NM50">
        <v>2.9066000000000001</v>
      </c>
      <c r="NN50">
        <v>1.58</v>
      </c>
      <c r="NO50">
        <v>1.8</v>
      </c>
      <c r="NP50">
        <v>1.05</v>
      </c>
      <c r="NQ50">
        <v>1.05</v>
      </c>
      <c r="NR50">
        <v>1.91</v>
      </c>
      <c r="NS50">
        <v>0.09</v>
      </c>
      <c r="NT50">
        <v>1.3</v>
      </c>
      <c r="NU50" s="574">
        <v>36.93</v>
      </c>
      <c r="NV50">
        <v>10.127000000000001</v>
      </c>
      <c r="NW50">
        <v>0</v>
      </c>
      <c r="NX50">
        <v>8.0000000000000002E-3</v>
      </c>
      <c r="NY50">
        <v>4.7359999999999998</v>
      </c>
      <c r="NZ50">
        <v>8.0000000000000002E-3</v>
      </c>
      <c r="OA50">
        <v>0.11899999999999999</v>
      </c>
      <c r="OB50">
        <v>0.50560000000000005</v>
      </c>
      <c r="OC50">
        <v>5.1150000000000002</v>
      </c>
      <c r="OD50">
        <v>3.8849999999999998</v>
      </c>
      <c r="OE50">
        <v>0.51559999999999995</v>
      </c>
      <c r="OF50" s="2">
        <v>3005.1750000000002</v>
      </c>
      <c r="OG50">
        <v>5.1749999999999998</v>
      </c>
      <c r="OH50" s="574">
        <v>21.44</v>
      </c>
      <c r="OI50">
        <v>618</v>
      </c>
      <c r="OJ50">
        <v>154</v>
      </c>
      <c r="OK50" s="574">
        <v>66.12</v>
      </c>
      <c r="OL50" s="574">
        <v>7.74</v>
      </c>
      <c r="OM50" s="574">
        <v>4.8099999999999996</v>
      </c>
      <c r="ON50">
        <v>0.79690000000000005</v>
      </c>
      <c r="OO50">
        <v>0.1875</v>
      </c>
      <c r="OP50">
        <v>0.32719999999999999</v>
      </c>
      <c r="OQ50" s="574">
        <v>0.89</v>
      </c>
      <c r="OR50" s="574">
        <v>66.12</v>
      </c>
      <c r="OS50" s="574">
        <v>4.1100000000000003</v>
      </c>
      <c r="OT50" s="574">
        <v>0</v>
      </c>
      <c r="OU50" s="574">
        <v>71.12</v>
      </c>
      <c r="OV50">
        <v>216</v>
      </c>
      <c r="OW50">
        <v>215</v>
      </c>
      <c r="OX50">
        <v>0.83</v>
      </c>
      <c r="OY50" s="1">
        <v>1863</v>
      </c>
      <c r="OZ50">
        <v>43.3</v>
      </c>
      <c r="PA50" s="1">
        <v>2251</v>
      </c>
      <c r="PB50">
        <v>2.29</v>
      </c>
      <c r="PC50">
        <v>35.82</v>
      </c>
      <c r="PD50">
        <v>0.05</v>
      </c>
      <c r="PE50">
        <v>119</v>
      </c>
      <c r="PF50">
        <v>1.1200000000000001</v>
      </c>
      <c r="PG50" s="574">
        <v>0.71</v>
      </c>
      <c r="PH50">
        <v>0.92</v>
      </c>
      <c r="PI50">
        <v>25.35</v>
      </c>
      <c r="PJ50">
        <v>5.76</v>
      </c>
      <c r="PK50" s="574">
        <v>6.02</v>
      </c>
      <c r="PL50">
        <v>26</v>
      </c>
      <c r="PM50" s="4">
        <v>46351</v>
      </c>
      <c r="PN50" s="4">
        <v>31651</v>
      </c>
      <c r="PO50">
        <v>8.7800000000000003E-2</v>
      </c>
      <c r="PP50">
        <v>1.3701000000000001</v>
      </c>
      <c r="PQ50">
        <v>7.2599999999999998E-2</v>
      </c>
      <c r="PR50">
        <v>2.07E-2</v>
      </c>
      <c r="PS50">
        <v>0.32240000000000002</v>
      </c>
      <c r="PT50">
        <v>1.7100000000000001E-2</v>
      </c>
      <c r="PU50" s="3">
        <v>0.66669999999999996</v>
      </c>
      <c r="PV50" s="3">
        <v>0.35289999999999999</v>
      </c>
      <c r="PW50" s="3">
        <v>0.64710000000000001</v>
      </c>
      <c r="PX50" s="3">
        <v>0.31709999999999999</v>
      </c>
      <c r="PY50" s="3">
        <v>0.68289999999999995</v>
      </c>
      <c r="PZ50" s="3">
        <v>0.1171</v>
      </c>
      <c r="QA50" s="3">
        <v>4.4299999999999999E-2</v>
      </c>
      <c r="QB50" s="3">
        <v>0.1772</v>
      </c>
      <c r="QC50" s="3">
        <v>0</v>
      </c>
      <c r="QD50" s="3">
        <v>0.32429999999999998</v>
      </c>
      <c r="QE50" s="3">
        <v>7.2800000000000004E-2</v>
      </c>
      <c r="QF50" s="3">
        <v>0.38150000000000001</v>
      </c>
      <c r="QG50" s="3">
        <v>0.55859999999999999</v>
      </c>
      <c r="QH50" s="3">
        <v>5.7799999999999997E-2</v>
      </c>
      <c r="QI50" s="3">
        <v>0.92959999999999998</v>
      </c>
      <c r="QJ50" s="3">
        <v>0</v>
      </c>
      <c r="QK50" s="3">
        <v>1.2500000000000001E-2</v>
      </c>
      <c r="QL50" s="4">
        <v>14700</v>
      </c>
      <c r="QM50">
        <v>6.96</v>
      </c>
      <c r="QN50" s="1">
        <v>3556</v>
      </c>
      <c r="QO50" s="1">
        <v>5334</v>
      </c>
      <c r="QP50" s="1">
        <v>1255</v>
      </c>
      <c r="QQ50" s="3">
        <v>0.622</v>
      </c>
      <c r="QR50" s="3">
        <v>0.378</v>
      </c>
      <c r="QS50" s="3">
        <v>0</v>
      </c>
      <c r="QT50" s="3">
        <v>0.23530000000000001</v>
      </c>
      <c r="QU50">
        <v>0.36</v>
      </c>
      <c r="QV50">
        <v>0.78</v>
      </c>
      <c r="QW50">
        <v>0.25</v>
      </c>
      <c r="QX50">
        <v>3</v>
      </c>
      <c r="QY50">
        <v>1.89</v>
      </c>
      <c r="QZ50">
        <v>0</v>
      </c>
      <c r="RA50">
        <v>1.17</v>
      </c>
      <c r="RB50">
        <v>0.14000000000000001</v>
      </c>
      <c r="RC50">
        <v>0.13</v>
      </c>
    </row>
    <row r="51" spans="1:471" x14ac:dyDescent="0.25">
      <c r="A51" t="s">
        <v>981</v>
      </c>
      <c r="B51">
        <v>11681</v>
      </c>
      <c r="C51" t="s">
        <v>1754</v>
      </c>
      <c r="D51" t="s">
        <v>1754</v>
      </c>
      <c r="E51" t="s">
        <v>1754</v>
      </c>
      <c r="F51" t="s">
        <v>1755</v>
      </c>
      <c r="G51" t="s">
        <v>1755</v>
      </c>
      <c r="H51" t="s">
        <v>982</v>
      </c>
      <c r="I51" t="s">
        <v>342</v>
      </c>
      <c r="J51" t="s">
        <v>343</v>
      </c>
      <c r="K51" t="s">
        <v>344</v>
      </c>
      <c r="L51" t="s">
        <v>345</v>
      </c>
      <c r="M51" t="s">
        <v>346</v>
      </c>
      <c r="N51" t="s">
        <v>347</v>
      </c>
      <c r="O51" s="1">
        <v>58908</v>
      </c>
      <c r="P51" t="s">
        <v>348</v>
      </c>
      <c r="Q51">
        <v>133</v>
      </c>
      <c r="S51">
        <v>19</v>
      </c>
      <c r="U51" s="1">
        <v>1177</v>
      </c>
      <c r="W51" s="1">
        <v>7989</v>
      </c>
      <c r="X51">
        <v>816</v>
      </c>
      <c r="Y51" s="1">
        <v>16450</v>
      </c>
      <c r="AC51" t="s">
        <v>983</v>
      </c>
      <c r="AD51" t="s">
        <v>984</v>
      </c>
      <c r="AE51">
        <v>27330</v>
      </c>
      <c r="AF51">
        <v>4399</v>
      </c>
      <c r="AG51" t="s">
        <v>983</v>
      </c>
      <c r="AH51" t="s">
        <v>984</v>
      </c>
      <c r="AI51">
        <v>27330</v>
      </c>
      <c r="AJ51">
        <v>2</v>
      </c>
      <c r="AK51" t="s">
        <v>985</v>
      </c>
      <c r="AM51" t="s">
        <v>0</v>
      </c>
      <c r="AN51" t="s">
        <v>986</v>
      </c>
      <c r="AO51" t="s">
        <v>1923</v>
      </c>
      <c r="AP51">
        <v>9197184665</v>
      </c>
      <c r="AQ51" t="s">
        <v>988</v>
      </c>
      <c r="AR51" t="s">
        <v>1924</v>
      </c>
      <c r="AS51" t="s">
        <v>1923</v>
      </c>
      <c r="AT51" t="s">
        <v>376</v>
      </c>
      <c r="AU51" t="s">
        <v>987</v>
      </c>
      <c r="AV51" t="s">
        <v>988</v>
      </c>
      <c r="AW51" t="s">
        <v>1924</v>
      </c>
      <c r="AX51" t="s">
        <v>989</v>
      </c>
      <c r="AY51">
        <v>0</v>
      </c>
      <c r="AZ51">
        <v>0</v>
      </c>
      <c r="BA51">
        <v>0</v>
      </c>
      <c r="BB51" s="573">
        <v>42186</v>
      </c>
      <c r="BC51" s="573">
        <v>42551</v>
      </c>
      <c r="BD51">
        <v>1</v>
      </c>
      <c r="BE51">
        <v>1</v>
      </c>
      <c r="BF51">
        <v>0</v>
      </c>
      <c r="BG51">
        <v>2</v>
      </c>
      <c r="BH51">
        <v>4</v>
      </c>
      <c r="BJ51" s="1">
        <v>3484</v>
      </c>
      <c r="BK51">
        <v>2</v>
      </c>
      <c r="BL51">
        <v>0</v>
      </c>
      <c r="BM51">
        <v>2</v>
      </c>
      <c r="BN51">
        <v>7</v>
      </c>
      <c r="BO51">
        <v>9</v>
      </c>
      <c r="BP51" s="3">
        <v>0.22220000000000001</v>
      </c>
      <c r="BQ51">
        <v>275</v>
      </c>
      <c r="BR51" s="4">
        <v>67291</v>
      </c>
      <c r="DW51" s="4">
        <v>0</v>
      </c>
      <c r="DX51" s="4">
        <v>550459</v>
      </c>
      <c r="DY51" s="4">
        <v>550459</v>
      </c>
      <c r="DZ51" s="4">
        <v>111599</v>
      </c>
      <c r="EA51" s="4">
        <v>0</v>
      </c>
      <c r="EB51" s="4">
        <v>111599</v>
      </c>
      <c r="EC51" s="4">
        <v>25233</v>
      </c>
      <c r="ED51" s="4">
        <v>0</v>
      </c>
      <c r="EE51" s="4">
        <v>25233</v>
      </c>
      <c r="EF51" s="4">
        <v>11748</v>
      </c>
      <c r="EG51" s="4">
        <v>699039</v>
      </c>
      <c r="EH51" s="4">
        <v>327752</v>
      </c>
      <c r="EI51" s="4">
        <v>112530</v>
      </c>
      <c r="EJ51" s="4">
        <v>440282</v>
      </c>
      <c r="EK51" s="4">
        <v>65114</v>
      </c>
      <c r="EL51" s="4">
        <v>11091</v>
      </c>
      <c r="EM51" s="4">
        <v>16168</v>
      </c>
      <c r="EN51" s="4">
        <v>92373</v>
      </c>
      <c r="EO51" s="4">
        <v>129403</v>
      </c>
      <c r="EP51" s="4">
        <v>662058</v>
      </c>
      <c r="EQ51" s="4">
        <v>36981</v>
      </c>
      <c r="ER51" s="3">
        <v>5.2900000000000003E-2</v>
      </c>
      <c r="ES51" s="4">
        <v>17801</v>
      </c>
      <c r="ET51" s="4">
        <v>0</v>
      </c>
      <c r="EU51" s="4">
        <v>0</v>
      </c>
      <c r="EV51" s="4">
        <v>0</v>
      </c>
      <c r="EW51" s="4">
        <v>17801</v>
      </c>
      <c r="EX51" s="4">
        <v>0</v>
      </c>
      <c r="EY51" s="1">
        <v>10473</v>
      </c>
      <c r="EZ51" s="1">
        <v>181539</v>
      </c>
      <c r="FA51" s="1">
        <v>31300</v>
      </c>
      <c r="FB51" s="1">
        <v>1398</v>
      </c>
      <c r="FC51" s="1">
        <v>21877</v>
      </c>
      <c r="FD51" s="1">
        <v>46684</v>
      </c>
      <c r="FE51">
        <v>90</v>
      </c>
      <c r="FF51" s="1">
        <v>18068</v>
      </c>
      <c r="FG51" s="1">
        <v>77984</v>
      </c>
      <c r="FH51" s="1">
        <v>1488</v>
      </c>
      <c r="FI51" s="1">
        <v>39945</v>
      </c>
      <c r="FJ51" s="1">
        <v>119417</v>
      </c>
      <c r="FK51">
        <v>493</v>
      </c>
      <c r="FL51">
        <v>95</v>
      </c>
      <c r="FN51" s="1">
        <v>119417</v>
      </c>
      <c r="FO51" s="1">
        <v>3005</v>
      </c>
      <c r="FP51" s="1">
        <v>4264</v>
      </c>
      <c r="FQ51">
        <v>4</v>
      </c>
      <c r="FR51">
        <v>0</v>
      </c>
      <c r="FS51">
        <v>74</v>
      </c>
      <c r="FT51">
        <v>74</v>
      </c>
      <c r="FU51" s="1">
        <v>26725</v>
      </c>
      <c r="FV51" s="1">
        <v>2022</v>
      </c>
      <c r="FW51">
        <v>0</v>
      </c>
      <c r="GC51" s="1">
        <v>23798</v>
      </c>
      <c r="GD51" s="1">
        <v>1183</v>
      </c>
      <c r="GE51">
        <v>205</v>
      </c>
      <c r="GK51">
        <v>255</v>
      </c>
      <c r="GL51">
        <v>-1</v>
      </c>
      <c r="GM51">
        <v>0</v>
      </c>
      <c r="GN51">
        <v>0</v>
      </c>
      <c r="GO51" s="1">
        <v>50778</v>
      </c>
      <c r="GP51" s="1">
        <v>3204</v>
      </c>
      <c r="GQ51">
        <v>205</v>
      </c>
      <c r="GR51">
        <v>0</v>
      </c>
      <c r="GS51">
        <v>34</v>
      </c>
      <c r="GU51" s="1">
        <v>42706</v>
      </c>
      <c r="GV51">
        <v>304</v>
      </c>
      <c r="GW51" s="1">
        <v>21404</v>
      </c>
      <c r="GX51" s="1">
        <v>9585</v>
      </c>
      <c r="GY51">
        <v>4</v>
      </c>
      <c r="GZ51" s="1">
        <v>7589</v>
      </c>
      <c r="HA51" s="1">
        <v>52291</v>
      </c>
      <c r="HB51">
        <v>308</v>
      </c>
      <c r="HC51" s="1">
        <v>28993</v>
      </c>
      <c r="HD51" s="1">
        <v>81592</v>
      </c>
      <c r="HE51">
        <v>478</v>
      </c>
      <c r="HF51" s="1">
        <v>82420</v>
      </c>
      <c r="HG51" s="1">
        <v>5551</v>
      </c>
      <c r="HH51" s="1">
        <v>19479</v>
      </c>
      <c r="HI51">
        <v>350</v>
      </c>
      <c r="HJ51">
        <v>162</v>
      </c>
      <c r="HK51" s="1">
        <v>25192</v>
      </c>
      <c r="HL51" s="1">
        <v>107612</v>
      </c>
      <c r="HM51">
        <v>25</v>
      </c>
      <c r="HN51" s="1">
        <v>10937</v>
      </c>
      <c r="HO51" s="1">
        <v>10962</v>
      </c>
      <c r="HP51">
        <v>386</v>
      </c>
      <c r="HQ51" s="1">
        <v>1096</v>
      </c>
      <c r="HR51" s="1">
        <v>1482</v>
      </c>
      <c r="HS51">
        <v>0</v>
      </c>
      <c r="HT51">
        <v>12</v>
      </c>
      <c r="HU51">
        <v>12</v>
      </c>
      <c r="HV51">
        <v>20</v>
      </c>
      <c r="HW51" s="1">
        <v>12476</v>
      </c>
      <c r="HX51" s="1">
        <v>2412</v>
      </c>
      <c r="HY51" s="1">
        <v>5543</v>
      </c>
      <c r="HZ51" s="1">
        <v>7955</v>
      </c>
      <c r="IA51" s="1">
        <v>20431</v>
      </c>
      <c r="IB51" s="1">
        <v>7033</v>
      </c>
      <c r="IC51" s="1">
        <v>26524</v>
      </c>
      <c r="ID51" s="1">
        <v>120088</v>
      </c>
      <c r="IE51" s="1">
        <v>120088</v>
      </c>
      <c r="IF51" s="1">
        <v>128043</v>
      </c>
      <c r="IG51" s="1">
        <v>28793</v>
      </c>
      <c r="IH51">
        <v>20</v>
      </c>
      <c r="IK51">
        <v>1</v>
      </c>
      <c r="IL51" s="3">
        <v>2.46E-2</v>
      </c>
      <c r="IM51" s="3">
        <v>5.0000000000000001E-4</v>
      </c>
      <c r="IN51" s="3">
        <v>0.29849999999999999</v>
      </c>
      <c r="IO51" s="3">
        <v>0</v>
      </c>
      <c r="IP51" s="3">
        <v>0.2797</v>
      </c>
      <c r="IQ51" s="3">
        <v>4.0000000000000002E-4</v>
      </c>
      <c r="IR51" s="3">
        <v>0.65780000000000005</v>
      </c>
      <c r="IS51" s="3">
        <v>3.4200000000000001E-2</v>
      </c>
      <c r="IT51" s="3">
        <v>0.23980000000000001</v>
      </c>
      <c r="IU51" s="1">
        <v>44255</v>
      </c>
      <c r="IV51" s="1">
        <v>13375</v>
      </c>
      <c r="IW51" s="1">
        <v>57630</v>
      </c>
      <c r="IX51" s="3">
        <v>0.97829999999999995</v>
      </c>
      <c r="IY51" s="1">
        <v>115109</v>
      </c>
      <c r="JA51">
        <v>118</v>
      </c>
      <c r="JB51">
        <v>5</v>
      </c>
      <c r="JC51">
        <v>170</v>
      </c>
      <c r="JD51">
        <v>2</v>
      </c>
      <c r="JE51">
        <v>0</v>
      </c>
      <c r="JF51">
        <v>47</v>
      </c>
      <c r="JG51">
        <v>120</v>
      </c>
      <c r="JH51">
        <v>5</v>
      </c>
      <c r="JI51">
        <v>217</v>
      </c>
      <c r="JJ51">
        <v>342</v>
      </c>
      <c r="JK51">
        <v>293</v>
      </c>
      <c r="JL51">
        <v>49</v>
      </c>
      <c r="JM51">
        <v>449</v>
      </c>
      <c r="JN51">
        <v>63</v>
      </c>
      <c r="JO51" s="1">
        <v>4073</v>
      </c>
      <c r="JP51">
        <v>112</v>
      </c>
      <c r="JQ51">
        <v>0</v>
      </c>
      <c r="JR51" s="1">
        <v>1439</v>
      </c>
      <c r="JS51">
        <v>561</v>
      </c>
      <c r="JT51">
        <v>63</v>
      </c>
      <c r="JU51" s="1">
        <v>5512</v>
      </c>
      <c r="JV51" s="1">
        <v>6136</v>
      </c>
      <c r="JW51" s="1">
        <v>4585</v>
      </c>
      <c r="JX51" s="1">
        <v>1551</v>
      </c>
      <c r="JY51">
        <v>17.940000000000001</v>
      </c>
      <c r="JZ51">
        <v>4.68</v>
      </c>
      <c r="KA51">
        <v>25.4</v>
      </c>
      <c r="KB51">
        <v>0.09</v>
      </c>
      <c r="KC51">
        <v>0.9</v>
      </c>
      <c r="KD51">
        <v>17</v>
      </c>
      <c r="KE51">
        <v>51</v>
      </c>
      <c r="KF51">
        <v>50</v>
      </c>
      <c r="KG51">
        <v>205</v>
      </c>
      <c r="KN51" s="1">
        <v>15834</v>
      </c>
      <c r="KO51" s="1">
        <v>6942</v>
      </c>
      <c r="KP51" s="1">
        <v>1678</v>
      </c>
      <c r="KR51">
        <v>355</v>
      </c>
      <c r="KS51" s="1">
        <v>2019</v>
      </c>
      <c r="KT51" s="1">
        <v>7874</v>
      </c>
      <c r="KU51" s="1">
        <v>7874</v>
      </c>
      <c r="KV51">
        <v>13</v>
      </c>
      <c r="KW51">
        <v>26</v>
      </c>
      <c r="KX51" s="1">
        <v>20456</v>
      </c>
      <c r="KZ51" s="1">
        <v>29939</v>
      </c>
      <c r="LA51" s="1">
        <v>7034</v>
      </c>
      <c r="LD51" t="s">
        <v>990</v>
      </c>
      <c r="LE51" t="s">
        <v>379</v>
      </c>
      <c r="LF51" t="s">
        <v>983</v>
      </c>
      <c r="LG51" t="s">
        <v>984</v>
      </c>
      <c r="LH51">
        <v>27330</v>
      </c>
      <c r="LI51">
        <v>4399</v>
      </c>
      <c r="LJ51" t="s">
        <v>983</v>
      </c>
      <c r="LK51" t="s">
        <v>984</v>
      </c>
      <c r="LL51">
        <v>27330</v>
      </c>
      <c r="LM51">
        <v>4399</v>
      </c>
      <c r="LN51" t="s">
        <v>986</v>
      </c>
      <c r="LO51">
        <v>9197184665</v>
      </c>
      <c r="LP51">
        <v>9197751832</v>
      </c>
      <c r="LQ51" s="1">
        <v>19578</v>
      </c>
      <c r="LR51">
        <v>9.1</v>
      </c>
      <c r="LT51" s="1">
        <v>3484</v>
      </c>
      <c r="LU51">
        <v>104</v>
      </c>
      <c r="LX51">
        <v>2</v>
      </c>
      <c r="LY51" t="s">
        <v>991</v>
      </c>
      <c r="LZ51">
        <v>0</v>
      </c>
      <c r="MA51" t="s">
        <v>363</v>
      </c>
      <c r="MB51">
        <v>4.3600000000000003</v>
      </c>
      <c r="MC51">
        <v>63.22</v>
      </c>
      <c r="ME51" s="574">
        <v>5.51</v>
      </c>
      <c r="MF51" s="574">
        <v>3.67</v>
      </c>
      <c r="MG51" s="574">
        <v>0.77</v>
      </c>
      <c r="MH51" s="574">
        <v>11.49</v>
      </c>
      <c r="MI51" s="574">
        <v>7.64</v>
      </c>
      <c r="MJ51" s="574">
        <v>1.6</v>
      </c>
      <c r="MK51" s="574">
        <v>5.75</v>
      </c>
      <c r="ML51" s="574">
        <v>3.82</v>
      </c>
      <c r="MM51" s="574">
        <v>0.8</v>
      </c>
      <c r="MN51" s="574">
        <v>41.81</v>
      </c>
      <c r="MO51" s="574">
        <v>27.81</v>
      </c>
      <c r="MP51" s="574">
        <v>5.83</v>
      </c>
      <c r="MQ51" s="574">
        <v>107.9</v>
      </c>
      <c r="MR51" s="574">
        <v>71.75</v>
      </c>
      <c r="MS51" s="574">
        <v>15.05</v>
      </c>
      <c r="MT51" s="574">
        <v>22.99</v>
      </c>
      <c r="MU51" s="574">
        <v>15.29</v>
      </c>
      <c r="MV51" s="574">
        <v>3.21</v>
      </c>
      <c r="MW51" s="1">
        <v>1759</v>
      </c>
      <c r="MX51" s="1">
        <v>7917</v>
      </c>
      <c r="MY51" s="1">
        <v>7917</v>
      </c>
      <c r="MZ51" s="1">
        <v>12790</v>
      </c>
      <c r="NA51" s="1">
        <v>57555</v>
      </c>
      <c r="NB51" s="1">
        <v>57555</v>
      </c>
      <c r="NC51" s="1">
        <v>60044</v>
      </c>
      <c r="ND51" s="1">
        <v>60044</v>
      </c>
      <c r="NE51">
        <v>0.66</v>
      </c>
      <c r="NF51" s="1">
        <v>13343</v>
      </c>
      <c r="NG51">
        <v>6.41</v>
      </c>
      <c r="NH51">
        <v>2.0390000000000001</v>
      </c>
      <c r="NI51">
        <v>1.95</v>
      </c>
      <c r="NJ51">
        <v>136.63</v>
      </c>
      <c r="NK51">
        <v>136.63</v>
      </c>
      <c r="NL51">
        <v>0.26879999999999998</v>
      </c>
      <c r="NM51">
        <v>0.48880000000000001</v>
      </c>
      <c r="NN51">
        <v>0.98</v>
      </c>
      <c r="NO51">
        <v>0.1</v>
      </c>
      <c r="NP51">
        <v>0.13</v>
      </c>
      <c r="NQ51">
        <v>0.13</v>
      </c>
      <c r="NR51">
        <v>0.35</v>
      </c>
      <c r="NS51">
        <v>0.01</v>
      </c>
      <c r="NT51">
        <v>0.09</v>
      </c>
      <c r="NU51" s="574">
        <v>7.47</v>
      </c>
      <c r="NV51">
        <v>3.0819999999999999</v>
      </c>
      <c r="NW51">
        <v>0</v>
      </c>
      <c r="NX51">
        <v>2E-3</v>
      </c>
      <c r="NY51">
        <v>0.86199999999999999</v>
      </c>
      <c r="NZ51">
        <v>1E-3</v>
      </c>
      <c r="OA51">
        <v>3.4700000000000002E-2</v>
      </c>
      <c r="OB51">
        <v>0.15620000000000001</v>
      </c>
      <c r="OC51">
        <v>1.6479999999999999</v>
      </c>
      <c r="OD51">
        <v>2.0270000000000001</v>
      </c>
      <c r="OE51">
        <v>0.1188</v>
      </c>
      <c r="OF51">
        <v>881.10400000000004</v>
      </c>
      <c r="OG51">
        <v>1.284</v>
      </c>
      <c r="OH51" s="574">
        <v>2.2000000000000002</v>
      </c>
      <c r="OI51">
        <v>108</v>
      </c>
      <c r="OJ51">
        <v>78</v>
      </c>
      <c r="OK51" s="574">
        <v>11.24</v>
      </c>
      <c r="OL51" s="574">
        <v>1.57</v>
      </c>
      <c r="OM51" s="574">
        <v>1.1100000000000001</v>
      </c>
      <c r="ON51">
        <v>0.15279999999999999</v>
      </c>
      <c r="OO51">
        <v>3.4000000000000002E-2</v>
      </c>
      <c r="OP51">
        <v>0.1215</v>
      </c>
      <c r="OQ51" s="574">
        <v>1.89</v>
      </c>
      <c r="OR51" s="574">
        <v>9.34</v>
      </c>
      <c r="OS51" s="574">
        <v>0.43</v>
      </c>
      <c r="OT51" s="574">
        <v>0.2</v>
      </c>
      <c r="OU51" s="574">
        <v>11.87</v>
      </c>
      <c r="OV51">
        <v>151</v>
      </c>
      <c r="OW51">
        <v>151</v>
      </c>
      <c r="OX51">
        <v>1.04</v>
      </c>
      <c r="OY51" s="1">
        <v>2309</v>
      </c>
      <c r="OZ51">
        <v>33.04</v>
      </c>
      <c r="PA51" s="1">
        <v>2214</v>
      </c>
      <c r="PB51">
        <v>4.54</v>
      </c>
      <c r="PC51">
        <v>34.47</v>
      </c>
      <c r="PD51">
        <v>0.14000000000000001</v>
      </c>
      <c r="PE51">
        <v>305</v>
      </c>
      <c r="PF51">
        <v>1.51</v>
      </c>
      <c r="PG51" s="574">
        <v>0.8</v>
      </c>
      <c r="PH51">
        <v>1.58</v>
      </c>
      <c r="PI51">
        <v>5.91</v>
      </c>
      <c r="PJ51">
        <v>2.08</v>
      </c>
      <c r="PK51" s="574">
        <v>5.75</v>
      </c>
      <c r="PL51">
        <v>16.75</v>
      </c>
      <c r="PM51" s="4">
        <v>48920</v>
      </c>
      <c r="PN51" s="4">
        <v>36417</v>
      </c>
      <c r="PO51">
        <v>7.4999999999999997E-2</v>
      </c>
      <c r="PP51">
        <v>0.56840000000000002</v>
      </c>
      <c r="PQ51">
        <v>7.8200000000000006E-2</v>
      </c>
      <c r="PR51">
        <v>1.67E-2</v>
      </c>
      <c r="PS51">
        <v>0.1263</v>
      </c>
      <c r="PT51">
        <v>1.7399999999999999E-2</v>
      </c>
      <c r="PU51" s="3">
        <v>1</v>
      </c>
      <c r="PV51" s="3">
        <v>0.22220000000000001</v>
      </c>
      <c r="PW51" s="3">
        <v>0.77780000000000005</v>
      </c>
      <c r="PX51" s="3">
        <v>0.25559999999999999</v>
      </c>
      <c r="PY51" s="3">
        <v>0.74439999999999995</v>
      </c>
      <c r="PZ51" s="3">
        <v>0.13950000000000001</v>
      </c>
      <c r="QA51" s="3">
        <v>1.6799999999999999E-2</v>
      </c>
      <c r="QB51" s="3">
        <v>0.17</v>
      </c>
      <c r="QC51" s="3">
        <v>2.4400000000000002E-2</v>
      </c>
      <c r="QD51" s="3">
        <v>0.19550000000000001</v>
      </c>
      <c r="QE51" s="3">
        <v>9.8400000000000001E-2</v>
      </c>
      <c r="QF51" s="3">
        <v>0.49509999999999998</v>
      </c>
      <c r="QG51" s="3">
        <v>0.66500000000000004</v>
      </c>
      <c r="QH51" s="3">
        <v>3.61E-2</v>
      </c>
      <c r="QI51" s="3">
        <v>0.78749999999999998</v>
      </c>
      <c r="QJ51" s="3">
        <v>1.6799999999999999E-2</v>
      </c>
      <c r="QK51" s="3">
        <v>0.15959999999999999</v>
      </c>
      <c r="QL51" s="4">
        <v>12503</v>
      </c>
      <c r="QM51">
        <v>2</v>
      </c>
      <c r="QN51" s="1">
        <v>29454</v>
      </c>
      <c r="QO51" s="1">
        <v>29454</v>
      </c>
      <c r="QP51" s="1">
        <v>6545</v>
      </c>
      <c r="QQ51" s="3">
        <v>0.70489999999999997</v>
      </c>
      <c r="QR51" s="3">
        <v>0.1201</v>
      </c>
      <c r="QS51" s="3">
        <v>0.17499999999999999</v>
      </c>
      <c r="QT51" s="3">
        <v>0.22220000000000001</v>
      </c>
      <c r="QU51">
        <v>0.37</v>
      </c>
      <c r="QV51">
        <v>1.07</v>
      </c>
      <c r="QW51">
        <v>0.27</v>
      </c>
      <c r="QX51">
        <v>11</v>
      </c>
      <c r="QY51">
        <v>1.84</v>
      </c>
      <c r="QZ51">
        <v>7</v>
      </c>
      <c r="RA51">
        <v>1.3</v>
      </c>
      <c r="RB51">
        <v>0.18</v>
      </c>
      <c r="RC51">
        <v>0.17</v>
      </c>
    </row>
    <row r="52" spans="1:471" x14ac:dyDescent="0.25">
      <c r="B52">
        <v>156681</v>
      </c>
      <c r="C52" t="s">
        <v>1754</v>
      </c>
      <c r="D52" t="s">
        <v>1754</v>
      </c>
      <c r="E52" t="s">
        <v>1754</v>
      </c>
      <c r="F52" t="s">
        <v>1755</v>
      </c>
      <c r="G52" t="s">
        <v>1755</v>
      </c>
    </row>
    <row r="53" spans="1:471" x14ac:dyDescent="0.25">
      <c r="A53" t="s">
        <v>992</v>
      </c>
      <c r="B53">
        <v>154235</v>
      </c>
      <c r="C53" t="s">
        <v>1754</v>
      </c>
      <c r="D53" t="s">
        <v>1754</v>
      </c>
      <c r="E53" t="s">
        <v>1754</v>
      </c>
      <c r="F53" t="s">
        <v>1755</v>
      </c>
      <c r="G53" t="s">
        <v>1755</v>
      </c>
      <c r="H53" t="s">
        <v>993</v>
      </c>
      <c r="I53" t="s">
        <v>342</v>
      </c>
      <c r="J53" t="s">
        <v>994</v>
      </c>
      <c r="K53" t="s">
        <v>395</v>
      </c>
      <c r="L53" t="s">
        <v>345</v>
      </c>
      <c r="M53" t="s">
        <v>346</v>
      </c>
      <c r="N53" t="s">
        <v>347</v>
      </c>
      <c r="O53" s="1">
        <v>81397</v>
      </c>
      <c r="P53" t="s">
        <v>348</v>
      </c>
      <c r="Q53">
        <v>299</v>
      </c>
      <c r="R53">
        <v>45</v>
      </c>
      <c r="S53">
        <v>14</v>
      </c>
      <c r="T53">
        <v>11</v>
      </c>
      <c r="U53" s="1">
        <v>1180</v>
      </c>
      <c r="V53">
        <v>942</v>
      </c>
      <c r="W53" s="1">
        <v>26771</v>
      </c>
      <c r="X53" s="1">
        <v>3552</v>
      </c>
      <c r="Y53" s="1">
        <v>127098</v>
      </c>
      <c r="Z53" s="1">
        <v>22005</v>
      </c>
      <c r="AC53" t="s">
        <v>995</v>
      </c>
      <c r="AD53" t="s">
        <v>996</v>
      </c>
      <c r="AE53">
        <v>28092</v>
      </c>
      <c r="AF53">
        <v>3416</v>
      </c>
      <c r="AG53" t="s">
        <v>995</v>
      </c>
      <c r="AH53" t="s">
        <v>996</v>
      </c>
      <c r="AI53">
        <v>28092</v>
      </c>
      <c r="AJ53">
        <v>3</v>
      </c>
      <c r="AK53" t="s">
        <v>997</v>
      </c>
      <c r="AM53" t="s">
        <v>0</v>
      </c>
      <c r="AN53" t="s">
        <v>998</v>
      </c>
      <c r="AO53" t="s">
        <v>999</v>
      </c>
      <c r="AP53">
        <v>7047358044</v>
      </c>
      <c r="AQ53" t="s">
        <v>1001</v>
      </c>
      <c r="AR53" t="s">
        <v>1002</v>
      </c>
      <c r="AS53" t="s">
        <v>1003</v>
      </c>
      <c r="AT53" t="s">
        <v>1004</v>
      </c>
      <c r="AU53" t="s">
        <v>1000</v>
      </c>
      <c r="AV53" t="s">
        <v>1001</v>
      </c>
      <c r="AW53" t="s">
        <v>1005</v>
      </c>
      <c r="AX53" t="s">
        <v>1006</v>
      </c>
      <c r="AY53">
        <v>0</v>
      </c>
      <c r="AZ53">
        <v>0</v>
      </c>
      <c r="BA53">
        <v>0</v>
      </c>
      <c r="BB53" s="573">
        <v>42186</v>
      </c>
      <c r="BC53" s="573">
        <v>42551</v>
      </c>
      <c r="BD53">
        <v>1</v>
      </c>
      <c r="BE53">
        <v>2</v>
      </c>
      <c r="BF53">
        <v>0</v>
      </c>
      <c r="BG53">
        <v>1</v>
      </c>
      <c r="BH53">
        <v>4</v>
      </c>
      <c r="BJ53" s="1">
        <v>7574</v>
      </c>
      <c r="BK53">
        <v>3</v>
      </c>
      <c r="BL53">
        <v>1</v>
      </c>
      <c r="BM53">
        <v>4</v>
      </c>
      <c r="BN53">
        <v>18</v>
      </c>
      <c r="BO53">
        <v>22</v>
      </c>
      <c r="BP53" s="3">
        <v>0.13639999999999999</v>
      </c>
      <c r="BQ53">
        <v>721</v>
      </c>
      <c r="BR53" s="4">
        <v>79459</v>
      </c>
      <c r="DW53" s="4">
        <v>0</v>
      </c>
      <c r="DX53" s="4">
        <v>1135846</v>
      </c>
      <c r="DY53" s="4">
        <v>1135846</v>
      </c>
      <c r="DZ53" s="4">
        <v>118195</v>
      </c>
      <c r="EA53" s="4">
        <v>0</v>
      </c>
      <c r="EB53" s="4">
        <v>118195</v>
      </c>
      <c r="EC53" s="4">
        <v>58458</v>
      </c>
      <c r="ED53" s="4">
        <v>0</v>
      </c>
      <c r="EE53" s="4">
        <v>58458</v>
      </c>
      <c r="EF53" s="4">
        <v>5810</v>
      </c>
      <c r="EG53" s="4">
        <v>1318309</v>
      </c>
      <c r="EH53" s="4">
        <v>562360</v>
      </c>
      <c r="EI53" s="4">
        <v>213607</v>
      </c>
      <c r="EJ53" s="4">
        <v>775967</v>
      </c>
      <c r="EK53" s="4">
        <v>144028</v>
      </c>
      <c r="EL53" s="4">
        <v>35311</v>
      </c>
      <c r="EM53" s="4">
        <v>16833</v>
      </c>
      <c r="EN53" s="4">
        <v>196172</v>
      </c>
      <c r="EO53" s="4">
        <v>265483</v>
      </c>
      <c r="EP53" s="4">
        <v>1237622</v>
      </c>
      <c r="EQ53" s="4">
        <v>80687</v>
      </c>
      <c r="ER53" s="3">
        <v>6.1199999999999997E-2</v>
      </c>
      <c r="ES53" s="4">
        <v>11700</v>
      </c>
      <c r="ET53" s="4">
        <v>0</v>
      </c>
      <c r="EU53" s="4">
        <v>0</v>
      </c>
      <c r="EV53" s="4">
        <v>0</v>
      </c>
      <c r="EW53" s="4">
        <v>11700</v>
      </c>
      <c r="EX53" s="4">
        <v>11666</v>
      </c>
      <c r="EY53" s="1">
        <v>32480</v>
      </c>
      <c r="EZ53" s="1">
        <v>235233</v>
      </c>
      <c r="FA53" s="1">
        <v>39831</v>
      </c>
      <c r="FB53" s="1">
        <v>5103</v>
      </c>
      <c r="FC53" s="1">
        <v>32161</v>
      </c>
      <c r="FD53" s="1">
        <v>43221</v>
      </c>
      <c r="FE53">
        <v>0</v>
      </c>
      <c r="FF53" s="1">
        <v>17330</v>
      </c>
      <c r="FG53" s="1">
        <v>83052</v>
      </c>
      <c r="FH53" s="1">
        <v>5103</v>
      </c>
      <c r="FI53" s="1">
        <v>49491</v>
      </c>
      <c r="FJ53" s="1">
        <v>137646</v>
      </c>
      <c r="FK53">
        <v>0</v>
      </c>
      <c r="FL53">
        <v>168</v>
      </c>
      <c r="FN53" s="1">
        <v>137646</v>
      </c>
      <c r="FO53" s="1">
        <v>5975</v>
      </c>
      <c r="FP53" s="1">
        <v>10200</v>
      </c>
      <c r="FQ53">
        <v>278</v>
      </c>
      <c r="FR53">
        <v>6</v>
      </c>
      <c r="FS53">
        <v>74</v>
      </c>
      <c r="FT53">
        <v>80</v>
      </c>
      <c r="FU53" s="1">
        <v>26725</v>
      </c>
      <c r="FV53" s="1">
        <v>2022</v>
      </c>
      <c r="FW53">
        <v>0</v>
      </c>
      <c r="GC53">
        <v>0</v>
      </c>
      <c r="GD53">
        <v>0</v>
      </c>
      <c r="GE53">
        <v>0</v>
      </c>
      <c r="GG53" s="1">
        <v>34298</v>
      </c>
      <c r="GH53" s="1">
        <v>13913</v>
      </c>
      <c r="GI53">
        <v>370</v>
      </c>
      <c r="GJ53">
        <v>87</v>
      </c>
      <c r="GK53" s="1">
        <v>3274</v>
      </c>
      <c r="GL53">
        <v>0</v>
      </c>
      <c r="GM53">
        <v>0</v>
      </c>
      <c r="GN53">
        <v>197</v>
      </c>
      <c r="GO53" s="1">
        <v>64297</v>
      </c>
      <c r="GP53" s="1">
        <v>15935</v>
      </c>
      <c r="GQ53">
        <v>370</v>
      </c>
      <c r="GR53">
        <v>284</v>
      </c>
      <c r="GS53">
        <v>15</v>
      </c>
      <c r="GU53" s="1">
        <v>66680</v>
      </c>
      <c r="GV53" s="1">
        <v>7779</v>
      </c>
      <c r="GW53" s="1">
        <v>70435</v>
      </c>
      <c r="GX53" s="1">
        <v>17919</v>
      </c>
      <c r="GY53">
        <v>0</v>
      </c>
      <c r="GZ53" s="1">
        <v>16566</v>
      </c>
      <c r="HA53" s="1">
        <v>84599</v>
      </c>
      <c r="HB53" s="1">
        <v>7779</v>
      </c>
      <c r="HC53" s="1">
        <v>87001</v>
      </c>
      <c r="HD53" s="1">
        <v>179379</v>
      </c>
      <c r="HE53">
        <v>0</v>
      </c>
      <c r="HF53" s="1">
        <v>179379</v>
      </c>
      <c r="HG53" s="1">
        <v>11159</v>
      </c>
      <c r="HH53" s="1">
        <v>38361</v>
      </c>
      <c r="HI53">
        <v>0</v>
      </c>
      <c r="HJ53">
        <v>0</v>
      </c>
      <c r="HK53" s="1">
        <v>49520</v>
      </c>
      <c r="HL53" s="1">
        <v>228899</v>
      </c>
      <c r="HM53">
        <v>96</v>
      </c>
      <c r="HN53" s="1">
        <v>15178</v>
      </c>
      <c r="HO53" s="1">
        <v>15274</v>
      </c>
      <c r="HP53">
        <v>263</v>
      </c>
      <c r="HQ53" s="1">
        <v>7286</v>
      </c>
      <c r="HR53" s="1">
        <v>7549</v>
      </c>
      <c r="HS53">
        <v>0</v>
      </c>
      <c r="HT53">
        <v>114</v>
      </c>
      <c r="HU53">
        <v>114</v>
      </c>
      <c r="HV53" s="1">
        <v>1373</v>
      </c>
      <c r="HW53" s="1">
        <v>24310</v>
      </c>
      <c r="HX53" s="1">
        <v>5852</v>
      </c>
      <c r="HY53" s="1">
        <v>23696</v>
      </c>
      <c r="HZ53" s="1">
        <v>29548</v>
      </c>
      <c r="IA53" s="1">
        <v>53858</v>
      </c>
      <c r="IB53" s="1">
        <v>18708</v>
      </c>
      <c r="IC53" s="1">
        <v>57183</v>
      </c>
      <c r="ID53" s="1">
        <v>253209</v>
      </c>
      <c r="IE53" s="1">
        <v>253209</v>
      </c>
      <c r="IF53" s="1">
        <v>282757</v>
      </c>
      <c r="IG53" s="1">
        <v>83504</v>
      </c>
      <c r="IH53">
        <v>0</v>
      </c>
      <c r="IL53" s="3">
        <v>4.4900000000000002E-2</v>
      </c>
      <c r="IM53" s="3">
        <v>6.9999999999999999E-4</v>
      </c>
      <c r="IN53" s="3">
        <v>0.34389999999999998</v>
      </c>
      <c r="IO53" s="3">
        <v>0</v>
      </c>
      <c r="IP53" s="3">
        <v>0.27329999999999999</v>
      </c>
      <c r="IQ53" s="3">
        <v>2.9999999999999997E-4</v>
      </c>
      <c r="IR53" s="3">
        <v>0.58509999999999995</v>
      </c>
      <c r="IS53" s="3">
        <v>9.3100000000000002E-2</v>
      </c>
      <c r="IT53" s="3">
        <v>0.32979999999999998</v>
      </c>
      <c r="IU53" s="1">
        <v>40698</v>
      </c>
      <c r="IV53" s="1">
        <v>13300</v>
      </c>
      <c r="IW53" s="1">
        <v>53998</v>
      </c>
      <c r="IX53" s="3">
        <v>0.66339999999999999</v>
      </c>
      <c r="IY53" s="1">
        <v>200380</v>
      </c>
      <c r="JA53">
        <v>112</v>
      </c>
      <c r="JB53">
        <v>104</v>
      </c>
      <c r="JC53">
        <v>456</v>
      </c>
      <c r="JD53">
        <v>3</v>
      </c>
      <c r="JE53">
        <v>2</v>
      </c>
      <c r="JF53">
        <v>5</v>
      </c>
      <c r="JG53">
        <v>115</v>
      </c>
      <c r="JH53">
        <v>106</v>
      </c>
      <c r="JI53">
        <v>461</v>
      </c>
      <c r="JJ53">
        <v>682</v>
      </c>
      <c r="JK53">
        <v>672</v>
      </c>
      <c r="JL53">
        <v>10</v>
      </c>
      <c r="JM53">
        <v>739</v>
      </c>
      <c r="JN53" s="1">
        <v>1673</v>
      </c>
      <c r="JO53" s="1">
        <v>10676</v>
      </c>
      <c r="JP53">
        <v>450</v>
      </c>
      <c r="JQ53">
        <v>98</v>
      </c>
      <c r="JR53" s="1">
        <v>1346</v>
      </c>
      <c r="JS53" s="1">
        <v>1189</v>
      </c>
      <c r="JT53" s="1">
        <v>1771</v>
      </c>
      <c r="JU53" s="1">
        <v>12022</v>
      </c>
      <c r="JV53" s="1">
        <v>14982</v>
      </c>
      <c r="JW53" s="1">
        <v>13088</v>
      </c>
      <c r="JX53" s="1">
        <v>1894</v>
      </c>
      <c r="JY53">
        <v>21.97</v>
      </c>
      <c r="JZ53">
        <v>10.34</v>
      </c>
      <c r="KA53">
        <v>26.08</v>
      </c>
      <c r="KB53">
        <v>0.08</v>
      </c>
      <c r="KC53">
        <v>0.8</v>
      </c>
      <c r="KD53">
        <v>5</v>
      </c>
      <c r="KE53">
        <v>17</v>
      </c>
      <c r="KF53">
        <v>14</v>
      </c>
      <c r="KG53">
        <v>59</v>
      </c>
      <c r="KN53" s="1">
        <v>16847</v>
      </c>
      <c r="KO53" s="1">
        <v>9981</v>
      </c>
      <c r="KP53" s="1">
        <v>1601</v>
      </c>
      <c r="KR53">
        <v>88</v>
      </c>
      <c r="KS53">
        <v>728</v>
      </c>
      <c r="KT53">
        <v>0</v>
      </c>
      <c r="KU53">
        <v>24</v>
      </c>
      <c r="KV53">
        <v>27</v>
      </c>
      <c r="KW53">
        <v>46</v>
      </c>
      <c r="KX53" s="1">
        <v>38400</v>
      </c>
      <c r="KZ53" s="1">
        <v>63558</v>
      </c>
      <c r="LA53" s="1">
        <v>6287</v>
      </c>
      <c r="LD53" t="s">
        <v>1007</v>
      </c>
      <c r="LE53" t="s">
        <v>379</v>
      </c>
      <c r="LF53" t="s">
        <v>995</v>
      </c>
      <c r="LG53" t="s">
        <v>996</v>
      </c>
      <c r="LH53">
        <v>28092</v>
      </c>
      <c r="LJ53" t="s">
        <v>995</v>
      </c>
      <c r="LK53" t="s">
        <v>996</v>
      </c>
      <c r="LL53">
        <v>28092</v>
      </c>
      <c r="LN53" t="s">
        <v>998</v>
      </c>
      <c r="LO53">
        <v>7047358044</v>
      </c>
      <c r="LP53">
        <v>7047329042</v>
      </c>
      <c r="LQ53" s="1">
        <v>24879</v>
      </c>
      <c r="LR53">
        <v>15</v>
      </c>
      <c r="LT53" s="1">
        <v>7574</v>
      </c>
      <c r="LU53">
        <v>156</v>
      </c>
      <c r="LX53">
        <v>1</v>
      </c>
      <c r="LY53" t="s">
        <v>1008</v>
      </c>
      <c r="LZ53">
        <v>0</v>
      </c>
      <c r="MA53" t="s">
        <v>363</v>
      </c>
      <c r="MB53">
        <v>20.010000000000002</v>
      </c>
      <c r="MC53">
        <v>70</v>
      </c>
      <c r="ME53" s="574">
        <v>4.8899999999999997</v>
      </c>
      <c r="MF53" s="574">
        <v>3.06</v>
      </c>
      <c r="MG53" s="574">
        <v>0.77</v>
      </c>
      <c r="MH53" s="574">
        <v>22.92</v>
      </c>
      <c r="MI53" s="574">
        <v>14.37</v>
      </c>
      <c r="MJ53" s="574">
        <v>3.63</v>
      </c>
      <c r="MK53" s="574">
        <v>6.18</v>
      </c>
      <c r="ML53" s="574">
        <v>3.87</v>
      </c>
      <c r="MM53" s="574">
        <v>0.98</v>
      </c>
      <c r="MN53" s="574">
        <v>73.459999999999994</v>
      </c>
      <c r="MO53" s="574">
        <v>46.06</v>
      </c>
      <c r="MP53" s="574">
        <v>11.64</v>
      </c>
      <c r="MQ53" s="574">
        <v>82.61</v>
      </c>
      <c r="MR53" s="574">
        <v>51.79</v>
      </c>
      <c r="MS53" s="574">
        <v>13.09</v>
      </c>
      <c r="MT53" s="574">
        <v>14.82</v>
      </c>
      <c r="MU53" s="574">
        <v>9.2899999999999991</v>
      </c>
      <c r="MV53" s="574">
        <v>2.35</v>
      </c>
      <c r="MW53">
        <v>766</v>
      </c>
      <c r="MX53" s="1">
        <v>5616</v>
      </c>
      <c r="MY53" s="1">
        <v>4212</v>
      </c>
      <c r="MZ53" s="1">
        <v>9108</v>
      </c>
      <c r="NA53" s="1">
        <v>66793</v>
      </c>
      <c r="NB53" s="1">
        <v>50095</v>
      </c>
      <c r="NC53" s="1">
        <v>63302</v>
      </c>
      <c r="ND53" s="1">
        <v>84403</v>
      </c>
      <c r="NE53">
        <v>1.08</v>
      </c>
      <c r="NF53" s="1">
        <v>11510</v>
      </c>
      <c r="NG53">
        <v>5.53</v>
      </c>
      <c r="NH53">
        <v>3.1110000000000002</v>
      </c>
      <c r="NI53">
        <v>2.46</v>
      </c>
      <c r="NJ53">
        <v>0</v>
      </c>
      <c r="NK53">
        <v>0.44</v>
      </c>
      <c r="NL53">
        <v>0.20699999999999999</v>
      </c>
      <c r="NM53">
        <v>1.0259</v>
      </c>
      <c r="NN53">
        <v>0.66</v>
      </c>
      <c r="NO53">
        <v>0.18</v>
      </c>
      <c r="NP53">
        <v>0</v>
      </c>
      <c r="NQ53">
        <v>0</v>
      </c>
      <c r="NR53">
        <v>0.47</v>
      </c>
      <c r="NS53">
        <v>0.01</v>
      </c>
      <c r="NT53">
        <v>0.15</v>
      </c>
      <c r="NU53" s="574">
        <v>9.5299999999999994</v>
      </c>
      <c r="NV53">
        <v>2.89</v>
      </c>
      <c r="NW53">
        <v>0</v>
      </c>
      <c r="NX53">
        <v>2E-3</v>
      </c>
      <c r="NY53">
        <v>0.79</v>
      </c>
      <c r="NZ53">
        <v>1E-3</v>
      </c>
      <c r="OA53">
        <v>5.5599999999999997E-2</v>
      </c>
      <c r="OB53">
        <v>0.40739999999999998</v>
      </c>
      <c r="OC53">
        <v>3.1110000000000002</v>
      </c>
      <c r="OD53">
        <v>1.6910000000000001</v>
      </c>
      <c r="OE53">
        <v>0.22109999999999999</v>
      </c>
      <c r="OF53" s="2">
        <v>1190.729</v>
      </c>
      <c r="OG53">
        <v>1.482</v>
      </c>
      <c r="OH53" s="574">
        <v>3.26</v>
      </c>
      <c r="OI53">
        <v>406</v>
      </c>
      <c r="OJ53">
        <v>196</v>
      </c>
      <c r="OK53" s="574">
        <v>15.2</v>
      </c>
      <c r="OL53" s="574">
        <v>2.41</v>
      </c>
      <c r="OM53" s="574">
        <v>1.77</v>
      </c>
      <c r="ON53">
        <v>0.27029999999999998</v>
      </c>
      <c r="OO53">
        <v>3.6900000000000002E-2</v>
      </c>
      <c r="OP53">
        <v>0.33339999999999997</v>
      </c>
      <c r="OQ53" s="574">
        <v>1.45</v>
      </c>
      <c r="OR53" s="574">
        <v>13.95</v>
      </c>
      <c r="OS53" s="574">
        <v>0.72</v>
      </c>
      <c r="OT53" s="574">
        <v>7.0000000000000007E-2</v>
      </c>
      <c r="OU53" s="574">
        <v>16.2</v>
      </c>
      <c r="OV53">
        <v>0</v>
      </c>
      <c r="OW53">
        <v>0</v>
      </c>
      <c r="OX53">
        <v>1.26</v>
      </c>
      <c r="OY53" s="1">
        <v>4869</v>
      </c>
      <c r="OZ53">
        <v>26.46</v>
      </c>
      <c r="PA53" s="1">
        <v>3853</v>
      </c>
      <c r="PB53">
        <v>2.2200000000000002</v>
      </c>
      <c r="PC53">
        <v>33.43</v>
      </c>
      <c r="PD53">
        <v>0.08</v>
      </c>
      <c r="PE53">
        <v>324</v>
      </c>
      <c r="PF53">
        <v>0.93</v>
      </c>
      <c r="PG53" s="574">
        <v>0.98</v>
      </c>
      <c r="PH53">
        <v>1.17</v>
      </c>
      <c r="PI53">
        <v>9.31</v>
      </c>
      <c r="PJ53">
        <v>4.6900000000000004</v>
      </c>
      <c r="PK53" s="574">
        <v>6.18</v>
      </c>
      <c r="PL53">
        <v>36.409999999999997</v>
      </c>
      <c r="PM53" s="4">
        <v>35271</v>
      </c>
      <c r="PN53" s="4">
        <v>25562</v>
      </c>
      <c r="PO53">
        <v>8.6900000000000005E-2</v>
      </c>
      <c r="PP53">
        <v>1.3059000000000001</v>
      </c>
      <c r="PQ53">
        <v>0.10979999999999999</v>
      </c>
      <c r="PR53">
        <v>1.1900000000000001E-2</v>
      </c>
      <c r="PS53">
        <v>0.17810000000000001</v>
      </c>
      <c r="PT53">
        <v>1.4999999999999999E-2</v>
      </c>
      <c r="PU53" s="3">
        <v>0.75</v>
      </c>
      <c r="PV53" s="3">
        <v>0.18179999999999999</v>
      </c>
      <c r="PW53" s="3">
        <v>0.81820000000000004</v>
      </c>
      <c r="PX53" s="3">
        <v>0.27529999999999999</v>
      </c>
      <c r="PY53" s="3">
        <v>0.72470000000000001</v>
      </c>
      <c r="PZ53" s="3">
        <v>0.1585</v>
      </c>
      <c r="QA53" s="3">
        <v>2.8500000000000001E-2</v>
      </c>
      <c r="QB53" s="3">
        <v>0.1726</v>
      </c>
      <c r="QC53" s="3">
        <v>1.3599999999999999E-2</v>
      </c>
      <c r="QD53" s="3">
        <v>0.2145</v>
      </c>
      <c r="QE53" s="3">
        <v>0.1164</v>
      </c>
      <c r="QF53" s="3">
        <v>0.45440000000000003</v>
      </c>
      <c r="QG53" s="3">
        <v>0.627</v>
      </c>
      <c r="QH53" s="3">
        <v>4.4299999999999999E-2</v>
      </c>
      <c r="QI53" s="3">
        <v>0.86160000000000003</v>
      </c>
      <c r="QJ53" s="3">
        <v>4.4000000000000003E-3</v>
      </c>
      <c r="QK53" s="3">
        <v>8.9700000000000002E-2</v>
      </c>
      <c r="QL53" s="4">
        <v>9709</v>
      </c>
      <c r="QM53">
        <v>3.71</v>
      </c>
      <c r="QN53" s="1">
        <v>20349</v>
      </c>
      <c r="QO53" s="1">
        <v>27132</v>
      </c>
      <c r="QP53" s="1">
        <v>3700</v>
      </c>
      <c r="QQ53" s="3">
        <v>0.73419999999999996</v>
      </c>
      <c r="QR53" s="3">
        <v>0.18</v>
      </c>
      <c r="QS53" s="3">
        <v>8.5800000000000001E-2</v>
      </c>
      <c r="QT53" s="3">
        <v>0.13639999999999999</v>
      </c>
      <c r="QU53">
        <v>0.45</v>
      </c>
      <c r="QV53">
        <v>1.19</v>
      </c>
      <c r="QW53">
        <v>0.33</v>
      </c>
      <c r="QX53">
        <v>7</v>
      </c>
      <c r="QY53">
        <v>1.76</v>
      </c>
      <c r="QZ53">
        <v>15</v>
      </c>
      <c r="RA53">
        <v>1.29</v>
      </c>
      <c r="RB53">
        <v>0.2</v>
      </c>
      <c r="RC53">
        <v>0.19</v>
      </c>
    </row>
    <row r="54" spans="1:471" x14ac:dyDescent="0.25">
      <c r="A54" t="s">
        <v>1009</v>
      </c>
      <c r="B54">
        <v>11682</v>
      </c>
      <c r="C54" t="s">
        <v>1754</v>
      </c>
      <c r="D54" t="s">
        <v>1754</v>
      </c>
      <c r="E54" t="s">
        <v>1754</v>
      </c>
      <c r="F54" t="s">
        <v>1755</v>
      </c>
      <c r="G54" t="s">
        <v>1755</v>
      </c>
      <c r="H54" t="s">
        <v>1010</v>
      </c>
      <c r="I54" t="s">
        <v>342</v>
      </c>
      <c r="J54" t="s">
        <v>343</v>
      </c>
      <c r="K54" t="s">
        <v>344</v>
      </c>
      <c r="L54" t="s">
        <v>345</v>
      </c>
      <c r="M54" t="s">
        <v>346</v>
      </c>
      <c r="N54" t="s">
        <v>347</v>
      </c>
      <c r="O54" s="1">
        <v>21663</v>
      </c>
      <c r="P54" t="s">
        <v>348</v>
      </c>
      <c r="Q54">
        <v>403</v>
      </c>
      <c r="R54">
        <v>202</v>
      </c>
      <c r="S54">
        <v>20</v>
      </c>
      <c r="T54">
        <v>9</v>
      </c>
      <c r="U54" s="1">
        <v>1603</v>
      </c>
      <c r="V54">
        <v>106</v>
      </c>
      <c r="W54" s="1">
        <v>4115</v>
      </c>
      <c r="X54" s="1">
        <v>1302</v>
      </c>
      <c r="AC54" t="s">
        <v>1011</v>
      </c>
      <c r="AD54" t="s">
        <v>1012</v>
      </c>
      <c r="AE54">
        <v>28753</v>
      </c>
      <c r="AG54" t="s">
        <v>1011</v>
      </c>
      <c r="AH54" t="s">
        <v>1012</v>
      </c>
      <c r="AI54">
        <v>28753</v>
      </c>
      <c r="AJ54">
        <v>2</v>
      </c>
      <c r="AK54" t="s">
        <v>1013</v>
      </c>
      <c r="AM54" t="s">
        <v>0</v>
      </c>
      <c r="AN54" t="s">
        <v>1014</v>
      </c>
      <c r="AO54" t="s">
        <v>1015</v>
      </c>
      <c r="AP54">
        <v>8286493741</v>
      </c>
      <c r="AQ54" t="s">
        <v>1017</v>
      </c>
      <c r="AR54" t="s">
        <v>1018</v>
      </c>
      <c r="AS54" t="s">
        <v>1015</v>
      </c>
      <c r="AT54" t="s">
        <v>376</v>
      </c>
      <c r="AU54" t="s">
        <v>1016</v>
      </c>
      <c r="AV54" t="s">
        <v>1017</v>
      </c>
      <c r="AW54" t="s">
        <v>1018</v>
      </c>
      <c r="AX54" t="s">
        <v>1019</v>
      </c>
      <c r="AY54">
        <v>0</v>
      </c>
      <c r="AZ54">
        <v>0</v>
      </c>
      <c r="BA54">
        <v>0</v>
      </c>
      <c r="BB54" s="573">
        <v>42186</v>
      </c>
      <c r="BC54" s="573">
        <v>42551</v>
      </c>
      <c r="BD54">
        <v>1</v>
      </c>
      <c r="BE54">
        <v>2</v>
      </c>
      <c r="BF54">
        <v>0</v>
      </c>
      <c r="BG54">
        <v>0</v>
      </c>
      <c r="BH54">
        <v>3</v>
      </c>
      <c r="BJ54" s="1">
        <v>6442</v>
      </c>
      <c r="BK54">
        <v>1</v>
      </c>
      <c r="BL54">
        <v>0</v>
      </c>
      <c r="BM54">
        <v>1</v>
      </c>
      <c r="BN54">
        <v>9.89</v>
      </c>
      <c r="BO54">
        <v>10.89</v>
      </c>
      <c r="BP54" s="3">
        <v>9.1800000000000007E-2</v>
      </c>
      <c r="BQ54" s="1">
        <v>2226</v>
      </c>
      <c r="BR54" s="4">
        <v>50001</v>
      </c>
      <c r="DW54" s="4">
        <v>6000</v>
      </c>
      <c r="DX54" s="4">
        <v>363855</v>
      </c>
      <c r="DY54" s="4">
        <v>369855</v>
      </c>
      <c r="DZ54" s="4">
        <v>82461</v>
      </c>
      <c r="EA54" s="4">
        <v>0</v>
      </c>
      <c r="EB54" s="4">
        <v>82461</v>
      </c>
      <c r="EC54" s="4">
        <v>6025</v>
      </c>
      <c r="ED54" s="4">
        <v>0</v>
      </c>
      <c r="EE54" s="4">
        <v>6025</v>
      </c>
      <c r="EF54" s="4">
        <v>18935</v>
      </c>
      <c r="EG54" s="4">
        <v>477276</v>
      </c>
      <c r="EH54" s="4">
        <v>220931</v>
      </c>
      <c r="EI54" s="4">
        <v>70634</v>
      </c>
      <c r="EJ54" s="4">
        <v>291565</v>
      </c>
      <c r="EK54" s="4">
        <v>29573</v>
      </c>
      <c r="EL54" s="4">
        <v>3900</v>
      </c>
      <c r="EM54" s="4">
        <v>7556</v>
      </c>
      <c r="EN54" s="4">
        <v>41029</v>
      </c>
      <c r="EO54" s="4">
        <v>144682</v>
      </c>
      <c r="EP54" s="4">
        <v>477276</v>
      </c>
      <c r="EQ54" s="4">
        <v>0</v>
      </c>
      <c r="ER54" s="3">
        <v>0</v>
      </c>
      <c r="ES54" s="4">
        <v>0</v>
      </c>
      <c r="ET54" s="4">
        <v>0</v>
      </c>
      <c r="EU54" s="4">
        <v>0</v>
      </c>
      <c r="EV54" s="4">
        <v>0</v>
      </c>
      <c r="EW54" s="4">
        <v>0</v>
      </c>
      <c r="EX54" s="4">
        <v>0</v>
      </c>
      <c r="EY54" s="1">
        <v>13160</v>
      </c>
      <c r="EZ54" s="1">
        <v>124873</v>
      </c>
      <c r="FA54" s="1">
        <v>26699</v>
      </c>
      <c r="FB54" s="1">
        <v>2070</v>
      </c>
      <c r="FC54" s="1">
        <v>13332</v>
      </c>
      <c r="FD54" s="1">
        <v>14362</v>
      </c>
      <c r="FE54">
        <v>350</v>
      </c>
      <c r="FF54" s="1">
        <v>3863</v>
      </c>
      <c r="FG54" s="1">
        <v>41061</v>
      </c>
      <c r="FH54" s="1">
        <v>2420</v>
      </c>
      <c r="FI54" s="1">
        <v>17195</v>
      </c>
      <c r="FJ54" s="1">
        <v>60676</v>
      </c>
      <c r="FK54">
        <v>0</v>
      </c>
      <c r="FL54">
        <v>106</v>
      </c>
      <c r="FN54" s="1">
        <v>60676</v>
      </c>
      <c r="FO54" s="1">
        <v>3388</v>
      </c>
      <c r="FP54" s="1">
        <v>6567</v>
      </c>
      <c r="FQ54">
        <v>62</v>
      </c>
      <c r="FR54">
        <v>1</v>
      </c>
      <c r="FS54">
        <v>74</v>
      </c>
      <c r="FT54">
        <v>75</v>
      </c>
      <c r="FU54" s="1">
        <v>26725</v>
      </c>
      <c r="FV54" s="1">
        <v>2022</v>
      </c>
      <c r="FW54">
        <v>0</v>
      </c>
      <c r="GC54" s="1">
        <v>23798</v>
      </c>
      <c r="GD54" s="1">
        <v>1183</v>
      </c>
      <c r="GE54">
        <v>205</v>
      </c>
      <c r="GK54">
        <v>66</v>
      </c>
      <c r="GL54">
        <v>0</v>
      </c>
      <c r="GM54">
        <v>0</v>
      </c>
      <c r="GN54">
        <v>0</v>
      </c>
      <c r="GO54" s="1">
        <v>50589</v>
      </c>
      <c r="GP54" s="1">
        <v>3205</v>
      </c>
      <c r="GQ54">
        <v>205</v>
      </c>
      <c r="GR54">
        <v>0</v>
      </c>
      <c r="GS54">
        <v>18</v>
      </c>
      <c r="GU54" s="1">
        <v>27353</v>
      </c>
      <c r="GV54" s="1">
        <v>2730</v>
      </c>
      <c r="GW54" s="1">
        <v>18254</v>
      </c>
      <c r="GX54" s="1">
        <v>11011</v>
      </c>
      <c r="GY54">
        <v>303</v>
      </c>
      <c r="GZ54" s="1">
        <v>2917</v>
      </c>
      <c r="HA54" s="1">
        <v>38364</v>
      </c>
      <c r="HB54" s="1">
        <v>3033</v>
      </c>
      <c r="HC54" s="1">
        <v>21171</v>
      </c>
      <c r="HD54" s="1">
        <v>62568</v>
      </c>
      <c r="HE54" s="1">
        <v>2391</v>
      </c>
      <c r="HF54" s="1">
        <v>64959</v>
      </c>
      <c r="HG54" s="1">
        <v>5916</v>
      </c>
      <c r="HH54" s="1">
        <v>24964</v>
      </c>
      <c r="HI54">
        <v>0</v>
      </c>
      <c r="HJ54">
        <v>25</v>
      </c>
      <c r="HK54" s="1">
        <v>30905</v>
      </c>
      <c r="HL54" s="1">
        <v>95864</v>
      </c>
      <c r="HM54">
        <v>58</v>
      </c>
      <c r="HN54" s="1">
        <v>5882</v>
      </c>
      <c r="HO54" s="1">
        <v>5940</v>
      </c>
      <c r="HP54">
        <v>684</v>
      </c>
      <c r="HQ54">
        <v>779</v>
      </c>
      <c r="HR54" s="1">
        <v>1463</v>
      </c>
      <c r="HS54">
        <v>0</v>
      </c>
      <c r="HT54">
        <v>28</v>
      </c>
      <c r="HU54">
        <v>28</v>
      </c>
      <c r="HV54">
        <v>0</v>
      </c>
      <c r="HW54" s="1">
        <v>7431</v>
      </c>
      <c r="HX54" s="1">
        <v>3129</v>
      </c>
      <c r="HY54">
        <v>0</v>
      </c>
      <c r="HZ54" s="1">
        <v>3129</v>
      </c>
      <c r="IA54" s="1">
        <v>10560</v>
      </c>
      <c r="IB54" s="1">
        <v>7379</v>
      </c>
      <c r="IC54" s="1">
        <v>32371</v>
      </c>
      <c r="ID54" s="1">
        <v>103295</v>
      </c>
      <c r="IE54" s="1">
        <v>103295</v>
      </c>
      <c r="IF54" s="1">
        <v>106424</v>
      </c>
      <c r="IG54" s="1">
        <v>26854</v>
      </c>
      <c r="IH54">
        <v>816</v>
      </c>
      <c r="IK54">
        <v>1</v>
      </c>
      <c r="IL54" s="3">
        <v>5.4199999999999998E-2</v>
      </c>
      <c r="IM54" s="3">
        <v>8.0000000000000004E-4</v>
      </c>
      <c r="IN54" s="3">
        <v>0.43240000000000001</v>
      </c>
      <c r="IO54" s="3">
        <v>0</v>
      </c>
      <c r="IP54" s="3">
        <v>0.40510000000000002</v>
      </c>
      <c r="IQ54" s="3">
        <v>5.9999999999999995E-4</v>
      </c>
      <c r="IR54" s="3">
        <v>0.4859</v>
      </c>
      <c r="IS54" s="3">
        <v>5.28E-2</v>
      </c>
      <c r="IT54" s="3">
        <v>0.26</v>
      </c>
      <c r="IU54" s="1">
        <v>8890</v>
      </c>
      <c r="IV54" s="1">
        <v>2442</v>
      </c>
      <c r="IW54" s="1">
        <v>11332</v>
      </c>
      <c r="IX54" s="3">
        <v>0.52310000000000001</v>
      </c>
      <c r="IY54" s="1">
        <v>117985</v>
      </c>
      <c r="JA54">
        <v>169</v>
      </c>
      <c r="JB54">
        <v>50</v>
      </c>
      <c r="JC54">
        <v>287</v>
      </c>
      <c r="JD54">
        <v>25</v>
      </c>
      <c r="JE54">
        <v>10</v>
      </c>
      <c r="JF54">
        <v>144</v>
      </c>
      <c r="JG54">
        <v>194</v>
      </c>
      <c r="JH54">
        <v>60</v>
      </c>
      <c r="JI54">
        <v>431</v>
      </c>
      <c r="JJ54">
        <v>685</v>
      </c>
      <c r="JK54">
        <v>506</v>
      </c>
      <c r="JL54">
        <v>179</v>
      </c>
      <c r="JM54" s="1">
        <v>3171</v>
      </c>
      <c r="JN54" s="1">
        <v>1140</v>
      </c>
      <c r="JO54" s="1">
        <v>5982</v>
      </c>
      <c r="JP54">
        <v>286</v>
      </c>
      <c r="JQ54">
        <v>959</v>
      </c>
      <c r="JR54" s="1">
        <v>2865</v>
      </c>
      <c r="JS54" s="1">
        <v>3457</v>
      </c>
      <c r="JT54" s="1">
        <v>2099</v>
      </c>
      <c r="JU54" s="1">
        <v>8847</v>
      </c>
      <c r="JV54" s="1">
        <v>14403</v>
      </c>
      <c r="JW54" s="1">
        <v>10293</v>
      </c>
      <c r="JX54" s="1">
        <v>4110</v>
      </c>
      <c r="JY54">
        <v>21.03</v>
      </c>
      <c r="JZ54">
        <v>17.82</v>
      </c>
      <c r="KA54">
        <v>20.53</v>
      </c>
      <c r="KB54">
        <v>0.24</v>
      </c>
      <c r="KC54">
        <v>0.61</v>
      </c>
      <c r="KD54">
        <v>5</v>
      </c>
      <c r="KE54">
        <v>16</v>
      </c>
      <c r="KF54">
        <v>40</v>
      </c>
      <c r="KG54">
        <v>225</v>
      </c>
      <c r="KN54" s="1">
        <v>3444</v>
      </c>
      <c r="KO54" s="1">
        <v>2272</v>
      </c>
      <c r="KP54">
        <v>802</v>
      </c>
      <c r="KR54">
        <v>411</v>
      </c>
      <c r="KS54" s="1">
        <v>4120</v>
      </c>
      <c r="KT54">
        <v>10</v>
      </c>
      <c r="KU54">
        <v>8</v>
      </c>
      <c r="KV54">
        <v>14</v>
      </c>
      <c r="KW54">
        <v>55</v>
      </c>
      <c r="KX54" s="1">
        <v>14773</v>
      </c>
      <c r="KZ54" s="1">
        <v>36134</v>
      </c>
      <c r="LA54" s="1">
        <v>11287</v>
      </c>
      <c r="LD54" t="s">
        <v>1013</v>
      </c>
      <c r="LE54" t="s">
        <v>379</v>
      </c>
      <c r="LF54" t="s">
        <v>1011</v>
      </c>
      <c r="LG54" t="s">
        <v>1012</v>
      </c>
      <c r="LH54">
        <v>28753</v>
      </c>
      <c r="LI54">
        <v>6901</v>
      </c>
      <c r="LJ54" t="s">
        <v>1011</v>
      </c>
      <c r="LK54" t="s">
        <v>1012</v>
      </c>
      <c r="LL54">
        <v>28753</v>
      </c>
      <c r="LM54">
        <v>6901</v>
      </c>
      <c r="LN54" t="s">
        <v>1014</v>
      </c>
      <c r="LO54">
        <v>8286493741</v>
      </c>
      <c r="LP54">
        <v>8286493504</v>
      </c>
      <c r="LQ54" s="1">
        <v>21176</v>
      </c>
      <c r="LR54">
        <v>10.89</v>
      </c>
      <c r="LT54" s="1">
        <v>6442</v>
      </c>
      <c r="LU54">
        <v>156</v>
      </c>
      <c r="LX54">
        <v>2</v>
      </c>
      <c r="LY54" t="s">
        <v>1020</v>
      </c>
      <c r="LZ54">
        <v>0</v>
      </c>
      <c r="MA54" t="s">
        <v>363</v>
      </c>
      <c r="MB54">
        <v>93.47</v>
      </c>
      <c r="MC54">
        <v>92.73</v>
      </c>
      <c r="ME54" s="574">
        <v>4.62</v>
      </c>
      <c r="MF54" s="574">
        <v>2.82</v>
      </c>
      <c r="MG54" s="574">
        <v>0.4</v>
      </c>
      <c r="MH54" s="574">
        <v>42.12</v>
      </c>
      <c r="MI54" s="574">
        <v>25.73</v>
      </c>
      <c r="MJ54" s="574">
        <v>3.62</v>
      </c>
      <c r="MK54" s="574">
        <v>4.05</v>
      </c>
      <c r="ML54" s="574">
        <v>2.4700000000000002</v>
      </c>
      <c r="MM54" s="574">
        <v>0.35</v>
      </c>
      <c r="MN54" s="574">
        <v>138.58000000000001</v>
      </c>
      <c r="MO54" s="574">
        <v>84.66</v>
      </c>
      <c r="MP54" s="574">
        <v>11.91</v>
      </c>
      <c r="MQ54" s="574">
        <v>33.14</v>
      </c>
      <c r="MR54" s="574">
        <v>20.239999999999998</v>
      </c>
      <c r="MS54" s="574">
        <v>2.85</v>
      </c>
      <c r="MT54" s="574">
        <v>17.77</v>
      </c>
      <c r="MU54" s="574">
        <v>10.86</v>
      </c>
      <c r="MV54" s="574">
        <v>1.53</v>
      </c>
      <c r="MW54">
        <v>316</v>
      </c>
      <c r="MX54" s="1">
        <v>3444</v>
      </c>
      <c r="MY54" s="1">
        <v>3444</v>
      </c>
      <c r="MZ54" s="1">
        <v>10834</v>
      </c>
      <c r="NA54" s="1">
        <v>117985</v>
      </c>
      <c r="NB54" s="1">
        <v>117985</v>
      </c>
      <c r="NC54" s="1">
        <v>103295</v>
      </c>
      <c r="ND54" s="1">
        <v>103295</v>
      </c>
      <c r="NE54">
        <v>0.83</v>
      </c>
      <c r="NF54" s="1">
        <v>9485</v>
      </c>
      <c r="NG54">
        <v>4.5599999999999996</v>
      </c>
      <c r="NH54">
        <v>4.7679999999999998</v>
      </c>
      <c r="NI54">
        <v>5.45</v>
      </c>
      <c r="NJ54">
        <v>0.88</v>
      </c>
      <c r="NK54">
        <v>0.71</v>
      </c>
      <c r="NL54">
        <v>0.159</v>
      </c>
      <c r="NM54">
        <v>1.2396</v>
      </c>
      <c r="NN54">
        <v>0.52</v>
      </c>
      <c r="NO54">
        <v>0.66</v>
      </c>
      <c r="NP54">
        <v>0</v>
      </c>
      <c r="NQ54">
        <v>0</v>
      </c>
      <c r="NR54">
        <v>0.68</v>
      </c>
      <c r="NS54">
        <v>0.16</v>
      </c>
      <c r="NT54">
        <v>0.41</v>
      </c>
      <c r="NU54" s="574">
        <v>13.46</v>
      </c>
      <c r="NV54">
        <v>5.7640000000000002</v>
      </c>
      <c r="NW54">
        <v>0</v>
      </c>
      <c r="NX54">
        <v>5.0000000000000001E-3</v>
      </c>
      <c r="NY54">
        <v>2.335</v>
      </c>
      <c r="NZ54">
        <v>3.0000000000000001E-3</v>
      </c>
      <c r="OA54">
        <v>8.8300000000000003E-2</v>
      </c>
      <c r="OB54">
        <v>0.96099999999999997</v>
      </c>
      <c r="OC54">
        <v>9.3539999999999992</v>
      </c>
      <c r="OD54">
        <v>2.8010000000000002</v>
      </c>
      <c r="OE54">
        <v>0.45650000000000002</v>
      </c>
      <c r="OF54" s="2">
        <v>4464.2610000000004</v>
      </c>
      <c r="OG54">
        <v>6.6180000000000003</v>
      </c>
      <c r="OH54" s="574">
        <v>6.68</v>
      </c>
      <c r="OI54">
        <v>582</v>
      </c>
      <c r="OJ54">
        <v>598</v>
      </c>
      <c r="OK54" s="574">
        <v>22.03</v>
      </c>
      <c r="OL54" s="574">
        <v>1.89</v>
      </c>
      <c r="OM54" s="574">
        <v>1.37</v>
      </c>
      <c r="ON54">
        <v>0.50270000000000004</v>
      </c>
      <c r="OO54">
        <v>4.6199999999999998E-2</v>
      </c>
      <c r="OP54">
        <v>0.87280000000000002</v>
      </c>
      <c r="OQ54" s="574">
        <v>3.81</v>
      </c>
      <c r="OR54" s="574">
        <v>17.07</v>
      </c>
      <c r="OS54" s="574">
        <v>0.28000000000000003</v>
      </c>
      <c r="OT54" s="574">
        <v>0.87</v>
      </c>
      <c r="OU54" s="574">
        <v>22.03</v>
      </c>
      <c r="OV54">
        <v>0</v>
      </c>
      <c r="OW54">
        <v>0</v>
      </c>
      <c r="OX54">
        <v>0.88</v>
      </c>
      <c r="OY54" s="1">
        <v>1986</v>
      </c>
      <c r="OZ54">
        <v>18.309999999999999</v>
      </c>
      <c r="PA54" s="1">
        <v>2269</v>
      </c>
      <c r="PB54">
        <v>0.53</v>
      </c>
      <c r="PC54">
        <v>16.03</v>
      </c>
      <c r="PD54">
        <v>0.03</v>
      </c>
      <c r="PE54">
        <v>66</v>
      </c>
      <c r="PF54">
        <v>1.21</v>
      </c>
      <c r="PG54" s="574">
        <v>0.35</v>
      </c>
      <c r="PH54">
        <v>1.06</v>
      </c>
      <c r="PI54">
        <v>29.74</v>
      </c>
      <c r="PJ54">
        <v>9.1199999999999992</v>
      </c>
      <c r="PK54" s="574">
        <v>4.05</v>
      </c>
      <c r="PL54">
        <v>41.29</v>
      </c>
      <c r="PM54" s="4">
        <v>26774</v>
      </c>
      <c r="PN54" s="4">
        <v>20288</v>
      </c>
      <c r="PO54">
        <v>0.10539999999999999</v>
      </c>
      <c r="PP54">
        <v>3.1619999999999999</v>
      </c>
      <c r="PQ54">
        <v>9.2299999999999993E-2</v>
      </c>
      <c r="PR54">
        <v>9.7000000000000003E-3</v>
      </c>
      <c r="PS54">
        <v>0.29039999999999999</v>
      </c>
      <c r="PT54">
        <v>8.5000000000000006E-3</v>
      </c>
      <c r="PU54" s="3">
        <v>1</v>
      </c>
      <c r="PV54" s="3">
        <v>9.1800000000000007E-2</v>
      </c>
      <c r="PW54" s="3">
        <v>0.90820000000000001</v>
      </c>
      <c r="PX54" s="3">
        <v>0.24229999999999999</v>
      </c>
      <c r="PY54" s="3">
        <v>0.75770000000000004</v>
      </c>
      <c r="PZ54" s="3">
        <v>8.5999999999999993E-2</v>
      </c>
      <c r="QA54" s="3">
        <v>8.2000000000000007E-3</v>
      </c>
      <c r="QB54" s="3">
        <v>0.14799999999999999</v>
      </c>
      <c r="QC54" s="3">
        <v>1.5800000000000002E-2</v>
      </c>
      <c r="QD54" s="3">
        <v>0.30309999999999998</v>
      </c>
      <c r="QE54" s="3">
        <v>6.2E-2</v>
      </c>
      <c r="QF54" s="3">
        <v>0.46289999999999998</v>
      </c>
      <c r="QG54" s="3">
        <v>0.6109</v>
      </c>
      <c r="QH54" s="3">
        <v>1.26E-2</v>
      </c>
      <c r="QI54" s="3">
        <v>0.77490000000000003</v>
      </c>
      <c r="QJ54" s="3">
        <v>3.9699999999999999E-2</v>
      </c>
      <c r="QK54" s="3">
        <v>0.17280000000000001</v>
      </c>
      <c r="QL54" s="4">
        <v>6486</v>
      </c>
      <c r="QM54">
        <v>10.41</v>
      </c>
      <c r="QN54" s="1">
        <v>21663</v>
      </c>
      <c r="QO54" s="1">
        <v>21663</v>
      </c>
      <c r="QP54" s="1">
        <v>1989</v>
      </c>
      <c r="QQ54" s="3">
        <v>0.7208</v>
      </c>
      <c r="QR54" s="3">
        <v>9.5100000000000004E-2</v>
      </c>
      <c r="QS54" s="3">
        <v>0.1842</v>
      </c>
      <c r="QT54" s="3">
        <v>9.1800000000000007E-2</v>
      </c>
      <c r="QU54">
        <v>0.47</v>
      </c>
      <c r="QV54">
        <v>1.46</v>
      </c>
      <c r="QW54">
        <v>0.35</v>
      </c>
      <c r="QX54">
        <v>26</v>
      </c>
      <c r="QY54">
        <v>3.49</v>
      </c>
      <c r="QZ54">
        <v>14</v>
      </c>
      <c r="RA54">
        <v>2.52</v>
      </c>
      <c r="RB54">
        <v>0.22</v>
      </c>
      <c r="RC54">
        <v>0.22</v>
      </c>
    </row>
    <row r="55" spans="1:471" x14ac:dyDescent="0.25">
      <c r="A55" t="s">
        <v>1021</v>
      </c>
      <c r="B55">
        <v>11683</v>
      </c>
      <c r="C55" t="s">
        <v>1754</v>
      </c>
      <c r="D55" t="s">
        <v>1754</v>
      </c>
      <c r="E55" t="s">
        <v>1754</v>
      </c>
      <c r="F55" t="s">
        <v>1755</v>
      </c>
      <c r="G55" t="s">
        <v>1755</v>
      </c>
      <c r="H55" t="s">
        <v>1022</v>
      </c>
      <c r="I55" t="s">
        <v>342</v>
      </c>
      <c r="J55" t="s">
        <v>343</v>
      </c>
      <c r="K55" t="s">
        <v>344</v>
      </c>
      <c r="L55" t="s">
        <v>345</v>
      </c>
      <c r="M55" t="s">
        <v>346</v>
      </c>
      <c r="N55" t="s">
        <v>347</v>
      </c>
      <c r="O55" s="1">
        <v>45370</v>
      </c>
      <c r="P55" t="s">
        <v>348</v>
      </c>
      <c r="Q55">
        <v>625</v>
      </c>
      <c r="R55">
        <v>75</v>
      </c>
      <c r="S55">
        <v>62</v>
      </c>
      <c r="T55">
        <v>16</v>
      </c>
      <c r="U55" s="1">
        <v>2305</v>
      </c>
      <c r="V55">
        <v>148</v>
      </c>
      <c r="W55" s="1">
        <v>15023</v>
      </c>
      <c r="X55" s="1">
        <v>1990</v>
      </c>
      <c r="Y55" s="1">
        <v>947880</v>
      </c>
      <c r="Z55" s="1">
        <v>142500</v>
      </c>
      <c r="AC55" t="s">
        <v>1023</v>
      </c>
      <c r="AD55" t="s">
        <v>1024</v>
      </c>
      <c r="AE55">
        <v>28752</v>
      </c>
      <c r="AF55">
        <v>3906</v>
      </c>
      <c r="AG55" t="s">
        <v>1023</v>
      </c>
      <c r="AH55" t="s">
        <v>1024</v>
      </c>
      <c r="AI55">
        <v>28752</v>
      </c>
      <c r="AJ55">
        <v>1</v>
      </c>
      <c r="AK55" t="s">
        <v>1025</v>
      </c>
      <c r="AM55" t="s">
        <v>0</v>
      </c>
      <c r="AN55" t="s">
        <v>1026</v>
      </c>
      <c r="AO55" t="s">
        <v>1027</v>
      </c>
      <c r="AP55">
        <v>8286523858</v>
      </c>
      <c r="AQ55" t="s">
        <v>1029</v>
      </c>
      <c r="AR55" t="s">
        <v>1030</v>
      </c>
      <c r="AS55" t="s">
        <v>1027</v>
      </c>
      <c r="AT55" t="s">
        <v>1</v>
      </c>
      <c r="AU55" t="s">
        <v>1028</v>
      </c>
      <c r="AV55" t="s">
        <v>1029</v>
      </c>
      <c r="AW55" t="s">
        <v>1030</v>
      </c>
      <c r="AX55" t="s">
        <v>1031</v>
      </c>
      <c r="AY55">
        <v>0</v>
      </c>
      <c r="AZ55">
        <v>0</v>
      </c>
      <c r="BA55">
        <v>0</v>
      </c>
      <c r="BB55" s="573">
        <v>42186</v>
      </c>
      <c r="BC55" s="573">
        <v>42551</v>
      </c>
      <c r="BD55">
        <v>1</v>
      </c>
      <c r="BE55">
        <v>1</v>
      </c>
      <c r="BF55">
        <v>0</v>
      </c>
      <c r="BG55">
        <v>0</v>
      </c>
      <c r="BH55">
        <v>2</v>
      </c>
      <c r="BJ55" s="1">
        <v>4186</v>
      </c>
      <c r="BK55">
        <v>1</v>
      </c>
      <c r="BL55">
        <v>0</v>
      </c>
      <c r="BM55">
        <v>1</v>
      </c>
      <c r="BN55">
        <v>18.45</v>
      </c>
      <c r="BO55">
        <v>19.45</v>
      </c>
      <c r="BP55" s="3">
        <v>5.1400000000000001E-2</v>
      </c>
      <c r="BQ55">
        <v>750</v>
      </c>
      <c r="BR55" s="4">
        <v>57646</v>
      </c>
      <c r="DW55" s="4">
        <v>0</v>
      </c>
      <c r="DX55" s="4">
        <v>681518</v>
      </c>
      <c r="DY55" s="4">
        <v>681518</v>
      </c>
      <c r="DZ55" s="4">
        <v>105234</v>
      </c>
      <c r="EA55" s="4">
        <v>0</v>
      </c>
      <c r="EB55" s="4">
        <v>105234</v>
      </c>
      <c r="EC55" s="4">
        <v>750</v>
      </c>
      <c r="ED55" s="4">
        <v>0</v>
      </c>
      <c r="EE55" s="4">
        <v>750</v>
      </c>
      <c r="EF55" s="4">
        <v>2432</v>
      </c>
      <c r="EG55" s="4">
        <v>789934</v>
      </c>
      <c r="EH55" s="4">
        <v>378713</v>
      </c>
      <c r="EI55" s="4">
        <v>126623</v>
      </c>
      <c r="EJ55" s="4">
        <v>505336</v>
      </c>
      <c r="EK55" s="4">
        <v>64129</v>
      </c>
      <c r="EL55" s="4">
        <v>10180</v>
      </c>
      <c r="EM55" s="4">
        <v>10692</v>
      </c>
      <c r="EN55" s="4">
        <v>85001</v>
      </c>
      <c r="EO55" s="4">
        <v>132200</v>
      </c>
      <c r="EP55" s="4">
        <v>722537</v>
      </c>
      <c r="EQ55" s="4">
        <v>67397</v>
      </c>
      <c r="ER55" s="3">
        <v>8.5300000000000001E-2</v>
      </c>
      <c r="ES55" s="4">
        <v>3000</v>
      </c>
      <c r="ET55" s="4">
        <v>0</v>
      </c>
      <c r="EU55" s="4">
        <v>0</v>
      </c>
      <c r="EV55" s="4">
        <v>0</v>
      </c>
      <c r="EW55" s="4">
        <v>3000</v>
      </c>
      <c r="EX55" s="4">
        <v>3000</v>
      </c>
      <c r="EY55" s="1">
        <v>15807</v>
      </c>
      <c r="EZ55" s="1">
        <v>157288</v>
      </c>
      <c r="FA55" s="1">
        <v>24012</v>
      </c>
      <c r="FB55" s="1">
        <v>3080</v>
      </c>
      <c r="FC55" s="1">
        <v>14797</v>
      </c>
      <c r="FD55" s="1">
        <v>39058</v>
      </c>
      <c r="FE55">
        <v>818</v>
      </c>
      <c r="FF55" s="1">
        <v>8197</v>
      </c>
      <c r="FG55" s="1">
        <v>63070</v>
      </c>
      <c r="FH55" s="1">
        <v>3898</v>
      </c>
      <c r="FI55" s="1">
        <v>22994</v>
      </c>
      <c r="FJ55" s="1">
        <v>89962</v>
      </c>
      <c r="FK55">
        <v>402</v>
      </c>
      <c r="FL55">
        <v>91</v>
      </c>
      <c r="FN55" s="1">
        <v>89962</v>
      </c>
      <c r="FO55" s="1">
        <v>5783</v>
      </c>
      <c r="FP55" s="1">
        <v>6819</v>
      </c>
      <c r="FQ55">
        <v>222</v>
      </c>
      <c r="FR55">
        <v>2</v>
      </c>
      <c r="FS55">
        <v>74</v>
      </c>
      <c r="FT55">
        <v>76</v>
      </c>
      <c r="FU55" s="1">
        <v>26725</v>
      </c>
      <c r="FV55" s="1">
        <v>2022</v>
      </c>
      <c r="FW55">
        <v>0</v>
      </c>
      <c r="GC55" s="1">
        <v>23798</v>
      </c>
      <c r="GD55" s="1">
        <v>1183</v>
      </c>
      <c r="GE55">
        <v>205</v>
      </c>
      <c r="GK55">
        <v>0</v>
      </c>
      <c r="GL55">
        <v>0</v>
      </c>
      <c r="GM55">
        <v>0</v>
      </c>
      <c r="GN55">
        <v>0</v>
      </c>
      <c r="GO55" s="1">
        <v>50523</v>
      </c>
      <c r="GP55" s="1">
        <v>3205</v>
      </c>
      <c r="GQ55">
        <v>205</v>
      </c>
      <c r="GR55">
        <v>0</v>
      </c>
      <c r="GS55">
        <v>24</v>
      </c>
      <c r="GU55" s="1">
        <v>48686</v>
      </c>
      <c r="GV55" s="1">
        <v>5141</v>
      </c>
      <c r="GW55" s="1">
        <v>24309</v>
      </c>
      <c r="GX55" s="1">
        <v>15034</v>
      </c>
      <c r="GY55">
        <v>459</v>
      </c>
      <c r="GZ55" s="1">
        <v>4326</v>
      </c>
      <c r="HA55" s="1">
        <v>63720</v>
      </c>
      <c r="HB55" s="1">
        <v>5600</v>
      </c>
      <c r="HC55" s="1">
        <v>28635</v>
      </c>
      <c r="HD55" s="1">
        <v>97955</v>
      </c>
      <c r="HE55" s="1">
        <v>2392</v>
      </c>
      <c r="HF55" s="1">
        <v>100589</v>
      </c>
      <c r="HG55" s="1">
        <v>10560</v>
      </c>
      <c r="HH55" s="1">
        <v>36228</v>
      </c>
      <c r="HI55">
        <v>242</v>
      </c>
      <c r="HJ55">
        <v>24</v>
      </c>
      <c r="HK55" s="1">
        <v>46812</v>
      </c>
      <c r="HL55" s="1">
        <v>147401</v>
      </c>
      <c r="HM55">
        <v>1</v>
      </c>
      <c r="HN55" s="1">
        <v>12177</v>
      </c>
      <c r="HO55" s="1">
        <v>12178</v>
      </c>
      <c r="HP55">
        <v>1</v>
      </c>
      <c r="HQ55">
        <v>982</v>
      </c>
      <c r="HR55">
        <v>983</v>
      </c>
      <c r="HS55">
        <v>0</v>
      </c>
      <c r="HT55">
        <v>44</v>
      </c>
      <c r="HU55">
        <v>44</v>
      </c>
      <c r="HV55">
        <v>0</v>
      </c>
      <c r="HW55" s="1">
        <v>13205</v>
      </c>
      <c r="HX55">
        <v>628</v>
      </c>
      <c r="HY55">
        <v>0</v>
      </c>
      <c r="HZ55">
        <v>628</v>
      </c>
      <c r="IA55" s="1">
        <v>13833</v>
      </c>
      <c r="IB55" s="1">
        <v>11543</v>
      </c>
      <c r="IC55" s="1">
        <v>47815</v>
      </c>
      <c r="ID55" s="1">
        <v>160606</v>
      </c>
      <c r="IE55" s="1">
        <v>160606</v>
      </c>
      <c r="IF55" s="1">
        <v>161234</v>
      </c>
      <c r="IG55" s="1">
        <v>45057</v>
      </c>
      <c r="IH55">
        <v>38</v>
      </c>
      <c r="IK55">
        <v>1</v>
      </c>
      <c r="IL55" s="3">
        <v>4.4699999999999997E-2</v>
      </c>
      <c r="IM55" s="3">
        <v>5.9999999999999995E-4</v>
      </c>
      <c r="IN55" s="3">
        <v>0.34289999999999998</v>
      </c>
      <c r="IO55" s="3">
        <v>0</v>
      </c>
      <c r="IP55" s="3">
        <v>0.32119999999999999</v>
      </c>
      <c r="IQ55" s="3">
        <v>5.0000000000000001E-4</v>
      </c>
      <c r="IR55" s="3">
        <v>0.57199999999999995</v>
      </c>
      <c r="IS55" s="3">
        <v>5.7099999999999998E-2</v>
      </c>
      <c r="IT55" s="3">
        <v>0.28050000000000003</v>
      </c>
      <c r="IU55" s="1">
        <v>22884</v>
      </c>
      <c r="IV55" s="1">
        <v>5110</v>
      </c>
      <c r="IW55" s="1">
        <v>27994</v>
      </c>
      <c r="IX55" s="3">
        <v>0.61699999999999999</v>
      </c>
      <c r="IY55" s="1">
        <v>110986</v>
      </c>
      <c r="JA55">
        <v>62</v>
      </c>
      <c r="JB55">
        <v>30</v>
      </c>
      <c r="JC55">
        <v>507</v>
      </c>
      <c r="JD55">
        <v>0</v>
      </c>
      <c r="JE55">
        <v>0</v>
      </c>
      <c r="JF55">
        <v>15</v>
      </c>
      <c r="JG55">
        <v>62</v>
      </c>
      <c r="JH55">
        <v>30</v>
      </c>
      <c r="JI55">
        <v>522</v>
      </c>
      <c r="JJ55">
        <v>614</v>
      </c>
      <c r="JK55">
        <v>599</v>
      </c>
      <c r="JL55">
        <v>15</v>
      </c>
      <c r="JM55">
        <v>320</v>
      </c>
      <c r="JN55">
        <v>324</v>
      </c>
      <c r="JO55" s="1">
        <v>5369</v>
      </c>
      <c r="JP55">
        <v>0</v>
      </c>
      <c r="JQ55">
        <v>0</v>
      </c>
      <c r="JR55">
        <v>450</v>
      </c>
      <c r="JS55">
        <v>320</v>
      </c>
      <c r="JT55">
        <v>324</v>
      </c>
      <c r="JU55" s="1">
        <v>5819</v>
      </c>
      <c r="JV55" s="1">
        <v>6463</v>
      </c>
      <c r="JW55" s="1">
        <v>6013</v>
      </c>
      <c r="JX55">
        <v>450</v>
      </c>
      <c r="JY55">
        <v>10.53</v>
      </c>
      <c r="JZ55">
        <v>5.16</v>
      </c>
      <c r="KA55">
        <v>11.15</v>
      </c>
      <c r="KB55">
        <v>0.05</v>
      </c>
      <c r="KC55">
        <v>0.9</v>
      </c>
      <c r="KD55">
        <v>3</v>
      </c>
      <c r="KE55">
        <v>8</v>
      </c>
      <c r="KF55">
        <v>48</v>
      </c>
      <c r="KG55">
        <v>168</v>
      </c>
      <c r="KN55" s="1">
        <v>23726</v>
      </c>
      <c r="KO55" s="1">
        <v>13726</v>
      </c>
      <c r="KP55" s="1">
        <v>1515</v>
      </c>
      <c r="KR55">
        <v>438</v>
      </c>
      <c r="KS55" s="1">
        <v>1350</v>
      </c>
      <c r="KT55" s="1">
        <v>10433</v>
      </c>
      <c r="KU55" s="1">
        <v>10031</v>
      </c>
      <c r="KV55">
        <v>15</v>
      </c>
      <c r="KW55">
        <v>38</v>
      </c>
      <c r="KX55" s="1">
        <v>16595</v>
      </c>
      <c r="KZ55" s="1">
        <v>158784</v>
      </c>
      <c r="LA55" s="1">
        <v>8250</v>
      </c>
      <c r="LD55" t="s">
        <v>1025</v>
      </c>
      <c r="LE55" t="s">
        <v>379</v>
      </c>
      <c r="LF55" t="s">
        <v>1023</v>
      </c>
      <c r="LG55" t="s">
        <v>1024</v>
      </c>
      <c r="LH55">
        <v>28752</v>
      </c>
      <c r="LI55">
        <v>3906</v>
      </c>
      <c r="LJ55" t="s">
        <v>1023</v>
      </c>
      <c r="LK55" t="s">
        <v>1024</v>
      </c>
      <c r="LL55">
        <v>28752</v>
      </c>
      <c r="LM55">
        <v>3906</v>
      </c>
      <c r="LN55" t="s">
        <v>1026</v>
      </c>
      <c r="LO55">
        <v>8286523858</v>
      </c>
      <c r="LP55">
        <v>8286522098</v>
      </c>
      <c r="LQ55" s="1">
        <v>23290</v>
      </c>
      <c r="LR55">
        <v>9</v>
      </c>
      <c r="LT55" s="1">
        <v>4186</v>
      </c>
      <c r="LU55">
        <v>104</v>
      </c>
      <c r="LX55">
        <v>2</v>
      </c>
      <c r="LY55" t="s">
        <v>1032</v>
      </c>
      <c r="LZ55">
        <v>0</v>
      </c>
      <c r="MA55" t="s">
        <v>363</v>
      </c>
      <c r="MB55">
        <v>94</v>
      </c>
      <c r="MC55">
        <v>91</v>
      </c>
      <c r="ME55" s="574">
        <v>4.5</v>
      </c>
      <c r="MF55" s="574">
        <v>3.15</v>
      </c>
      <c r="MG55" s="574">
        <v>0.53</v>
      </c>
      <c r="MH55" s="574">
        <v>25.81</v>
      </c>
      <c r="MI55" s="574">
        <v>18.05</v>
      </c>
      <c r="MJ55" s="574">
        <v>3.04</v>
      </c>
      <c r="MK55" s="574">
        <v>6.51</v>
      </c>
      <c r="ML55" s="574">
        <v>4.55</v>
      </c>
      <c r="MM55" s="574">
        <v>0.77</v>
      </c>
      <c r="MN55" s="574">
        <v>30.45</v>
      </c>
      <c r="MO55" s="574">
        <v>21.3</v>
      </c>
      <c r="MP55" s="574">
        <v>3.58</v>
      </c>
      <c r="MQ55" s="574">
        <v>111.8</v>
      </c>
      <c r="MR55" s="574">
        <v>78.19</v>
      </c>
      <c r="MS55" s="574">
        <v>13.15</v>
      </c>
      <c r="MT55" s="574">
        <v>16.04</v>
      </c>
      <c r="MU55" s="574">
        <v>11.22</v>
      </c>
      <c r="MV55" s="574">
        <v>1.89</v>
      </c>
      <c r="MW55" s="1">
        <v>1220</v>
      </c>
      <c r="MX55" s="1">
        <v>23726</v>
      </c>
      <c r="MY55" s="1">
        <v>23726</v>
      </c>
      <c r="MZ55" s="1">
        <v>5706</v>
      </c>
      <c r="NA55" s="1">
        <v>110986</v>
      </c>
      <c r="NB55" s="1">
        <v>110986</v>
      </c>
      <c r="NC55" s="1">
        <v>160606</v>
      </c>
      <c r="ND55" s="1">
        <v>160606</v>
      </c>
      <c r="NE55">
        <v>1.02</v>
      </c>
      <c r="NF55" s="1">
        <v>8257</v>
      </c>
      <c r="NG55">
        <v>3.97</v>
      </c>
      <c r="NH55">
        <v>3.54</v>
      </c>
      <c r="NI55">
        <v>2.4500000000000002</v>
      </c>
      <c r="NJ55">
        <v>372.69</v>
      </c>
      <c r="NK55">
        <v>358.33</v>
      </c>
      <c r="NL55">
        <v>0.52290000000000003</v>
      </c>
      <c r="NM55">
        <v>0.99309999999999998</v>
      </c>
      <c r="NN55">
        <v>0.62</v>
      </c>
      <c r="NO55">
        <v>0.14000000000000001</v>
      </c>
      <c r="NP55">
        <v>0.23</v>
      </c>
      <c r="NQ55">
        <v>0.22</v>
      </c>
      <c r="NR55">
        <v>0.37</v>
      </c>
      <c r="NS55">
        <v>0.01</v>
      </c>
      <c r="NT55">
        <v>0.13</v>
      </c>
      <c r="NU55" s="574">
        <v>11.14</v>
      </c>
      <c r="NV55">
        <v>3.4670000000000001</v>
      </c>
      <c r="NW55">
        <v>0</v>
      </c>
      <c r="NX55">
        <v>2E-3</v>
      </c>
      <c r="NY55">
        <v>1.1140000000000001</v>
      </c>
      <c r="NZ55">
        <v>2E-3</v>
      </c>
      <c r="OA55">
        <v>3.5700000000000003E-2</v>
      </c>
      <c r="OB55">
        <v>0.69479999999999997</v>
      </c>
      <c r="OC55">
        <v>3.2509999999999999</v>
      </c>
      <c r="OD55">
        <v>1.9830000000000001</v>
      </c>
      <c r="OE55">
        <v>0.40670000000000001</v>
      </c>
      <c r="OF55" s="2">
        <v>1804.78</v>
      </c>
      <c r="OG55">
        <v>2.7149999999999999</v>
      </c>
      <c r="OH55" s="574">
        <v>2.91</v>
      </c>
      <c r="OI55">
        <v>321</v>
      </c>
      <c r="OJ55">
        <v>251</v>
      </c>
      <c r="OK55" s="574">
        <v>15.93</v>
      </c>
      <c r="OL55" s="574">
        <v>1.87</v>
      </c>
      <c r="OM55" s="574">
        <v>1.41</v>
      </c>
      <c r="ON55">
        <v>0.42870000000000003</v>
      </c>
      <c r="OO55">
        <v>2.1999999999999999E-2</v>
      </c>
      <c r="OP55">
        <v>0.65910000000000002</v>
      </c>
      <c r="OQ55" s="574">
        <v>2.3199999999999998</v>
      </c>
      <c r="OR55" s="574">
        <v>15.02</v>
      </c>
      <c r="OS55" s="574">
        <v>0.02</v>
      </c>
      <c r="OT55" s="574">
        <v>0.05</v>
      </c>
      <c r="OU55" s="574">
        <v>17.41</v>
      </c>
      <c r="OV55">
        <v>201</v>
      </c>
      <c r="OW55">
        <v>193</v>
      </c>
      <c r="OX55">
        <v>1.45</v>
      </c>
      <c r="OY55" s="1">
        <v>3089</v>
      </c>
      <c r="OZ55">
        <v>26.51</v>
      </c>
      <c r="PA55" s="1">
        <v>2134</v>
      </c>
      <c r="PB55">
        <v>5.67</v>
      </c>
      <c r="PC55">
        <v>38.369999999999997</v>
      </c>
      <c r="PD55">
        <v>0.21</v>
      </c>
      <c r="PE55">
        <v>456</v>
      </c>
      <c r="PF55">
        <v>0.98</v>
      </c>
      <c r="PG55" s="574">
        <v>0.77</v>
      </c>
      <c r="PH55">
        <v>1.42</v>
      </c>
      <c r="PI55">
        <v>9.23</v>
      </c>
      <c r="PJ55">
        <v>5.74</v>
      </c>
      <c r="PK55" s="574">
        <v>6.51</v>
      </c>
      <c r="PL55">
        <v>40.25</v>
      </c>
      <c r="PM55" s="4">
        <v>25981</v>
      </c>
      <c r="PN55" s="4">
        <v>19471</v>
      </c>
      <c r="PO55">
        <v>0.1211</v>
      </c>
      <c r="PP55">
        <v>0.81979999999999997</v>
      </c>
      <c r="PQ55">
        <v>0.17530000000000001</v>
      </c>
      <c r="PR55">
        <v>6.1999999999999998E-3</v>
      </c>
      <c r="PS55">
        <v>4.2200000000000001E-2</v>
      </c>
      <c r="PT55">
        <v>8.9999999999999993E-3</v>
      </c>
      <c r="PU55" s="3">
        <v>1</v>
      </c>
      <c r="PV55" s="3">
        <v>5.1400000000000001E-2</v>
      </c>
      <c r="PW55" s="3">
        <v>0.9486</v>
      </c>
      <c r="PX55" s="3">
        <v>0.25059999999999999</v>
      </c>
      <c r="PY55" s="3">
        <v>0.74939999999999996</v>
      </c>
      <c r="PZ55" s="3">
        <v>0.1176</v>
      </c>
      <c r="QA55" s="3">
        <v>1.41E-2</v>
      </c>
      <c r="QB55" s="3">
        <v>0.17519999999999999</v>
      </c>
      <c r="QC55" s="3">
        <v>1.4800000000000001E-2</v>
      </c>
      <c r="QD55" s="3">
        <v>0.183</v>
      </c>
      <c r="QE55" s="3">
        <v>8.8800000000000004E-2</v>
      </c>
      <c r="QF55" s="3">
        <v>0.52410000000000001</v>
      </c>
      <c r="QG55" s="3">
        <v>0.69940000000000002</v>
      </c>
      <c r="QH55" s="3">
        <v>8.9999999999999998E-4</v>
      </c>
      <c r="QI55" s="3">
        <v>0.86280000000000001</v>
      </c>
      <c r="QJ55" s="3">
        <v>3.0999999999999999E-3</v>
      </c>
      <c r="QK55" s="3">
        <v>0.13320000000000001</v>
      </c>
      <c r="QL55" s="4">
        <v>6510</v>
      </c>
      <c r="QM55">
        <v>3.96</v>
      </c>
      <c r="QN55" s="1">
        <v>45370</v>
      </c>
      <c r="QO55" s="1">
        <v>45370</v>
      </c>
      <c r="QP55" s="1">
        <v>2333</v>
      </c>
      <c r="QQ55" s="3">
        <v>0.75439999999999996</v>
      </c>
      <c r="QR55" s="3">
        <v>0.1198</v>
      </c>
      <c r="QS55" s="3">
        <v>0.1258</v>
      </c>
      <c r="QT55" s="3">
        <v>5.1400000000000001E-2</v>
      </c>
      <c r="QU55">
        <v>0.42</v>
      </c>
      <c r="QV55">
        <v>1.27</v>
      </c>
      <c r="QW55">
        <v>0.32</v>
      </c>
      <c r="QX55">
        <v>16</v>
      </c>
      <c r="QY55">
        <v>2.5</v>
      </c>
      <c r="QZ55">
        <v>15</v>
      </c>
      <c r="RA55">
        <v>1.89</v>
      </c>
      <c r="RB55">
        <v>0.22</v>
      </c>
      <c r="RC55">
        <v>0.2</v>
      </c>
    </row>
    <row r="56" spans="1:471" x14ac:dyDescent="0.25">
      <c r="A56" t="s">
        <v>1033</v>
      </c>
      <c r="B56">
        <v>11709</v>
      </c>
      <c r="C56" t="s">
        <v>1754</v>
      </c>
      <c r="D56" t="s">
        <v>1754</v>
      </c>
      <c r="E56" t="s">
        <v>1754</v>
      </c>
      <c r="F56" t="s">
        <v>1755</v>
      </c>
      <c r="G56" t="s">
        <v>1755</v>
      </c>
      <c r="H56" t="s">
        <v>1034</v>
      </c>
      <c r="I56" t="s">
        <v>342</v>
      </c>
      <c r="J56" t="s">
        <v>559</v>
      </c>
      <c r="K56" t="s">
        <v>533</v>
      </c>
      <c r="L56" t="s">
        <v>345</v>
      </c>
      <c r="M56" t="s">
        <v>560</v>
      </c>
      <c r="N56" t="s">
        <v>347</v>
      </c>
      <c r="O56" s="1">
        <v>37750</v>
      </c>
      <c r="P56" t="s">
        <v>348</v>
      </c>
      <c r="Q56">
        <v>696</v>
      </c>
      <c r="R56">
        <v>151</v>
      </c>
      <c r="S56">
        <v>110</v>
      </c>
      <c r="T56">
        <v>21</v>
      </c>
      <c r="U56" s="1">
        <v>4826</v>
      </c>
      <c r="V56">
        <v>237</v>
      </c>
      <c r="W56" s="1">
        <v>63069</v>
      </c>
      <c r="X56" s="1">
        <v>4953</v>
      </c>
      <c r="Y56" s="1">
        <v>306492</v>
      </c>
      <c r="Z56" s="1">
        <v>183802</v>
      </c>
      <c r="AC56" t="s">
        <v>1035</v>
      </c>
      <c r="AD56" t="s">
        <v>1036</v>
      </c>
      <c r="AE56">
        <v>28115</v>
      </c>
      <c r="AF56">
        <v>3262</v>
      </c>
      <c r="AG56" t="s">
        <v>1035</v>
      </c>
      <c r="AH56" t="s">
        <v>1036</v>
      </c>
      <c r="AI56">
        <v>28115</v>
      </c>
      <c r="AJ56">
        <v>3</v>
      </c>
      <c r="AK56" t="s">
        <v>1037</v>
      </c>
      <c r="AM56" t="s">
        <v>564</v>
      </c>
      <c r="AN56" t="s">
        <v>963</v>
      </c>
      <c r="AO56" t="s">
        <v>1038</v>
      </c>
      <c r="AP56">
        <v>7046603272</v>
      </c>
      <c r="AQ56" t="s">
        <v>1039</v>
      </c>
      <c r="AR56" t="s">
        <v>1040</v>
      </c>
      <c r="AS56" t="s">
        <v>1041</v>
      </c>
      <c r="AT56" t="s">
        <v>1042</v>
      </c>
      <c r="AU56" t="s">
        <v>1043</v>
      </c>
      <c r="AV56" t="s">
        <v>1044</v>
      </c>
      <c r="AW56" t="s">
        <v>1045</v>
      </c>
      <c r="AX56" t="s">
        <v>1046</v>
      </c>
      <c r="AY56">
        <v>0</v>
      </c>
      <c r="AZ56">
        <v>0</v>
      </c>
      <c r="BA56">
        <v>0</v>
      </c>
      <c r="BB56" s="573">
        <v>42186</v>
      </c>
      <c r="BC56" s="573">
        <v>42551</v>
      </c>
      <c r="BD56">
        <v>1</v>
      </c>
      <c r="BE56">
        <v>0</v>
      </c>
      <c r="BF56">
        <v>0</v>
      </c>
      <c r="BG56">
        <v>1</v>
      </c>
      <c r="BH56">
        <v>2</v>
      </c>
      <c r="BJ56" s="1">
        <v>3080</v>
      </c>
      <c r="BK56">
        <v>6</v>
      </c>
      <c r="BL56">
        <v>1</v>
      </c>
      <c r="BM56">
        <v>7</v>
      </c>
      <c r="BN56">
        <v>19.25</v>
      </c>
      <c r="BO56">
        <v>26.25</v>
      </c>
      <c r="BP56" s="3">
        <v>0.2286</v>
      </c>
      <c r="BQ56">
        <v>445</v>
      </c>
      <c r="BR56" s="4">
        <v>93312</v>
      </c>
      <c r="DW56" s="4">
        <v>621526</v>
      </c>
      <c r="DX56" s="4">
        <v>1274532</v>
      </c>
      <c r="DY56" s="4">
        <v>1896058</v>
      </c>
      <c r="DZ56" s="4">
        <v>23984</v>
      </c>
      <c r="EA56" s="4">
        <v>0</v>
      </c>
      <c r="EB56" s="4">
        <v>23984</v>
      </c>
      <c r="EC56" s="4">
        <v>0</v>
      </c>
      <c r="ED56" s="4">
        <v>0</v>
      </c>
      <c r="EE56" s="4">
        <v>0</v>
      </c>
      <c r="EF56" s="4">
        <v>88162</v>
      </c>
      <c r="EG56" s="4">
        <v>2008204</v>
      </c>
      <c r="EH56" s="4">
        <v>987122</v>
      </c>
      <c r="EI56" s="4">
        <v>364916</v>
      </c>
      <c r="EJ56" s="4">
        <v>1352038</v>
      </c>
      <c r="EK56" s="4">
        <v>186741</v>
      </c>
      <c r="EL56" s="4">
        <v>69738</v>
      </c>
      <c r="EM56" s="4">
        <v>65009</v>
      </c>
      <c r="EN56" s="4">
        <v>321488</v>
      </c>
      <c r="EO56" s="4">
        <v>334678</v>
      </c>
      <c r="EP56" s="4">
        <v>2008204</v>
      </c>
      <c r="EQ56" s="4">
        <v>0</v>
      </c>
      <c r="ER56" s="3">
        <v>0</v>
      </c>
      <c r="ES56" s="4">
        <v>0</v>
      </c>
      <c r="ET56" s="4">
        <v>0</v>
      </c>
      <c r="EU56" s="4">
        <v>0</v>
      </c>
      <c r="EV56" s="4">
        <v>0</v>
      </c>
      <c r="EW56" s="4">
        <v>0</v>
      </c>
      <c r="EX56" s="4">
        <v>272777</v>
      </c>
      <c r="EY56" s="1">
        <v>34326</v>
      </c>
      <c r="EZ56" s="1">
        <v>214064</v>
      </c>
      <c r="FA56" s="1">
        <v>22233</v>
      </c>
      <c r="FB56" s="1">
        <v>7731</v>
      </c>
      <c r="FC56" s="1">
        <v>28325</v>
      </c>
      <c r="FD56" s="1">
        <v>36119</v>
      </c>
      <c r="FE56" s="1">
        <v>2023</v>
      </c>
      <c r="FF56" s="1">
        <v>21046</v>
      </c>
      <c r="FG56" s="1">
        <v>58352</v>
      </c>
      <c r="FH56" s="1">
        <v>9754</v>
      </c>
      <c r="FI56" s="1">
        <v>49371</v>
      </c>
      <c r="FJ56" s="1">
        <v>117477</v>
      </c>
      <c r="FK56">
        <v>4</v>
      </c>
      <c r="FL56">
        <v>123</v>
      </c>
      <c r="FN56" s="1">
        <v>117477</v>
      </c>
      <c r="FO56" s="1">
        <v>6831</v>
      </c>
      <c r="FP56" s="1">
        <v>11015</v>
      </c>
      <c r="FQ56">
        <v>484</v>
      </c>
      <c r="FR56">
        <v>5</v>
      </c>
      <c r="FS56">
        <v>74</v>
      </c>
      <c r="FT56">
        <v>79</v>
      </c>
      <c r="FU56" s="1">
        <v>26725</v>
      </c>
      <c r="FV56" s="1">
        <v>2022</v>
      </c>
      <c r="FW56">
        <v>0</v>
      </c>
      <c r="GG56" s="1">
        <v>34298</v>
      </c>
      <c r="GH56" s="1">
        <v>13913</v>
      </c>
      <c r="GI56">
        <v>370</v>
      </c>
      <c r="GJ56">
        <v>87</v>
      </c>
      <c r="GK56">
        <v>383</v>
      </c>
      <c r="GL56">
        <v>175</v>
      </c>
      <c r="GM56">
        <v>0</v>
      </c>
      <c r="GN56">
        <v>78</v>
      </c>
      <c r="GO56" s="1">
        <v>61406</v>
      </c>
      <c r="GP56" s="1">
        <v>16110</v>
      </c>
      <c r="GQ56">
        <v>370</v>
      </c>
      <c r="GR56">
        <v>165</v>
      </c>
      <c r="GS56">
        <v>28</v>
      </c>
      <c r="GU56" s="1">
        <v>74070</v>
      </c>
      <c r="GV56" s="1">
        <v>13653</v>
      </c>
      <c r="GW56" s="1">
        <v>143341</v>
      </c>
      <c r="GX56" s="1">
        <v>41590</v>
      </c>
      <c r="GY56" s="1">
        <v>1279</v>
      </c>
      <c r="GZ56" s="1">
        <v>49631</v>
      </c>
      <c r="HA56" s="1">
        <v>115660</v>
      </c>
      <c r="HB56" s="1">
        <v>14932</v>
      </c>
      <c r="HC56" s="1">
        <v>192972</v>
      </c>
      <c r="HD56" s="1">
        <v>323564</v>
      </c>
      <c r="HE56">
        <v>42</v>
      </c>
      <c r="HF56" s="1">
        <v>323616</v>
      </c>
      <c r="HG56" s="1">
        <v>24085</v>
      </c>
      <c r="HH56" s="1">
        <v>100433</v>
      </c>
      <c r="HI56">
        <v>10</v>
      </c>
      <c r="HJ56">
        <v>0</v>
      </c>
      <c r="HK56" s="1">
        <v>124518</v>
      </c>
      <c r="HL56" s="1">
        <v>448134</v>
      </c>
      <c r="HM56">
        <v>30</v>
      </c>
      <c r="HN56" s="1">
        <v>33218</v>
      </c>
      <c r="HO56" s="1">
        <v>33248</v>
      </c>
      <c r="HP56">
        <v>193</v>
      </c>
      <c r="HQ56" s="1">
        <v>16042</v>
      </c>
      <c r="HR56" s="1">
        <v>16235</v>
      </c>
      <c r="HS56">
        <v>0</v>
      </c>
      <c r="HT56">
        <v>842</v>
      </c>
      <c r="HU56">
        <v>842</v>
      </c>
      <c r="HV56" s="1">
        <v>1551</v>
      </c>
      <c r="HW56" s="1">
        <v>51876</v>
      </c>
      <c r="HX56" s="1">
        <v>17884</v>
      </c>
      <c r="HY56">
        <v>0</v>
      </c>
      <c r="HZ56" s="1">
        <v>17884</v>
      </c>
      <c r="IA56" s="1">
        <v>69760</v>
      </c>
      <c r="IB56" s="1">
        <v>40320</v>
      </c>
      <c r="IC56" s="1">
        <v>141595</v>
      </c>
      <c r="ID56" s="1">
        <v>500010</v>
      </c>
      <c r="IE56" s="1">
        <v>500010</v>
      </c>
      <c r="IF56" s="1">
        <v>517894</v>
      </c>
      <c r="IG56" s="1">
        <v>207904</v>
      </c>
      <c r="IH56">
        <v>0</v>
      </c>
      <c r="IL56" s="3">
        <v>5.3199999999999997E-2</v>
      </c>
      <c r="IM56" s="3">
        <v>5.9999999999999995E-4</v>
      </c>
      <c r="IN56" s="3">
        <v>0.36459999999999998</v>
      </c>
      <c r="IO56" s="3">
        <v>0</v>
      </c>
      <c r="IP56" s="3">
        <v>0.28689999999999999</v>
      </c>
      <c r="IQ56" s="3">
        <v>4.0000000000000002E-4</v>
      </c>
      <c r="IR56" s="3">
        <v>0.54879999999999995</v>
      </c>
      <c r="IS56" s="3">
        <v>0.1072</v>
      </c>
      <c r="IT56" s="3">
        <v>0.4158</v>
      </c>
      <c r="IU56" s="1">
        <v>34002</v>
      </c>
      <c r="IV56" s="1">
        <v>9046</v>
      </c>
      <c r="IW56" s="1">
        <v>43048</v>
      </c>
      <c r="IX56" s="3">
        <v>1.1403000000000001</v>
      </c>
      <c r="IY56" s="1">
        <v>277105</v>
      </c>
      <c r="JA56">
        <v>102</v>
      </c>
      <c r="JB56">
        <v>21</v>
      </c>
      <c r="JC56">
        <v>432</v>
      </c>
      <c r="JD56">
        <v>12</v>
      </c>
      <c r="JE56">
        <v>2</v>
      </c>
      <c r="JF56">
        <v>390</v>
      </c>
      <c r="JG56">
        <v>114</v>
      </c>
      <c r="JH56">
        <v>23</v>
      </c>
      <c r="JI56">
        <v>822</v>
      </c>
      <c r="JJ56">
        <v>959</v>
      </c>
      <c r="JK56">
        <v>555</v>
      </c>
      <c r="JL56">
        <v>404</v>
      </c>
      <c r="JM56" s="1">
        <v>1163</v>
      </c>
      <c r="JN56">
        <v>237</v>
      </c>
      <c r="JO56" s="1">
        <v>15082</v>
      </c>
      <c r="JP56">
        <v>375</v>
      </c>
      <c r="JQ56">
        <v>70</v>
      </c>
      <c r="JR56" s="1">
        <v>24027</v>
      </c>
      <c r="JS56" s="1">
        <v>1538</v>
      </c>
      <c r="JT56">
        <v>307</v>
      </c>
      <c r="JU56" s="1">
        <v>39109</v>
      </c>
      <c r="JV56" s="1">
        <v>40954</v>
      </c>
      <c r="JW56" s="1">
        <v>16482</v>
      </c>
      <c r="JX56" s="1">
        <v>24472</v>
      </c>
      <c r="JY56">
        <v>42.7</v>
      </c>
      <c r="JZ56">
        <v>13.49</v>
      </c>
      <c r="KA56">
        <v>47.58</v>
      </c>
      <c r="KB56">
        <v>0.04</v>
      </c>
      <c r="KC56">
        <v>0.95</v>
      </c>
      <c r="KD56">
        <v>25</v>
      </c>
      <c r="KE56">
        <v>32</v>
      </c>
      <c r="KF56">
        <v>10</v>
      </c>
      <c r="KG56">
        <v>0</v>
      </c>
      <c r="KN56" s="1">
        <v>20748</v>
      </c>
      <c r="KO56" s="1">
        <v>11960</v>
      </c>
      <c r="KP56">
        <v>208</v>
      </c>
      <c r="KR56">
        <v>154</v>
      </c>
      <c r="KS56" s="1">
        <v>2885</v>
      </c>
      <c r="KT56">
        <v>19</v>
      </c>
      <c r="KU56">
        <v>212</v>
      </c>
      <c r="KV56">
        <v>26</v>
      </c>
      <c r="KW56">
        <v>44</v>
      </c>
      <c r="KX56" s="1">
        <v>45743</v>
      </c>
      <c r="LD56" t="s">
        <v>1037</v>
      </c>
      <c r="LE56" t="s">
        <v>361</v>
      </c>
      <c r="LF56" t="s">
        <v>1035</v>
      </c>
      <c r="LG56" t="s">
        <v>1036</v>
      </c>
      <c r="LH56">
        <v>28115</v>
      </c>
      <c r="LI56">
        <v>3262</v>
      </c>
      <c r="LJ56" t="s">
        <v>1035</v>
      </c>
      <c r="LK56" t="s">
        <v>1036</v>
      </c>
      <c r="LL56">
        <v>28115</v>
      </c>
      <c r="LM56">
        <v>3262</v>
      </c>
      <c r="LN56" t="s">
        <v>963</v>
      </c>
      <c r="LO56">
        <v>7046642927</v>
      </c>
      <c r="LP56">
        <v>7046603292</v>
      </c>
      <c r="LQ56" s="1">
        <v>34000</v>
      </c>
      <c r="LR56">
        <v>26.25</v>
      </c>
      <c r="LT56" s="1">
        <v>3080</v>
      </c>
      <c r="LU56">
        <v>52</v>
      </c>
      <c r="LX56">
        <v>2</v>
      </c>
      <c r="LY56" t="s">
        <v>1047</v>
      </c>
      <c r="LZ56">
        <v>0</v>
      </c>
      <c r="MA56" t="s">
        <v>363</v>
      </c>
      <c r="MB56">
        <v>320.39999999999998</v>
      </c>
      <c r="MC56">
        <v>259.67</v>
      </c>
      <c r="ME56" s="574">
        <v>4.0199999999999996</v>
      </c>
      <c r="MF56" s="574">
        <v>2.7</v>
      </c>
      <c r="MG56" s="574">
        <v>0.64</v>
      </c>
      <c r="MH56" s="574">
        <v>46.65</v>
      </c>
      <c r="MI56" s="574">
        <v>31.41</v>
      </c>
      <c r="MJ56" s="574">
        <v>7.47</v>
      </c>
      <c r="MK56" s="574">
        <v>7.25</v>
      </c>
      <c r="ML56" s="574">
        <v>4.88</v>
      </c>
      <c r="MM56" s="574">
        <v>1.1599999999999999</v>
      </c>
      <c r="MN56" s="574">
        <v>96.79</v>
      </c>
      <c r="MO56" s="574">
        <v>65.16</v>
      </c>
      <c r="MP56" s="574">
        <v>15.49</v>
      </c>
      <c r="MQ56" s="574">
        <v>49.04</v>
      </c>
      <c r="MR56" s="574">
        <v>33.01</v>
      </c>
      <c r="MS56" s="574">
        <v>7.85</v>
      </c>
      <c r="MT56" s="574">
        <v>9.66</v>
      </c>
      <c r="MU56" s="574">
        <v>6.5</v>
      </c>
      <c r="MV56" s="574">
        <v>1.55</v>
      </c>
      <c r="MW56">
        <v>790</v>
      </c>
      <c r="MX56" s="1">
        <v>3458</v>
      </c>
      <c r="MY56" s="1">
        <v>2964</v>
      </c>
      <c r="MZ56" s="1">
        <v>10556</v>
      </c>
      <c r="NA56" s="1">
        <v>46184</v>
      </c>
      <c r="NB56" s="1">
        <v>39586</v>
      </c>
      <c r="NC56" s="1">
        <v>71430</v>
      </c>
      <c r="ND56" s="1">
        <v>83335</v>
      </c>
      <c r="NE56">
        <v>2.34</v>
      </c>
      <c r="NF56" s="1">
        <v>19048</v>
      </c>
      <c r="NG56">
        <v>9.16</v>
      </c>
      <c r="NH56">
        <v>13.244999999999999</v>
      </c>
      <c r="NI56">
        <v>7.34</v>
      </c>
      <c r="NJ56">
        <v>0.44</v>
      </c>
      <c r="NK56">
        <v>4.92</v>
      </c>
      <c r="NL56">
        <v>0.54959999999999998</v>
      </c>
      <c r="NM56">
        <v>5.5073999999999996</v>
      </c>
      <c r="NN56">
        <v>1.1399999999999999</v>
      </c>
      <c r="NO56">
        <v>1.08</v>
      </c>
      <c r="NP56">
        <v>0</v>
      </c>
      <c r="NQ56">
        <v>0.01</v>
      </c>
      <c r="NR56">
        <v>1.21</v>
      </c>
      <c r="NS56">
        <v>0.04</v>
      </c>
      <c r="NT56">
        <v>1.04</v>
      </c>
      <c r="NU56" s="574">
        <v>35.82</v>
      </c>
      <c r="NV56">
        <v>5.6710000000000003</v>
      </c>
      <c r="NW56">
        <v>0</v>
      </c>
      <c r="NX56">
        <v>3.0000000000000001E-3</v>
      </c>
      <c r="NY56">
        <v>1.627</v>
      </c>
      <c r="NZ56">
        <v>2E-3</v>
      </c>
      <c r="OA56">
        <v>0.1394</v>
      </c>
      <c r="OB56">
        <v>0.60980000000000001</v>
      </c>
      <c r="OC56">
        <v>2.8570000000000002</v>
      </c>
      <c r="OD56">
        <v>3.1120000000000001</v>
      </c>
      <c r="OE56">
        <v>0.50990000000000002</v>
      </c>
      <c r="OF56" s="2">
        <v>1426.454</v>
      </c>
      <c r="OG56">
        <v>1.835</v>
      </c>
      <c r="OH56" s="574">
        <v>8.8699999999999992</v>
      </c>
      <c r="OI56">
        <v>533</v>
      </c>
      <c r="OJ56">
        <v>264</v>
      </c>
      <c r="OK56" s="574">
        <v>53.2</v>
      </c>
      <c r="OL56" s="574">
        <v>8.52</v>
      </c>
      <c r="OM56" s="574">
        <v>4.95</v>
      </c>
      <c r="ON56">
        <v>0.69540000000000002</v>
      </c>
      <c r="OO56">
        <v>0.15890000000000001</v>
      </c>
      <c r="OP56">
        <v>0.44719999999999999</v>
      </c>
      <c r="OQ56" s="574">
        <v>0.64</v>
      </c>
      <c r="OR56" s="574">
        <v>50.23</v>
      </c>
      <c r="OS56" s="574">
        <v>0</v>
      </c>
      <c r="OT56" s="574">
        <v>2.34</v>
      </c>
      <c r="OU56" s="574">
        <v>53.2</v>
      </c>
      <c r="OV56">
        <v>0</v>
      </c>
      <c r="OW56">
        <v>4</v>
      </c>
      <c r="OX56">
        <v>1.8</v>
      </c>
      <c r="OY56" s="1">
        <v>9616</v>
      </c>
      <c r="OZ56">
        <v>89.97</v>
      </c>
      <c r="PA56" s="1">
        <v>5329</v>
      </c>
      <c r="PB56">
        <v>6.74</v>
      </c>
      <c r="PC56">
        <v>162.34</v>
      </c>
      <c r="PD56">
        <v>7.0000000000000007E-2</v>
      </c>
      <c r="PE56">
        <v>399</v>
      </c>
      <c r="PF56">
        <v>0.43</v>
      </c>
      <c r="PG56" s="574">
        <v>1.1599999999999999</v>
      </c>
      <c r="PH56">
        <v>0.77</v>
      </c>
      <c r="PI56">
        <v>8.16</v>
      </c>
      <c r="PJ56">
        <v>11.62</v>
      </c>
      <c r="PK56" s="574">
        <v>7.25</v>
      </c>
      <c r="PL56">
        <v>29.62</v>
      </c>
      <c r="PM56" s="4">
        <v>51506</v>
      </c>
      <c r="PN56" s="4">
        <v>37605</v>
      </c>
      <c r="PO56">
        <v>5.2499999999999998E-2</v>
      </c>
      <c r="PP56">
        <v>1.2652000000000001</v>
      </c>
      <c r="PQ56">
        <v>9.4700000000000006E-2</v>
      </c>
      <c r="PR56">
        <v>1.2E-2</v>
      </c>
      <c r="PS56">
        <v>0.28920000000000001</v>
      </c>
      <c r="PT56">
        <v>2.1700000000000001E-2</v>
      </c>
      <c r="PU56" s="3">
        <v>0.85709999999999997</v>
      </c>
      <c r="PV56" s="3">
        <v>0.26669999999999999</v>
      </c>
      <c r="PW56" s="3">
        <v>0.73329999999999995</v>
      </c>
      <c r="PX56" s="3">
        <v>0.26989999999999997</v>
      </c>
      <c r="PY56" s="3">
        <v>0.73009999999999997</v>
      </c>
      <c r="PZ56" s="3">
        <v>0.16009999999999999</v>
      </c>
      <c r="QA56" s="3">
        <v>3.4700000000000002E-2</v>
      </c>
      <c r="QB56" s="3">
        <v>0.1817</v>
      </c>
      <c r="QC56" s="3">
        <v>3.2399999999999998E-2</v>
      </c>
      <c r="QD56" s="3">
        <v>0.16669999999999999</v>
      </c>
      <c r="QE56" s="3">
        <v>9.2999999999999999E-2</v>
      </c>
      <c r="QF56" s="3">
        <v>0.49149999999999999</v>
      </c>
      <c r="QG56" s="3">
        <v>0.67330000000000001</v>
      </c>
      <c r="QH56" s="3">
        <v>0</v>
      </c>
      <c r="QI56" s="3">
        <v>0.94420000000000004</v>
      </c>
      <c r="QJ56" s="3">
        <v>4.3900000000000002E-2</v>
      </c>
      <c r="QK56" s="3">
        <v>1.1900000000000001E-2</v>
      </c>
      <c r="QL56" s="4">
        <v>13902</v>
      </c>
      <c r="QM56">
        <v>6.44</v>
      </c>
      <c r="QN56" s="1">
        <v>5393</v>
      </c>
      <c r="QO56" s="1">
        <v>6292</v>
      </c>
      <c r="QP56" s="1">
        <v>1438</v>
      </c>
      <c r="QQ56" s="3">
        <v>0.58089999999999997</v>
      </c>
      <c r="QR56" s="3">
        <v>0.21690000000000001</v>
      </c>
      <c r="QS56" s="3">
        <v>0.20219999999999999</v>
      </c>
      <c r="QT56" s="3">
        <v>0.2286</v>
      </c>
      <c r="QU56">
        <v>0.51</v>
      </c>
      <c r="QV56">
        <v>1.37</v>
      </c>
      <c r="QW56">
        <v>0.37</v>
      </c>
      <c r="QX56">
        <v>7</v>
      </c>
      <c r="QY56">
        <v>2.68</v>
      </c>
      <c r="QZ56">
        <v>8</v>
      </c>
      <c r="RA56">
        <v>1.56</v>
      </c>
      <c r="RB56">
        <v>0.25</v>
      </c>
      <c r="RC56">
        <v>0.25</v>
      </c>
    </row>
    <row r="57" spans="1:471" x14ac:dyDescent="0.25">
      <c r="A57" t="s">
        <v>1048</v>
      </c>
      <c r="B57">
        <v>11650</v>
      </c>
      <c r="C57" t="s">
        <v>1754</v>
      </c>
      <c r="D57" t="s">
        <v>1754</v>
      </c>
      <c r="E57" t="s">
        <v>1754</v>
      </c>
      <c r="F57" t="s">
        <v>1755</v>
      </c>
      <c r="G57" t="s">
        <v>1755</v>
      </c>
      <c r="H57" t="s">
        <v>1049</v>
      </c>
      <c r="I57" t="s">
        <v>342</v>
      </c>
      <c r="J57" t="s">
        <v>366</v>
      </c>
      <c r="K57" t="s">
        <v>344</v>
      </c>
      <c r="L57" t="s">
        <v>345</v>
      </c>
      <c r="M57" t="s">
        <v>367</v>
      </c>
      <c r="N57" t="s">
        <v>347</v>
      </c>
      <c r="O57" s="1">
        <v>47567</v>
      </c>
      <c r="P57" t="s">
        <v>348</v>
      </c>
      <c r="Q57">
        <v>216</v>
      </c>
      <c r="R57">
        <v>44</v>
      </c>
      <c r="S57">
        <v>136</v>
      </c>
      <c r="T57">
        <v>11</v>
      </c>
      <c r="U57" s="1">
        <v>2436</v>
      </c>
      <c r="V57">
        <v>95</v>
      </c>
      <c r="W57" s="1">
        <v>9813</v>
      </c>
      <c r="X57" s="1">
        <v>1334</v>
      </c>
      <c r="Y57" s="1">
        <v>241920</v>
      </c>
      <c r="Z57" s="1">
        <v>94500</v>
      </c>
      <c r="AC57" t="s">
        <v>1050</v>
      </c>
      <c r="AD57" t="s">
        <v>1051</v>
      </c>
      <c r="AE57">
        <v>28906</v>
      </c>
      <c r="AF57">
        <v>2950</v>
      </c>
      <c r="AG57" t="s">
        <v>1050</v>
      </c>
      <c r="AH57" t="s">
        <v>1051</v>
      </c>
      <c r="AI57">
        <v>28906</v>
      </c>
      <c r="AJ57">
        <v>2</v>
      </c>
      <c r="AK57" t="s">
        <v>1052</v>
      </c>
      <c r="AM57" t="s">
        <v>372</v>
      </c>
      <c r="AN57" t="s">
        <v>1053</v>
      </c>
      <c r="AO57" t="s">
        <v>1054</v>
      </c>
      <c r="AP57">
        <v>8288372025</v>
      </c>
      <c r="AQ57" t="s">
        <v>1056</v>
      </c>
      <c r="AR57" t="s">
        <v>1057</v>
      </c>
      <c r="AS57" t="s">
        <v>1054</v>
      </c>
      <c r="AT57" t="s">
        <v>376</v>
      </c>
      <c r="AU57" t="s">
        <v>1055</v>
      </c>
      <c r="AV57" t="s">
        <v>1056</v>
      </c>
      <c r="AW57" t="s">
        <v>1057</v>
      </c>
      <c r="AX57" t="s">
        <v>1058</v>
      </c>
      <c r="AY57">
        <v>0</v>
      </c>
      <c r="AZ57">
        <v>0</v>
      </c>
      <c r="BA57">
        <v>0</v>
      </c>
      <c r="BB57" s="573">
        <v>42186</v>
      </c>
      <c r="BC57" s="573">
        <v>42551</v>
      </c>
      <c r="BD57">
        <v>0</v>
      </c>
      <c r="BE57">
        <v>4</v>
      </c>
      <c r="BF57">
        <v>1</v>
      </c>
      <c r="BG57">
        <v>0</v>
      </c>
      <c r="BH57">
        <v>5</v>
      </c>
      <c r="BJ57" s="1">
        <v>11986</v>
      </c>
      <c r="BK57">
        <v>3.78</v>
      </c>
      <c r="BL57">
        <v>0</v>
      </c>
      <c r="BM57">
        <v>3.78</v>
      </c>
      <c r="BN57">
        <v>11.04</v>
      </c>
      <c r="BO57">
        <v>14.82</v>
      </c>
      <c r="BP57" s="3">
        <v>0.25509999999999999</v>
      </c>
      <c r="BQ57" s="1">
        <v>1617</v>
      </c>
      <c r="BR57" s="4">
        <v>51500</v>
      </c>
      <c r="DW57" s="4">
        <v>529645</v>
      </c>
      <c r="DX57" s="4">
        <v>357545</v>
      </c>
      <c r="DY57" s="4">
        <v>887190</v>
      </c>
      <c r="DZ57" s="4">
        <v>296450</v>
      </c>
      <c r="EA57" s="4">
        <v>0</v>
      </c>
      <c r="EB57" s="4">
        <v>296450</v>
      </c>
      <c r="EC57" s="4">
        <v>0</v>
      </c>
      <c r="ED57" s="4">
        <v>0</v>
      </c>
      <c r="EE57" s="4">
        <v>0</v>
      </c>
      <c r="EF57" s="4">
        <v>34600</v>
      </c>
      <c r="EG57" s="4">
        <v>1218240</v>
      </c>
      <c r="EH57" s="4">
        <v>508634</v>
      </c>
      <c r="EI57" s="4">
        <v>269516</v>
      </c>
      <c r="EJ57" s="4">
        <v>778150</v>
      </c>
      <c r="EK57" s="4">
        <v>73495</v>
      </c>
      <c r="EL57" s="4">
        <v>12480</v>
      </c>
      <c r="EM57" s="4">
        <v>0</v>
      </c>
      <c r="EN57" s="4">
        <v>85975</v>
      </c>
      <c r="EO57" s="4">
        <v>202673</v>
      </c>
      <c r="EP57" s="4">
        <v>1066798</v>
      </c>
      <c r="EQ57" s="4">
        <v>151442</v>
      </c>
      <c r="ER57" s="3">
        <v>0.12429999999999999</v>
      </c>
      <c r="ES57" s="4">
        <v>0</v>
      </c>
      <c r="ET57" s="4">
        <v>0</v>
      </c>
      <c r="EU57" s="4">
        <v>0</v>
      </c>
      <c r="EV57" s="4">
        <v>0</v>
      </c>
      <c r="EW57" s="4">
        <v>0</v>
      </c>
      <c r="EX57" s="4">
        <v>152553</v>
      </c>
      <c r="EY57" s="1">
        <v>21579</v>
      </c>
      <c r="EZ57" s="1">
        <v>201356</v>
      </c>
      <c r="FA57" s="1">
        <v>67131</v>
      </c>
      <c r="FB57" s="1">
        <v>4963</v>
      </c>
      <c r="FC57" s="1">
        <v>29495</v>
      </c>
      <c r="FD57" s="1">
        <v>38720</v>
      </c>
      <c r="FE57">
        <v>674</v>
      </c>
      <c r="FF57" s="1">
        <v>11677</v>
      </c>
      <c r="FG57" s="1">
        <v>105851</v>
      </c>
      <c r="FH57" s="1">
        <v>5637</v>
      </c>
      <c r="FI57" s="1">
        <v>41172</v>
      </c>
      <c r="FJ57" s="1">
        <v>152660</v>
      </c>
      <c r="FK57">
        <v>0</v>
      </c>
      <c r="FL57">
        <v>236</v>
      </c>
      <c r="FN57" s="1">
        <v>152660</v>
      </c>
      <c r="FO57" s="1">
        <v>7271</v>
      </c>
      <c r="FP57" s="1">
        <v>12153</v>
      </c>
      <c r="FQ57">
        <v>65</v>
      </c>
      <c r="FR57">
        <v>2</v>
      </c>
      <c r="FS57">
        <v>74</v>
      </c>
      <c r="FT57">
        <v>76</v>
      </c>
      <c r="FU57" s="1">
        <v>26725</v>
      </c>
      <c r="FV57" s="1">
        <v>2022</v>
      </c>
      <c r="FW57">
        <v>0</v>
      </c>
      <c r="GK57">
        <v>15</v>
      </c>
      <c r="GL57">
        <v>119</v>
      </c>
      <c r="GM57">
        <v>14</v>
      </c>
      <c r="GN57">
        <v>0</v>
      </c>
      <c r="GO57" s="1">
        <v>26740</v>
      </c>
      <c r="GP57" s="1">
        <v>2141</v>
      </c>
      <c r="GQ57">
        <v>14</v>
      </c>
      <c r="GR57">
        <v>0</v>
      </c>
      <c r="GS57">
        <v>56</v>
      </c>
      <c r="GU57" s="1">
        <v>107599</v>
      </c>
      <c r="GV57" s="1">
        <v>6236</v>
      </c>
      <c r="GW57" s="1">
        <v>48419</v>
      </c>
      <c r="GX57" s="1">
        <v>14568</v>
      </c>
      <c r="GY57">
        <v>158</v>
      </c>
      <c r="GZ57" s="1">
        <v>10690</v>
      </c>
      <c r="HA57" s="1">
        <v>122167</v>
      </c>
      <c r="HB57" s="1">
        <v>6394</v>
      </c>
      <c r="HC57" s="1">
        <v>59109</v>
      </c>
      <c r="HD57" s="1">
        <v>187670</v>
      </c>
      <c r="HE57" s="1">
        <v>4261</v>
      </c>
      <c r="HF57" s="1">
        <v>191931</v>
      </c>
      <c r="HG57" s="1">
        <v>9661</v>
      </c>
      <c r="HH57" s="1">
        <v>52022</v>
      </c>
      <c r="HI57">
        <v>0</v>
      </c>
      <c r="HJ57">
        <v>59</v>
      </c>
      <c r="HK57" s="1">
        <v>61742</v>
      </c>
      <c r="HL57" s="1">
        <v>253673</v>
      </c>
      <c r="HM57">
        <v>107</v>
      </c>
      <c r="HN57">
        <v>9</v>
      </c>
      <c r="HO57">
        <v>116</v>
      </c>
      <c r="HP57">
        <v>830</v>
      </c>
      <c r="HQ57">
        <v>201</v>
      </c>
      <c r="HR57" s="1">
        <v>1031</v>
      </c>
      <c r="HS57">
        <v>0</v>
      </c>
      <c r="HT57">
        <v>51</v>
      </c>
      <c r="HU57">
        <v>51</v>
      </c>
      <c r="HV57">
        <v>0</v>
      </c>
      <c r="HW57" s="1">
        <v>1198</v>
      </c>
      <c r="HX57" s="1">
        <v>15199</v>
      </c>
      <c r="HY57" s="1">
        <v>53651</v>
      </c>
      <c r="HZ57" s="1">
        <v>68850</v>
      </c>
      <c r="IA57" s="1">
        <v>70048</v>
      </c>
      <c r="IB57" s="1">
        <v>10692</v>
      </c>
      <c r="IC57" s="1">
        <v>62765</v>
      </c>
      <c r="ID57" s="1">
        <v>254871</v>
      </c>
      <c r="IE57" s="1">
        <v>254871</v>
      </c>
      <c r="IF57" s="1">
        <v>323721</v>
      </c>
      <c r="IG57" s="1">
        <v>64034</v>
      </c>
      <c r="IH57">
        <v>256</v>
      </c>
      <c r="IK57">
        <v>1</v>
      </c>
      <c r="IL57" s="3">
        <v>6.0400000000000002E-2</v>
      </c>
      <c r="IM57" s="3">
        <v>1.1999999999999999E-3</v>
      </c>
      <c r="IN57" s="3">
        <v>0.14349999999999999</v>
      </c>
      <c r="IO57" s="3">
        <v>0</v>
      </c>
      <c r="IP57" s="3">
        <v>0.1328</v>
      </c>
      <c r="IQ57" s="3">
        <v>4.0000000000000002E-4</v>
      </c>
      <c r="IR57" s="3">
        <v>0.75819999999999999</v>
      </c>
      <c r="IS57" s="3">
        <v>4.6699999999999998E-2</v>
      </c>
      <c r="IT57" s="3">
        <v>0.25119999999999998</v>
      </c>
      <c r="IU57" s="1">
        <v>28832</v>
      </c>
      <c r="IV57" s="1">
        <v>7056</v>
      </c>
      <c r="IW57" s="1">
        <v>35888</v>
      </c>
      <c r="IX57" s="3">
        <v>0.75449999999999995</v>
      </c>
      <c r="IY57" s="1">
        <v>255832</v>
      </c>
      <c r="JA57">
        <v>287</v>
      </c>
      <c r="JB57">
        <v>27</v>
      </c>
      <c r="JC57">
        <v>338</v>
      </c>
      <c r="JD57">
        <v>1</v>
      </c>
      <c r="JE57">
        <v>0</v>
      </c>
      <c r="JF57">
        <v>119</v>
      </c>
      <c r="JG57">
        <v>288</v>
      </c>
      <c r="JH57">
        <v>27</v>
      </c>
      <c r="JI57">
        <v>457</v>
      </c>
      <c r="JJ57">
        <v>772</v>
      </c>
      <c r="JK57">
        <v>652</v>
      </c>
      <c r="JL57">
        <v>120</v>
      </c>
      <c r="JM57" s="1">
        <v>4605</v>
      </c>
      <c r="JN57">
        <v>349</v>
      </c>
      <c r="JO57" s="1">
        <v>8691</v>
      </c>
      <c r="JP57">
        <v>29</v>
      </c>
      <c r="JQ57">
        <v>0</v>
      </c>
      <c r="JR57" s="1">
        <v>2614</v>
      </c>
      <c r="JS57" s="1">
        <v>4634</v>
      </c>
      <c r="JT57">
        <v>349</v>
      </c>
      <c r="JU57" s="1">
        <v>11305</v>
      </c>
      <c r="JV57" s="1">
        <v>16288</v>
      </c>
      <c r="JW57" s="1">
        <v>13645</v>
      </c>
      <c r="JX57" s="1">
        <v>2643</v>
      </c>
      <c r="JY57">
        <v>21.1</v>
      </c>
      <c r="JZ57">
        <v>16.09</v>
      </c>
      <c r="KA57">
        <v>24.74</v>
      </c>
      <c r="KB57">
        <v>0.28000000000000003</v>
      </c>
      <c r="KC57">
        <v>0.69</v>
      </c>
      <c r="KD57">
        <v>0</v>
      </c>
      <c r="KE57">
        <v>0</v>
      </c>
      <c r="KF57">
        <v>25</v>
      </c>
      <c r="KG57">
        <v>131</v>
      </c>
      <c r="KN57" s="1">
        <v>85978</v>
      </c>
      <c r="KO57" s="1">
        <v>2510</v>
      </c>
      <c r="KP57">
        <v>154</v>
      </c>
      <c r="KR57">
        <v>264</v>
      </c>
      <c r="KS57" s="1">
        <v>3221</v>
      </c>
      <c r="KT57">
        <v>18</v>
      </c>
      <c r="KU57">
        <v>201</v>
      </c>
      <c r="KV57">
        <v>23</v>
      </c>
      <c r="KW57">
        <v>72</v>
      </c>
      <c r="KX57" s="1">
        <v>53651</v>
      </c>
      <c r="KZ57" s="1">
        <v>145775</v>
      </c>
      <c r="LA57" s="1">
        <v>8049</v>
      </c>
      <c r="LD57" t="s">
        <v>1059</v>
      </c>
      <c r="LE57" t="s">
        <v>361</v>
      </c>
      <c r="LF57" t="s">
        <v>1060</v>
      </c>
      <c r="LG57" t="s">
        <v>1061</v>
      </c>
      <c r="LH57">
        <v>28901</v>
      </c>
      <c r="LI57">
        <v>700</v>
      </c>
      <c r="LJ57" t="s">
        <v>1062</v>
      </c>
      <c r="LK57" t="s">
        <v>1061</v>
      </c>
      <c r="LL57">
        <v>28901</v>
      </c>
      <c r="LM57">
        <v>700</v>
      </c>
      <c r="LN57" t="s">
        <v>1053</v>
      </c>
      <c r="LO57">
        <v>8283215956</v>
      </c>
      <c r="LP57">
        <v>8283213256</v>
      </c>
      <c r="LQ57" s="1">
        <v>37868</v>
      </c>
      <c r="LR57">
        <v>12.94</v>
      </c>
      <c r="LT57" s="1">
        <v>11986</v>
      </c>
      <c r="LU57">
        <v>260</v>
      </c>
      <c r="LX57">
        <v>2</v>
      </c>
      <c r="LY57" t="s">
        <v>1063</v>
      </c>
      <c r="LZ57">
        <v>0</v>
      </c>
      <c r="MA57" t="s">
        <v>408</v>
      </c>
      <c r="MB57">
        <v>96.25</v>
      </c>
      <c r="MC57">
        <v>94.61</v>
      </c>
      <c r="ME57" s="574">
        <v>4.1900000000000004</v>
      </c>
      <c r="MF57" s="574">
        <v>3.05</v>
      </c>
      <c r="MG57" s="574">
        <v>0.34</v>
      </c>
      <c r="MH57" s="574">
        <v>29.73</v>
      </c>
      <c r="MI57" s="574">
        <v>21.68</v>
      </c>
      <c r="MJ57" s="574">
        <v>2.4</v>
      </c>
      <c r="MK57" s="574">
        <v>4.17</v>
      </c>
      <c r="ML57" s="574">
        <v>3.04</v>
      </c>
      <c r="MM57" s="574">
        <v>0.34</v>
      </c>
      <c r="MN57" s="574">
        <v>12.41</v>
      </c>
      <c r="MO57" s="574">
        <v>9.0500000000000007</v>
      </c>
      <c r="MP57" s="574">
        <v>1</v>
      </c>
      <c r="MQ57" s="574">
        <v>65.5</v>
      </c>
      <c r="MR57" s="574">
        <v>47.77</v>
      </c>
      <c r="MS57" s="574">
        <v>5.28</v>
      </c>
      <c r="MT57" s="574">
        <v>16.66</v>
      </c>
      <c r="MU57" s="574">
        <v>12.15</v>
      </c>
      <c r="MV57" s="574">
        <v>1.34</v>
      </c>
      <c r="MW57" s="1">
        <v>5801</v>
      </c>
      <c r="MX57" s="1">
        <v>22746</v>
      </c>
      <c r="MY57" s="1">
        <v>22746</v>
      </c>
      <c r="MZ57" s="1">
        <v>17263</v>
      </c>
      <c r="NA57" s="1">
        <v>67680</v>
      </c>
      <c r="NB57" s="1">
        <v>67680</v>
      </c>
      <c r="NC57" s="1">
        <v>67426</v>
      </c>
      <c r="ND57" s="1">
        <v>67426</v>
      </c>
      <c r="NE57">
        <v>1.27</v>
      </c>
      <c r="NF57" s="1">
        <v>17198</v>
      </c>
      <c r="NG57">
        <v>8.27</v>
      </c>
      <c r="NH57">
        <v>5.3579999999999997</v>
      </c>
      <c r="NI57">
        <v>5.38</v>
      </c>
      <c r="NJ57">
        <v>0.5</v>
      </c>
      <c r="NK57">
        <v>5.6</v>
      </c>
      <c r="NL57">
        <v>1.8075000000000001</v>
      </c>
      <c r="NM57">
        <v>1.3462000000000001</v>
      </c>
      <c r="NN57">
        <v>0.75</v>
      </c>
      <c r="NO57">
        <v>0.34</v>
      </c>
      <c r="NP57">
        <v>0</v>
      </c>
      <c r="NQ57">
        <v>0</v>
      </c>
      <c r="NR57">
        <v>1.1299999999999999</v>
      </c>
      <c r="NS57">
        <v>0.1</v>
      </c>
      <c r="NT57">
        <v>0.24</v>
      </c>
      <c r="NU57" s="574">
        <v>16.36</v>
      </c>
      <c r="NV57">
        <v>4.2329999999999997</v>
      </c>
      <c r="NW57">
        <v>0</v>
      </c>
      <c r="NX57">
        <v>5.0000000000000001E-3</v>
      </c>
      <c r="NY57">
        <v>0.56200000000000006</v>
      </c>
      <c r="NZ57">
        <v>2E-3</v>
      </c>
      <c r="OA57">
        <v>0.1053</v>
      </c>
      <c r="OB57">
        <v>0.41299999999999998</v>
      </c>
      <c r="OC57">
        <v>6.5759999999999996</v>
      </c>
      <c r="OD57">
        <v>3.2090000000000001</v>
      </c>
      <c r="OE57">
        <v>0.2321</v>
      </c>
      <c r="OF57">
        <v>745.096</v>
      </c>
      <c r="OG57">
        <v>2.1179999999999999</v>
      </c>
      <c r="OH57" s="574">
        <v>4.26</v>
      </c>
      <c r="OI57">
        <v>262</v>
      </c>
      <c r="OJ57">
        <v>339</v>
      </c>
      <c r="OK57" s="574">
        <v>22.43</v>
      </c>
      <c r="OL57" s="574">
        <v>1.81</v>
      </c>
      <c r="OM57" s="574">
        <v>1.55</v>
      </c>
      <c r="ON57">
        <v>0.31159999999999999</v>
      </c>
      <c r="OO57">
        <v>7.9500000000000001E-2</v>
      </c>
      <c r="OP57">
        <v>0.30759999999999998</v>
      </c>
      <c r="OQ57" s="574">
        <v>6.23</v>
      </c>
      <c r="OR57" s="574">
        <v>18.649999999999999</v>
      </c>
      <c r="OS57" s="574">
        <v>0</v>
      </c>
      <c r="OT57" s="574">
        <v>0.73</v>
      </c>
      <c r="OU57" s="574">
        <v>25.61</v>
      </c>
      <c r="OV57">
        <v>0</v>
      </c>
      <c r="OW57">
        <v>4</v>
      </c>
      <c r="OX57">
        <v>1</v>
      </c>
      <c r="OY57" s="1">
        <v>4901</v>
      </c>
      <c r="OZ57">
        <v>21.34</v>
      </c>
      <c r="PA57" s="1">
        <v>4920</v>
      </c>
      <c r="PB57">
        <v>7.17</v>
      </c>
      <c r="PC57">
        <v>21.26</v>
      </c>
      <c r="PD57">
        <v>0.34</v>
      </c>
      <c r="PE57" s="1">
        <v>1653</v>
      </c>
      <c r="PF57">
        <v>0.79</v>
      </c>
      <c r="PG57" s="574">
        <v>0.34</v>
      </c>
      <c r="PH57">
        <v>0.79</v>
      </c>
      <c r="PI57">
        <v>25.2</v>
      </c>
      <c r="PJ57">
        <v>7.1</v>
      </c>
      <c r="PK57" s="574">
        <v>4.17</v>
      </c>
      <c r="PL57">
        <v>46.1</v>
      </c>
      <c r="PM57" s="4">
        <v>52507</v>
      </c>
      <c r="PN57" s="4">
        <v>34321</v>
      </c>
      <c r="PO57">
        <v>5.8200000000000002E-2</v>
      </c>
      <c r="PP57">
        <v>0.1724</v>
      </c>
      <c r="PQ57">
        <v>5.79E-2</v>
      </c>
      <c r="PR57">
        <v>1.4800000000000001E-2</v>
      </c>
      <c r="PS57">
        <v>4.3999999999999997E-2</v>
      </c>
      <c r="PT57">
        <v>1.4800000000000001E-2</v>
      </c>
      <c r="PU57" s="3">
        <v>1</v>
      </c>
      <c r="PV57" s="3">
        <v>0.25509999999999999</v>
      </c>
      <c r="PW57" s="3">
        <v>0.74490000000000001</v>
      </c>
      <c r="PX57" s="3">
        <v>0.34639999999999999</v>
      </c>
      <c r="PY57" s="3">
        <v>0.65359999999999996</v>
      </c>
      <c r="PZ57" s="3">
        <v>8.0600000000000005E-2</v>
      </c>
      <c r="QA57" s="3">
        <v>1.17E-2</v>
      </c>
      <c r="QB57" s="3">
        <v>0.25259999999999999</v>
      </c>
      <c r="QC57" s="3">
        <v>0</v>
      </c>
      <c r="QD57" s="3">
        <v>0.19</v>
      </c>
      <c r="QE57" s="3">
        <v>6.8900000000000003E-2</v>
      </c>
      <c r="QF57" s="3">
        <v>0.4768</v>
      </c>
      <c r="QG57" s="3">
        <v>0.72940000000000005</v>
      </c>
      <c r="QH57" s="3">
        <v>0</v>
      </c>
      <c r="QI57" s="3">
        <v>0.72829999999999995</v>
      </c>
      <c r="QJ57" s="3">
        <v>2.8400000000000002E-2</v>
      </c>
      <c r="QK57" s="3">
        <v>0.24329999999999999</v>
      </c>
      <c r="QL57" s="4">
        <v>18186</v>
      </c>
      <c r="QM57">
        <v>7.13</v>
      </c>
      <c r="QN57" s="1">
        <v>12584</v>
      </c>
      <c r="QO57" s="1">
        <v>12584</v>
      </c>
      <c r="QP57" s="1">
        <v>3210</v>
      </c>
      <c r="QQ57" s="3">
        <v>0.8548</v>
      </c>
      <c r="QR57" s="3">
        <v>0.1452</v>
      </c>
      <c r="QS57" s="3">
        <v>0</v>
      </c>
      <c r="QT57" s="3">
        <v>0.25509999999999999</v>
      </c>
      <c r="QU57">
        <v>0.5</v>
      </c>
      <c r="QV57">
        <v>0.95</v>
      </c>
      <c r="QW57">
        <v>0.33</v>
      </c>
      <c r="QX57">
        <v>20</v>
      </c>
      <c r="QY57">
        <v>3.47</v>
      </c>
      <c r="QZ57">
        <v>0</v>
      </c>
      <c r="RA57">
        <v>2.96</v>
      </c>
      <c r="RB57">
        <v>0.24</v>
      </c>
      <c r="RC57">
        <v>0.21</v>
      </c>
    </row>
    <row r="58" spans="1:471" x14ac:dyDescent="0.25">
      <c r="A58" t="s">
        <v>1064</v>
      </c>
      <c r="B58">
        <v>11651</v>
      </c>
      <c r="C58" t="s">
        <v>1754</v>
      </c>
      <c r="D58" t="s">
        <v>1754</v>
      </c>
      <c r="E58" t="s">
        <v>1754</v>
      </c>
      <c r="F58" t="s">
        <v>1755</v>
      </c>
      <c r="G58" t="s">
        <v>1755</v>
      </c>
      <c r="H58" t="s">
        <v>1065</v>
      </c>
      <c r="I58" t="s">
        <v>342</v>
      </c>
      <c r="J58" t="s">
        <v>366</v>
      </c>
      <c r="K58" t="s">
        <v>344</v>
      </c>
      <c r="L58" t="s">
        <v>345</v>
      </c>
      <c r="M58" t="s">
        <v>367</v>
      </c>
      <c r="N58" t="s">
        <v>347</v>
      </c>
      <c r="O58" s="1">
        <v>89919</v>
      </c>
      <c r="P58" t="s">
        <v>472</v>
      </c>
      <c r="Q58">
        <v>817</v>
      </c>
      <c r="R58">
        <v>12</v>
      </c>
      <c r="S58">
        <v>119</v>
      </c>
      <c r="T58">
        <v>6</v>
      </c>
      <c r="U58" s="1">
        <v>2885</v>
      </c>
      <c r="V58">
        <v>82</v>
      </c>
      <c r="W58" s="1">
        <v>14338</v>
      </c>
      <c r="X58" s="1">
        <v>2614</v>
      </c>
      <c r="Y58" s="1">
        <v>244800</v>
      </c>
      <c r="Z58" s="1">
        <v>124000</v>
      </c>
      <c r="AC58" t="s">
        <v>1066</v>
      </c>
      <c r="AD58" t="s">
        <v>1067</v>
      </c>
      <c r="AE58">
        <v>28501</v>
      </c>
      <c r="AF58">
        <v>4330</v>
      </c>
      <c r="AG58" t="s">
        <v>1066</v>
      </c>
      <c r="AH58" t="s">
        <v>1067</v>
      </c>
      <c r="AI58">
        <v>28501</v>
      </c>
      <c r="AJ58">
        <v>1</v>
      </c>
      <c r="AK58" t="s">
        <v>1068</v>
      </c>
      <c r="AM58" t="s">
        <v>372</v>
      </c>
      <c r="AN58" t="s">
        <v>524</v>
      </c>
      <c r="AO58" t="s">
        <v>1069</v>
      </c>
      <c r="AP58">
        <v>2525277066</v>
      </c>
      <c r="AQ58" t="s">
        <v>1071</v>
      </c>
      <c r="AR58" t="s">
        <v>1072</v>
      </c>
      <c r="AS58" t="s">
        <v>1073</v>
      </c>
      <c r="AT58" t="s">
        <v>764</v>
      </c>
      <c r="AU58" t="s">
        <v>1070</v>
      </c>
      <c r="AV58" t="s">
        <v>1071</v>
      </c>
      <c r="AW58" t="s">
        <v>1074</v>
      </c>
      <c r="AX58" t="s">
        <v>1075</v>
      </c>
      <c r="AY58">
        <v>0</v>
      </c>
      <c r="AZ58">
        <v>0</v>
      </c>
      <c r="BA58">
        <v>0</v>
      </c>
      <c r="BB58" s="573">
        <v>42186</v>
      </c>
      <c r="BC58" s="573">
        <v>42551</v>
      </c>
      <c r="BD58">
        <v>1</v>
      </c>
      <c r="BE58">
        <v>7</v>
      </c>
      <c r="BF58">
        <v>0</v>
      </c>
      <c r="BG58">
        <v>4</v>
      </c>
      <c r="BH58">
        <v>12</v>
      </c>
      <c r="BJ58" s="1">
        <v>17368</v>
      </c>
      <c r="BK58">
        <v>5</v>
      </c>
      <c r="BL58">
        <v>0</v>
      </c>
      <c r="BM58">
        <v>5</v>
      </c>
      <c r="BN58">
        <v>25.83</v>
      </c>
      <c r="BO58">
        <v>30.83</v>
      </c>
      <c r="BP58" s="3">
        <v>0.16220000000000001</v>
      </c>
      <c r="BQ58">
        <v>252</v>
      </c>
      <c r="BR58" s="4">
        <v>182688</v>
      </c>
      <c r="DW58" s="4">
        <v>199010</v>
      </c>
      <c r="DX58" s="4">
        <v>946490</v>
      </c>
      <c r="DY58" s="4">
        <v>1145500</v>
      </c>
      <c r="DZ58" s="4">
        <v>335231</v>
      </c>
      <c r="EA58" s="4">
        <v>0</v>
      </c>
      <c r="EB58" s="4">
        <v>335231</v>
      </c>
      <c r="EC58" s="4">
        <v>75824</v>
      </c>
      <c r="ED58" s="4">
        <v>0</v>
      </c>
      <c r="EE58" s="4">
        <v>75824</v>
      </c>
      <c r="EF58" s="4">
        <v>696612</v>
      </c>
      <c r="EG58" s="4">
        <v>2253167</v>
      </c>
      <c r="EH58" s="4">
        <v>898049</v>
      </c>
      <c r="EI58" s="4">
        <v>250521</v>
      </c>
      <c r="EJ58" s="4">
        <v>1148570</v>
      </c>
      <c r="EK58" s="4">
        <v>106479</v>
      </c>
      <c r="EL58" s="4">
        <v>53152</v>
      </c>
      <c r="EM58" s="4">
        <v>37375</v>
      </c>
      <c r="EN58" s="4">
        <v>197006</v>
      </c>
      <c r="EO58" s="4">
        <v>541442</v>
      </c>
      <c r="EP58" s="4">
        <v>1887018</v>
      </c>
      <c r="EQ58" s="4">
        <v>366149</v>
      </c>
      <c r="ER58" s="3">
        <v>0.16250000000000001</v>
      </c>
      <c r="ES58" s="4">
        <v>0</v>
      </c>
      <c r="ET58" s="4">
        <v>0</v>
      </c>
      <c r="EU58" s="4">
        <v>55000</v>
      </c>
      <c r="EV58" s="4">
        <v>0</v>
      </c>
      <c r="EW58" s="4">
        <v>55000</v>
      </c>
      <c r="EX58" s="4">
        <v>115487</v>
      </c>
      <c r="EY58" s="1">
        <v>21889</v>
      </c>
      <c r="EZ58" s="1">
        <v>199867</v>
      </c>
      <c r="FA58" s="1">
        <v>45252</v>
      </c>
      <c r="FB58" s="1">
        <v>6387</v>
      </c>
      <c r="FC58" s="1">
        <v>34480</v>
      </c>
      <c r="FD58" s="1">
        <v>45867</v>
      </c>
      <c r="FE58">
        <v>556</v>
      </c>
      <c r="FF58" s="1">
        <v>13730</v>
      </c>
      <c r="FG58" s="1">
        <v>91119</v>
      </c>
      <c r="FH58" s="1">
        <v>6943</v>
      </c>
      <c r="FI58" s="1">
        <v>48210</v>
      </c>
      <c r="FJ58" s="1">
        <v>146272</v>
      </c>
      <c r="FK58" s="1">
        <v>3089</v>
      </c>
      <c r="FL58">
        <v>333</v>
      </c>
      <c r="FN58" s="1">
        <v>146272</v>
      </c>
      <c r="FO58" s="1">
        <v>5098</v>
      </c>
      <c r="FP58" s="1">
        <v>9866</v>
      </c>
      <c r="FQ58">
        <v>542</v>
      </c>
      <c r="FR58">
        <v>4</v>
      </c>
      <c r="FS58">
        <v>74</v>
      </c>
      <c r="FT58">
        <v>78</v>
      </c>
      <c r="FU58" s="1">
        <v>26725</v>
      </c>
      <c r="FV58" s="1">
        <v>2022</v>
      </c>
      <c r="FW58">
        <v>0</v>
      </c>
      <c r="GK58">
        <v>889</v>
      </c>
      <c r="GL58" s="1">
        <v>4903</v>
      </c>
      <c r="GM58">
        <v>0</v>
      </c>
      <c r="GN58">
        <v>50</v>
      </c>
      <c r="GO58" s="1">
        <v>27614</v>
      </c>
      <c r="GP58" s="1">
        <v>6925</v>
      </c>
      <c r="GQ58">
        <v>0</v>
      </c>
      <c r="GR58">
        <v>50</v>
      </c>
      <c r="GS58">
        <v>30</v>
      </c>
      <c r="GU58" s="1">
        <v>85789</v>
      </c>
      <c r="GV58" s="1">
        <v>8212</v>
      </c>
      <c r="GW58" s="1">
        <v>45916</v>
      </c>
      <c r="GX58" s="1">
        <v>24141</v>
      </c>
      <c r="GY58">
        <v>264</v>
      </c>
      <c r="GZ58" s="1">
        <v>7964</v>
      </c>
      <c r="HA58" s="1">
        <v>109930</v>
      </c>
      <c r="HB58" s="1">
        <v>8476</v>
      </c>
      <c r="HC58" s="1">
        <v>53880</v>
      </c>
      <c r="HD58" s="1">
        <v>172286</v>
      </c>
      <c r="HE58" s="1">
        <v>3310</v>
      </c>
      <c r="HF58" s="1">
        <v>180111</v>
      </c>
      <c r="HG58" s="1">
        <v>7542</v>
      </c>
      <c r="HH58" s="1">
        <v>44315</v>
      </c>
      <c r="HI58" s="1">
        <v>4515</v>
      </c>
      <c r="HJ58">
        <v>696</v>
      </c>
      <c r="HK58" s="1">
        <v>52553</v>
      </c>
      <c r="HL58" s="1">
        <v>232664</v>
      </c>
      <c r="HM58">
        <v>42</v>
      </c>
      <c r="HN58" s="1">
        <v>4120</v>
      </c>
      <c r="HO58" s="1">
        <v>4162</v>
      </c>
      <c r="HP58">
        <v>334</v>
      </c>
      <c r="HQ58" s="1">
        <v>1018</v>
      </c>
      <c r="HR58" s="1">
        <v>1352</v>
      </c>
      <c r="HS58">
        <v>0</v>
      </c>
      <c r="HT58">
        <v>0</v>
      </c>
      <c r="HU58">
        <v>0</v>
      </c>
      <c r="HV58" s="1">
        <v>1083</v>
      </c>
      <c r="HW58" s="1">
        <v>6597</v>
      </c>
      <c r="HX58" s="1">
        <v>5757</v>
      </c>
      <c r="HY58" s="1">
        <v>4102</v>
      </c>
      <c r="HZ58" s="1">
        <v>9859</v>
      </c>
      <c r="IA58" s="1">
        <v>16456</v>
      </c>
      <c r="IB58" s="1">
        <v>8894</v>
      </c>
      <c r="IC58" s="1">
        <v>53209</v>
      </c>
      <c r="ID58" s="1">
        <v>239261</v>
      </c>
      <c r="IE58" s="1">
        <v>239261</v>
      </c>
      <c r="IF58" s="1">
        <v>249120</v>
      </c>
      <c r="IG58" s="1">
        <v>57504</v>
      </c>
      <c r="IH58" s="1">
        <v>5163</v>
      </c>
      <c r="IK58">
        <v>1</v>
      </c>
      <c r="IL58" s="3">
        <v>4.9399999999999999E-2</v>
      </c>
      <c r="IM58" s="3">
        <v>1.6999999999999999E-3</v>
      </c>
      <c r="IN58" s="3">
        <v>0.1731</v>
      </c>
      <c r="IO58" s="3">
        <v>0</v>
      </c>
      <c r="IP58" s="3">
        <v>0.13819999999999999</v>
      </c>
      <c r="IQ58" s="3">
        <v>4.0000000000000002E-4</v>
      </c>
      <c r="IR58" s="3">
        <v>0.73180000000000001</v>
      </c>
      <c r="IS58" s="3">
        <v>6.0199999999999997E-2</v>
      </c>
      <c r="IT58" s="3">
        <v>0.24030000000000001</v>
      </c>
      <c r="IU58" s="1">
        <v>40541</v>
      </c>
      <c r="IV58" s="1">
        <v>11508</v>
      </c>
      <c r="IW58" s="1">
        <v>52049</v>
      </c>
      <c r="IX58" s="3">
        <v>0.57879999999999998</v>
      </c>
      <c r="IY58" s="1">
        <v>432232</v>
      </c>
      <c r="JA58">
        <v>324</v>
      </c>
      <c r="JB58">
        <v>51</v>
      </c>
      <c r="JC58">
        <v>682</v>
      </c>
      <c r="JD58">
        <v>0</v>
      </c>
      <c r="JE58">
        <v>0</v>
      </c>
      <c r="JF58">
        <v>145</v>
      </c>
      <c r="JG58">
        <v>324</v>
      </c>
      <c r="JH58">
        <v>51</v>
      </c>
      <c r="JI58">
        <v>827</v>
      </c>
      <c r="JJ58" s="1">
        <v>1202</v>
      </c>
      <c r="JK58" s="1">
        <v>1057</v>
      </c>
      <c r="JL58">
        <v>145</v>
      </c>
      <c r="JM58" s="1">
        <v>3204</v>
      </c>
      <c r="JN58">
        <v>407</v>
      </c>
      <c r="JO58" s="1">
        <v>19415</v>
      </c>
      <c r="JP58">
        <v>0</v>
      </c>
      <c r="JQ58">
        <v>0</v>
      </c>
      <c r="JR58" s="1">
        <v>4776</v>
      </c>
      <c r="JS58" s="1">
        <v>3204</v>
      </c>
      <c r="JT58">
        <v>407</v>
      </c>
      <c r="JU58" s="1">
        <v>24191</v>
      </c>
      <c r="JV58" s="1">
        <v>27802</v>
      </c>
      <c r="JW58" s="1">
        <v>23026</v>
      </c>
      <c r="JX58" s="1">
        <v>4776</v>
      </c>
      <c r="JY58">
        <v>23.13</v>
      </c>
      <c r="JZ58">
        <v>9.89</v>
      </c>
      <c r="KA58">
        <v>29.25</v>
      </c>
      <c r="KB58">
        <v>0.12</v>
      </c>
      <c r="KC58">
        <v>0.87</v>
      </c>
      <c r="KD58">
        <v>0</v>
      </c>
      <c r="KE58">
        <v>0</v>
      </c>
      <c r="KF58">
        <v>44</v>
      </c>
      <c r="KG58">
        <v>164</v>
      </c>
      <c r="KN58" s="1">
        <v>123637</v>
      </c>
      <c r="KO58" s="1">
        <v>63837</v>
      </c>
      <c r="KP58" s="1">
        <v>21821</v>
      </c>
      <c r="KR58" s="1">
        <v>1902</v>
      </c>
      <c r="KS58" s="1">
        <v>5265</v>
      </c>
      <c r="KT58" s="1">
        <v>10509</v>
      </c>
      <c r="KU58" s="1">
        <v>9543</v>
      </c>
      <c r="KV58">
        <v>40</v>
      </c>
      <c r="KW58">
        <v>175</v>
      </c>
      <c r="KX58" s="1">
        <v>102701</v>
      </c>
      <c r="KZ58" s="1">
        <v>231330</v>
      </c>
      <c r="LD58" t="s">
        <v>1076</v>
      </c>
      <c r="LE58" t="s">
        <v>379</v>
      </c>
      <c r="LF58" t="s">
        <v>1066</v>
      </c>
      <c r="LG58" t="s">
        <v>1067</v>
      </c>
      <c r="LH58">
        <v>28501</v>
      </c>
      <c r="LI58">
        <v>4330</v>
      </c>
      <c r="LJ58" t="s">
        <v>1066</v>
      </c>
      <c r="LK58" t="s">
        <v>1067</v>
      </c>
      <c r="LL58">
        <v>28501</v>
      </c>
      <c r="LM58">
        <v>4330</v>
      </c>
      <c r="LN58" t="s">
        <v>524</v>
      </c>
      <c r="LO58">
        <v>2525277066</v>
      </c>
      <c r="LP58">
        <v>2525278220</v>
      </c>
      <c r="LQ58" s="1">
        <v>60942</v>
      </c>
      <c r="LR58">
        <v>30.83</v>
      </c>
      <c r="LT58" s="1">
        <v>17368</v>
      </c>
      <c r="LU58">
        <v>416</v>
      </c>
      <c r="LX58">
        <v>1</v>
      </c>
      <c r="LY58" t="s">
        <v>1077</v>
      </c>
      <c r="LZ58">
        <v>0</v>
      </c>
      <c r="MA58" t="s">
        <v>363</v>
      </c>
      <c r="MB58">
        <v>94.57</v>
      </c>
      <c r="MC58">
        <v>93.92</v>
      </c>
      <c r="ME58" s="574">
        <v>7.89</v>
      </c>
      <c r="MF58" s="574">
        <v>4.8</v>
      </c>
      <c r="MG58" s="574">
        <v>0.82</v>
      </c>
      <c r="MH58" s="574">
        <v>36.25</v>
      </c>
      <c r="MI58" s="574">
        <v>22.07</v>
      </c>
      <c r="MJ58" s="574">
        <v>3.79</v>
      </c>
      <c r="MK58" s="574">
        <v>4.37</v>
      </c>
      <c r="ML58" s="574">
        <v>2.66</v>
      </c>
      <c r="MM58" s="574">
        <v>0.46</v>
      </c>
      <c r="MN58" s="574">
        <v>15.26</v>
      </c>
      <c r="MO58" s="574">
        <v>9.2899999999999991</v>
      </c>
      <c r="MP58" s="574">
        <v>1.59</v>
      </c>
      <c r="MQ58" s="574">
        <v>67.87</v>
      </c>
      <c r="MR58" s="574">
        <v>41.31</v>
      </c>
      <c r="MS58" s="574">
        <v>7.09</v>
      </c>
      <c r="MT58" s="574">
        <v>32.82</v>
      </c>
      <c r="MU58" s="574">
        <v>19.97</v>
      </c>
      <c r="MV58" s="574">
        <v>3.43</v>
      </c>
      <c r="MW58" s="1">
        <v>4010</v>
      </c>
      <c r="MX58" s="1">
        <v>24727</v>
      </c>
      <c r="MY58" s="1">
        <v>24727</v>
      </c>
      <c r="MZ58" s="1">
        <v>14020</v>
      </c>
      <c r="NA58" s="1">
        <v>86446</v>
      </c>
      <c r="NB58" s="1">
        <v>86446</v>
      </c>
      <c r="NC58" s="1">
        <v>47852</v>
      </c>
      <c r="ND58" s="1">
        <v>47852</v>
      </c>
      <c r="NE58">
        <v>1.2</v>
      </c>
      <c r="NF58" s="1">
        <v>7761</v>
      </c>
      <c r="NG58">
        <v>3.73</v>
      </c>
      <c r="NH58">
        <v>2.661</v>
      </c>
      <c r="NI58">
        <v>4.8099999999999996</v>
      </c>
      <c r="NJ58">
        <v>201.91</v>
      </c>
      <c r="NK58">
        <v>183.35</v>
      </c>
      <c r="NL58">
        <v>1.375</v>
      </c>
      <c r="NM58">
        <v>0.63949999999999996</v>
      </c>
      <c r="NN58">
        <v>0.57999999999999996</v>
      </c>
      <c r="NO58">
        <v>0.31</v>
      </c>
      <c r="NP58">
        <v>0.12</v>
      </c>
      <c r="NQ58">
        <v>0.11</v>
      </c>
      <c r="NR58">
        <v>1.1399999999999999</v>
      </c>
      <c r="NS58">
        <v>0.04</v>
      </c>
      <c r="NT58">
        <v>0.27</v>
      </c>
      <c r="NU58" s="574">
        <v>12.77</v>
      </c>
      <c r="NV58">
        <v>2.2229999999999999</v>
      </c>
      <c r="NW58">
        <v>0</v>
      </c>
      <c r="NX58">
        <v>4.0000000000000001E-3</v>
      </c>
      <c r="NY58">
        <v>0.307</v>
      </c>
      <c r="NZ58">
        <v>1E-3</v>
      </c>
      <c r="OA58">
        <v>9.6100000000000005E-2</v>
      </c>
      <c r="OB58">
        <v>0.59230000000000005</v>
      </c>
      <c r="OC58">
        <v>6.3979999999999997</v>
      </c>
      <c r="OD58">
        <v>1.627</v>
      </c>
      <c r="OE58">
        <v>0.2873</v>
      </c>
      <c r="OF58">
        <v>530.53899999999999</v>
      </c>
      <c r="OG58">
        <v>1.4990000000000001</v>
      </c>
      <c r="OH58" s="574">
        <v>6.02</v>
      </c>
      <c r="OI58">
        <v>231</v>
      </c>
      <c r="OJ58">
        <v>190</v>
      </c>
      <c r="OK58" s="574">
        <v>20.99</v>
      </c>
      <c r="OL58" s="574">
        <v>2.19</v>
      </c>
      <c r="OM58" s="574">
        <v>1.18</v>
      </c>
      <c r="ON58">
        <v>0.34289999999999998</v>
      </c>
      <c r="OO58">
        <v>5.5599999999999997E-2</v>
      </c>
      <c r="OP58">
        <v>0.49630000000000002</v>
      </c>
      <c r="OQ58" s="574">
        <v>3.73</v>
      </c>
      <c r="OR58" s="574">
        <v>12.74</v>
      </c>
      <c r="OS58" s="574">
        <v>0.84</v>
      </c>
      <c r="OT58" s="574">
        <v>7.75</v>
      </c>
      <c r="OU58" s="574">
        <v>25.06</v>
      </c>
      <c r="OV58">
        <v>202</v>
      </c>
      <c r="OW58">
        <v>184</v>
      </c>
      <c r="OX58">
        <v>0.55000000000000004</v>
      </c>
      <c r="OY58" s="1">
        <v>4601</v>
      </c>
      <c r="OZ58">
        <v>24.89</v>
      </c>
      <c r="PA58" s="1">
        <v>8312</v>
      </c>
      <c r="PB58">
        <v>7.12</v>
      </c>
      <c r="PC58">
        <v>13.78</v>
      </c>
      <c r="PD58">
        <v>0.28999999999999998</v>
      </c>
      <c r="PE58" s="1">
        <v>2378</v>
      </c>
      <c r="PF58">
        <v>0.84</v>
      </c>
      <c r="PG58" s="574">
        <v>0.46</v>
      </c>
      <c r="PH58">
        <v>0.46</v>
      </c>
      <c r="PI58">
        <v>19.32</v>
      </c>
      <c r="PJ58">
        <v>4.5999999999999996</v>
      </c>
      <c r="PK58" s="574">
        <v>4.37</v>
      </c>
      <c r="PL58">
        <v>27.83</v>
      </c>
      <c r="PM58" s="4">
        <v>37255</v>
      </c>
      <c r="PN58" s="4">
        <v>29129</v>
      </c>
      <c r="PO58">
        <v>0.12889999999999999</v>
      </c>
      <c r="PP58">
        <v>0.24940000000000001</v>
      </c>
      <c r="PQ58">
        <v>7.1300000000000002E-2</v>
      </c>
      <c r="PR58">
        <v>2.0899999999999998E-2</v>
      </c>
      <c r="PS58">
        <v>4.0399999999999998E-2</v>
      </c>
      <c r="PT58">
        <v>1.1599999999999999E-2</v>
      </c>
      <c r="PU58" s="3">
        <v>1</v>
      </c>
      <c r="PV58" s="3">
        <v>0.16220000000000001</v>
      </c>
      <c r="PW58" s="3">
        <v>0.83779999999999999</v>
      </c>
      <c r="PX58" s="3">
        <v>0.21809999999999999</v>
      </c>
      <c r="PY58" s="3">
        <v>0.78190000000000004</v>
      </c>
      <c r="PZ58" s="3">
        <v>0.10440000000000001</v>
      </c>
      <c r="QA58" s="3">
        <v>2.8199999999999999E-2</v>
      </c>
      <c r="QB58" s="3">
        <v>0.1328</v>
      </c>
      <c r="QC58" s="3">
        <v>1.9800000000000002E-2</v>
      </c>
      <c r="QD58" s="3">
        <v>0.28689999999999999</v>
      </c>
      <c r="QE58" s="3">
        <v>5.6399999999999999E-2</v>
      </c>
      <c r="QF58" s="3">
        <v>0.47589999999999999</v>
      </c>
      <c r="QG58" s="3">
        <v>0.60870000000000002</v>
      </c>
      <c r="QH58" s="3">
        <v>3.3700000000000001E-2</v>
      </c>
      <c r="QI58" s="3">
        <v>0.50839999999999996</v>
      </c>
      <c r="QJ58" s="3">
        <v>0.30919999999999997</v>
      </c>
      <c r="QK58" s="3">
        <v>0.14879999999999999</v>
      </c>
      <c r="QL58" s="4">
        <v>8126</v>
      </c>
      <c r="QM58">
        <v>8.3000000000000007</v>
      </c>
      <c r="QN58" s="1">
        <v>17984</v>
      </c>
      <c r="QO58" s="1">
        <v>17984</v>
      </c>
      <c r="QP58" s="1">
        <v>2917</v>
      </c>
      <c r="QQ58" s="3">
        <v>0.54049999999999998</v>
      </c>
      <c r="QR58" s="3">
        <v>0.26979999999999998</v>
      </c>
      <c r="QS58" s="3">
        <v>0.18970000000000001</v>
      </c>
      <c r="QT58" s="3">
        <v>0.16220000000000001</v>
      </c>
      <c r="QU58">
        <v>0.27</v>
      </c>
      <c r="QV58">
        <v>0.96</v>
      </c>
      <c r="QW58">
        <v>0.21</v>
      </c>
      <c r="QX58">
        <v>5</v>
      </c>
      <c r="QY58">
        <v>2.25</v>
      </c>
      <c r="QZ58">
        <v>6</v>
      </c>
      <c r="RA58">
        <v>1.21</v>
      </c>
      <c r="RB58">
        <v>0.13</v>
      </c>
      <c r="RC58">
        <v>0.11</v>
      </c>
    </row>
    <row r="59" spans="1:471" x14ac:dyDescent="0.25">
      <c r="A59" t="s">
        <v>1078</v>
      </c>
      <c r="B59">
        <v>11686</v>
      </c>
      <c r="C59" t="s">
        <v>1754</v>
      </c>
      <c r="D59" t="s">
        <v>1754</v>
      </c>
      <c r="E59" t="s">
        <v>1754</v>
      </c>
      <c r="F59" t="s">
        <v>1755</v>
      </c>
      <c r="G59" t="s">
        <v>1755</v>
      </c>
      <c r="H59" t="s">
        <v>1079</v>
      </c>
      <c r="I59" t="s">
        <v>342</v>
      </c>
      <c r="J59" t="s">
        <v>343</v>
      </c>
      <c r="K59" t="s">
        <v>344</v>
      </c>
      <c r="L59" t="s">
        <v>345</v>
      </c>
      <c r="M59" t="s">
        <v>346</v>
      </c>
      <c r="N59" t="s">
        <v>347</v>
      </c>
      <c r="O59" s="1">
        <v>220231</v>
      </c>
      <c r="Q59" s="1">
        <v>2262</v>
      </c>
      <c r="R59">
        <v>256</v>
      </c>
      <c r="S59">
        <v>410</v>
      </c>
      <c r="T59">
        <v>29</v>
      </c>
      <c r="U59" s="1">
        <v>11372</v>
      </c>
      <c r="V59">
        <v>95</v>
      </c>
      <c r="W59" s="1">
        <v>110566</v>
      </c>
      <c r="X59" s="1">
        <v>10085</v>
      </c>
      <c r="AC59" t="s">
        <v>1080</v>
      </c>
      <c r="AD59" t="s">
        <v>1081</v>
      </c>
      <c r="AE59">
        <v>28401</v>
      </c>
      <c r="AF59">
        <v>3942</v>
      </c>
      <c r="AG59" t="s">
        <v>1080</v>
      </c>
      <c r="AH59" t="s">
        <v>1081</v>
      </c>
      <c r="AI59">
        <v>28401</v>
      </c>
      <c r="AJ59">
        <v>3</v>
      </c>
      <c r="AK59" t="s">
        <v>1082</v>
      </c>
      <c r="AM59" t="s">
        <v>1925</v>
      </c>
      <c r="AN59" t="s">
        <v>1083</v>
      </c>
      <c r="AO59" t="s">
        <v>1084</v>
      </c>
      <c r="AP59">
        <v>9107986321</v>
      </c>
      <c r="AQ59" t="s">
        <v>1085</v>
      </c>
      <c r="AR59" t="s">
        <v>1086</v>
      </c>
      <c r="AS59" t="s">
        <v>1087</v>
      </c>
      <c r="AT59" t="s">
        <v>1088</v>
      </c>
      <c r="AU59" t="s">
        <v>1089</v>
      </c>
      <c r="AV59" t="s">
        <v>1085</v>
      </c>
      <c r="AW59" t="s">
        <v>1090</v>
      </c>
      <c r="AX59" t="s">
        <v>1091</v>
      </c>
      <c r="AY59">
        <v>0</v>
      </c>
      <c r="AZ59">
        <v>0</v>
      </c>
      <c r="BA59">
        <v>0</v>
      </c>
      <c r="BB59" s="573">
        <v>42186</v>
      </c>
      <c r="BC59" s="573">
        <v>42551</v>
      </c>
      <c r="BD59">
        <v>1</v>
      </c>
      <c r="BE59">
        <v>3</v>
      </c>
      <c r="BF59">
        <v>0</v>
      </c>
      <c r="BG59">
        <v>1</v>
      </c>
      <c r="BH59">
        <v>5</v>
      </c>
      <c r="BJ59" s="1">
        <v>11856</v>
      </c>
      <c r="BK59">
        <v>15</v>
      </c>
      <c r="BL59">
        <v>0</v>
      </c>
      <c r="BM59">
        <v>15</v>
      </c>
      <c r="BN59">
        <v>31</v>
      </c>
      <c r="BO59">
        <v>46</v>
      </c>
      <c r="BP59" s="3">
        <v>0.3261</v>
      </c>
      <c r="BQ59" s="1">
        <v>12592</v>
      </c>
      <c r="BR59" s="4">
        <v>112556</v>
      </c>
      <c r="DW59" s="4">
        <v>0</v>
      </c>
      <c r="DX59" s="4">
        <v>3572948</v>
      </c>
      <c r="DY59" s="4">
        <v>3572948</v>
      </c>
      <c r="DZ59" s="4">
        <v>190743</v>
      </c>
      <c r="EA59" s="4">
        <v>91500</v>
      </c>
      <c r="EB59" s="4">
        <v>282243</v>
      </c>
      <c r="EC59" s="4">
        <v>34596</v>
      </c>
      <c r="ED59" s="4">
        <v>0</v>
      </c>
      <c r="EE59" s="4">
        <v>34596</v>
      </c>
      <c r="EF59" s="4">
        <v>296812</v>
      </c>
      <c r="EG59" s="4">
        <v>4186599</v>
      </c>
      <c r="EH59" s="4">
        <v>2362754</v>
      </c>
      <c r="EI59" s="4">
        <v>730514</v>
      </c>
      <c r="EJ59" s="4">
        <v>3093268</v>
      </c>
      <c r="EK59" s="4">
        <v>215117</v>
      </c>
      <c r="EL59" s="4">
        <v>213572</v>
      </c>
      <c r="EM59" s="4">
        <v>179492</v>
      </c>
      <c r="EN59" s="4">
        <v>608181</v>
      </c>
      <c r="EO59" s="4">
        <v>485150</v>
      </c>
      <c r="EP59" s="4">
        <v>4186599</v>
      </c>
      <c r="EQ59" s="4">
        <v>0</v>
      </c>
      <c r="ER59" s="3">
        <v>0</v>
      </c>
      <c r="ES59" s="4">
        <v>22201</v>
      </c>
      <c r="ET59" s="4">
        <v>0</v>
      </c>
      <c r="EU59" s="4">
        <v>0</v>
      </c>
      <c r="EV59" s="4">
        <v>0</v>
      </c>
      <c r="EW59" s="4">
        <v>22201</v>
      </c>
      <c r="EX59" s="4">
        <v>22201</v>
      </c>
      <c r="EY59" s="1">
        <v>60437</v>
      </c>
      <c r="EZ59" s="1">
        <v>488149</v>
      </c>
      <c r="FA59" s="1">
        <v>92673</v>
      </c>
      <c r="FB59" s="1">
        <v>12540</v>
      </c>
      <c r="FC59" s="1">
        <v>81227</v>
      </c>
      <c r="FD59" s="1">
        <v>141793</v>
      </c>
      <c r="FE59">
        <v>431</v>
      </c>
      <c r="FF59" s="1">
        <v>33088</v>
      </c>
      <c r="FG59" s="1">
        <v>234466</v>
      </c>
      <c r="FH59" s="1">
        <v>12971</v>
      </c>
      <c r="FI59" s="1">
        <v>114315</v>
      </c>
      <c r="FJ59" s="1">
        <v>361752</v>
      </c>
      <c r="FK59">
        <v>88</v>
      </c>
      <c r="FL59">
        <v>447</v>
      </c>
      <c r="FN59" s="1">
        <v>361752</v>
      </c>
      <c r="FO59" s="1">
        <v>17082</v>
      </c>
      <c r="FP59" s="1">
        <v>19437</v>
      </c>
      <c r="FQ59">
        <v>43</v>
      </c>
      <c r="FR59">
        <v>44</v>
      </c>
      <c r="FS59">
        <v>74</v>
      </c>
      <c r="FT59">
        <v>118</v>
      </c>
      <c r="FU59" s="1">
        <v>26725</v>
      </c>
      <c r="FV59" s="1">
        <v>2022</v>
      </c>
      <c r="FW59">
        <v>0</v>
      </c>
      <c r="GG59" s="1">
        <v>34298</v>
      </c>
      <c r="GH59" s="1">
        <v>13913</v>
      </c>
      <c r="GI59">
        <v>370</v>
      </c>
      <c r="GJ59">
        <v>87</v>
      </c>
      <c r="GK59" s="1">
        <v>4089</v>
      </c>
      <c r="GL59">
        <v>113</v>
      </c>
      <c r="GM59" s="1">
        <v>7500</v>
      </c>
      <c r="GN59">
        <v>65</v>
      </c>
      <c r="GO59" s="1">
        <v>65112</v>
      </c>
      <c r="GP59" s="1">
        <v>16048</v>
      </c>
      <c r="GQ59" s="1">
        <v>7870</v>
      </c>
      <c r="GR59">
        <v>152</v>
      </c>
      <c r="GS59">
        <v>45</v>
      </c>
      <c r="GU59" s="1">
        <v>315185</v>
      </c>
      <c r="GV59" s="1">
        <v>30790</v>
      </c>
      <c r="GW59" s="1">
        <v>333831</v>
      </c>
      <c r="GX59" s="1">
        <v>139102</v>
      </c>
      <c r="GY59" s="1">
        <v>1117</v>
      </c>
      <c r="GZ59" s="1">
        <v>61157</v>
      </c>
      <c r="HA59" s="1">
        <v>454287</v>
      </c>
      <c r="HB59" s="1">
        <v>31907</v>
      </c>
      <c r="HC59" s="1">
        <v>394988</v>
      </c>
      <c r="HD59" s="1">
        <v>881182</v>
      </c>
      <c r="HE59" s="1">
        <v>8789</v>
      </c>
      <c r="HF59" s="1">
        <v>890700</v>
      </c>
      <c r="HG59" s="1">
        <v>77435</v>
      </c>
      <c r="HH59" s="1">
        <v>232324</v>
      </c>
      <c r="HI59">
        <v>729</v>
      </c>
      <c r="HJ59">
        <v>550</v>
      </c>
      <c r="HK59" s="1">
        <v>310309</v>
      </c>
      <c r="HL59" s="1">
        <v>1201009</v>
      </c>
      <c r="HM59" s="1">
        <v>1624</v>
      </c>
      <c r="HN59" s="1">
        <v>72233</v>
      </c>
      <c r="HO59" s="1">
        <v>73857</v>
      </c>
      <c r="HP59" s="1">
        <v>1764</v>
      </c>
      <c r="HQ59" s="1">
        <v>35654</v>
      </c>
      <c r="HR59" s="1">
        <v>37418</v>
      </c>
      <c r="HS59">
        <v>0</v>
      </c>
      <c r="HT59">
        <v>553</v>
      </c>
      <c r="HU59">
        <v>553</v>
      </c>
      <c r="HV59" s="1">
        <v>1259</v>
      </c>
      <c r="HW59" s="1">
        <v>113087</v>
      </c>
      <c r="HX59" s="1">
        <v>282269</v>
      </c>
      <c r="HY59" s="1">
        <v>51582</v>
      </c>
      <c r="HZ59" s="1">
        <v>333851</v>
      </c>
      <c r="IA59" s="1">
        <v>446938</v>
      </c>
      <c r="IB59" s="1">
        <v>114853</v>
      </c>
      <c r="IC59" s="1">
        <v>347730</v>
      </c>
      <c r="ID59" s="1">
        <v>1314096</v>
      </c>
      <c r="IE59" s="1">
        <v>1314096</v>
      </c>
      <c r="IF59" s="1">
        <v>1647947</v>
      </c>
      <c r="IG59" s="1">
        <v>426955</v>
      </c>
      <c r="IH59">
        <v>484</v>
      </c>
      <c r="IK59">
        <v>1</v>
      </c>
      <c r="IL59" s="3">
        <v>5.5899999999999998E-2</v>
      </c>
      <c r="IM59" s="3">
        <v>8.9999999999999998E-4</v>
      </c>
      <c r="IN59" s="3">
        <v>0.1827</v>
      </c>
      <c r="IO59" s="3">
        <v>0</v>
      </c>
      <c r="IP59" s="3">
        <v>0.13339999999999999</v>
      </c>
      <c r="IQ59" s="3">
        <v>2.0000000000000001E-4</v>
      </c>
      <c r="IR59" s="3">
        <v>0.74109999999999998</v>
      </c>
      <c r="IS59" s="3">
        <v>6.7900000000000002E-2</v>
      </c>
      <c r="IT59" s="3">
        <v>0.32490000000000002</v>
      </c>
      <c r="IU59" s="1">
        <v>80760</v>
      </c>
      <c r="IV59" s="1">
        <v>17776</v>
      </c>
      <c r="IW59" s="1">
        <v>98536</v>
      </c>
      <c r="IX59" s="3">
        <v>0.44740000000000002</v>
      </c>
      <c r="IY59" s="1">
        <v>857974</v>
      </c>
      <c r="JA59">
        <v>420</v>
      </c>
      <c r="JB59">
        <v>83</v>
      </c>
      <c r="JC59" s="1">
        <v>1510</v>
      </c>
      <c r="JD59">
        <v>396</v>
      </c>
      <c r="JE59">
        <v>9</v>
      </c>
      <c r="JF59">
        <v>761</v>
      </c>
      <c r="JG59">
        <v>816</v>
      </c>
      <c r="JH59">
        <v>92</v>
      </c>
      <c r="JI59" s="1">
        <v>2271</v>
      </c>
      <c r="JJ59" s="1">
        <v>3179</v>
      </c>
      <c r="JK59" s="1">
        <v>2013</v>
      </c>
      <c r="JL59" s="1">
        <v>1166</v>
      </c>
      <c r="JM59" s="1">
        <v>4840</v>
      </c>
      <c r="JN59">
        <v>758</v>
      </c>
      <c r="JO59" s="1">
        <v>42095</v>
      </c>
      <c r="JP59" s="1">
        <v>3425</v>
      </c>
      <c r="JQ59" s="1">
        <v>1257</v>
      </c>
      <c r="JR59" s="1">
        <v>18797</v>
      </c>
      <c r="JS59" s="1">
        <v>8265</v>
      </c>
      <c r="JT59" s="1">
        <v>2015</v>
      </c>
      <c r="JU59" s="1">
        <v>60892</v>
      </c>
      <c r="JV59" s="1">
        <v>71172</v>
      </c>
      <c r="JW59" s="1">
        <v>47693</v>
      </c>
      <c r="JX59" s="1">
        <v>23479</v>
      </c>
      <c r="JY59">
        <v>22.39</v>
      </c>
      <c r="JZ59">
        <v>10.130000000000001</v>
      </c>
      <c r="KA59">
        <v>26.81</v>
      </c>
      <c r="KB59">
        <v>0.12</v>
      </c>
      <c r="KC59">
        <v>0.86</v>
      </c>
      <c r="KD59">
        <v>240</v>
      </c>
      <c r="KE59" s="1">
        <v>1486</v>
      </c>
      <c r="KF59">
        <v>271</v>
      </c>
      <c r="KG59" s="1">
        <v>2532</v>
      </c>
      <c r="KN59" s="1">
        <v>277777</v>
      </c>
      <c r="KO59" s="1">
        <v>72699</v>
      </c>
      <c r="KP59" s="1">
        <v>13059</v>
      </c>
      <c r="KR59" s="1">
        <v>1818</v>
      </c>
      <c r="KS59" s="1">
        <v>39701</v>
      </c>
      <c r="KT59" s="1">
        <v>1752</v>
      </c>
      <c r="KU59" s="1">
        <v>1007</v>
      </c>
      <c r="KV59">
        <v>80</v>
      </c>
      <c r="KW59">
        <v>112</v>
      </c>
      <c r="KX59" s="1">
        <v>121423</v>
      </c>
      <c r="KZ59" s="1">
        <v>342812</v>
      </c>
      <c r="LD59" t="s">
        <v>1082</v>
      </c>
      <c r="LE59" t="s">
        <v>379</v>
      </c>
      <c r="LF59" t="s">
        <v>1080</v>
      </c>
      <c r="LG59" t="s">
        <v>1081</v>
      </c>
      <c r="LH59">
        <v>28401</v>
      </c>
      <c r="LI59">
        <v>3942</v>
      </c>
      <c r="LJ59" t="s">
        <v>1080</v>
      </c>
      <c r="LK59" t="s">
        <v>1081</v>
      </c>
      <c r="LL59">
        <v>28401</v>
      </c>
      <c r="LM59">
        <v>3942</v>
      </c>
      <c r="LN59" t="s">
        <v>1083</v>
      </c>
      <c r="LO59">
        <v>9107986300</v>
      </c>
      <c r="LP59">
        <v>9107986312</v>
      </c>
      <c r="LQ59" s="1">
        <v>122687</v>
      </c>
      <c r="LR59">
        <v>50</v>
      </c>
      <c r="LT59" s="1">
        <v>11856</v>
      </c>
      <c r="LU59">
        <v>208</v>
      </c>
      <c r="LX59">
        <v>1</v>
      </c>
      <c r="LY59" t="s">
        <v>1092</v>
      </c>
      <c r="LZ59">
        <v>0</v>
      </c>
      <c r="MA59" t="s">
        <v>363</v>
      </c>
      <c r="MB59">
        <v>5.31</v>
      </c>
      <c r="MC59">
        <v>19.86</v>
      </c>
      <c r="ME59" s="574">
        <v>3.19</v>
      </c>
      <c r="MF59" s="574">
        <v>2.35</v>
      </c>
      <c r="MG59" s="574">
        <v>0.46</v>
      </c>
      <c r="MH59" s="574">
        <v>42.49</v>
      </c>
      <c r="MI59" s="574">
        <v>31.39</v>
      </c>
      <c r="MJ59" s="574">
        <v>6.17</v>
      </c>
      <c r="MK59" s="574">
        <v>4.88</v>
      </c>
      <c r="ML59" s="574">
        <v>3.61</v>
      </c>
      <c r="MM59" s="574">
        <v>0.71</v>
      </c>
      <c r="MN59" s="574">
        <v>15.07</v>
      </c>
      <c r="MO59" s="574">
        <v>11.14</v>
      </c>
      <c r="MP59" s="574">
        <v>2.19</v>
      </c>
      <c r="MQ59" s="574">
        <v>58.82</v>
      </c>
      <c r="MR59" s="574">
        <v>43.46</v>
      </c>
      <c r="MS59" s="574">
        <v>8.5500000000000007</v>
      </c>
      <c r="MT59" s="574">
        <v>9.81</v>
      </c>
      <c r="MU59" s="574">
        <v>7.24</v>
      </c>
      <c r="MV59" s="574">
        <v>1.42</v>
      </c>
      <c r="MW59" s="1">
        <v>6039</v>
      </c>
      <c r="MX59" s="1">
        <v>18518</v>
      </c>
      <c r="MY59" s="1">
        <v>18518</v>
      </c>
      <c r="MZ59" s="1">
        <v>18652</v>
      </c>
      <c r="NA59" s="1">
        <v>57198</v>
      </c>
      <c r="NB59" s="1">
        <v>57198</v>
      </c>
      <c r="NC59" s="1">
        <v>87606</v>
      </c>
      <c r="ND59" s="1">
        <v>87606</v>
      </c>
      <c r="NE59">
        <v>2.69</v>
      </c>
      <c r="NF59" s="1">
        <v>28567</v>
      </c>
      <c r="NG59">
        <v>13.73</v>
      </c>
      <c r="NH59">
        <v>5.9669999999999996</v>
      </c>
      <c r="NI59">
        <v>3.9</v>
      </c>
      <c r="NJ59">
        <v>17.78</v>
      </c>
      <c r="NK59">
        <v>10.220000000000001</v>
      </c>
      <c r="NL59">
        <v>1.2613000000000001</v>
      </c>
      <c r="NM59">
        <v>1.9387000000000001</v>
      </c>
      <c r="NN59">
        <v>0.45</v>
      </c>
      <c r="NO59">
        <v>0.32</v>
      </c>
      <c r="NP59">
        <v>0.01</v>
      </c>
      <c r="NQ59">
        <v>0</v>
      </c>
      <c r="NR59">
        <v>0.55000000000000004</v>
      </c>
      <c r="NS59">
        <v>0.04</v>
      </c>
      <c r="NT59">
        <v>0.28000000000000003</v>
      </c>
      <c r="NU59" s="574">
        <v>14.05</v>
      </c>
      <c r="NV59">
        <v>2.2170000000000001</v>
      </c>
      <c r="NW59">
        <v>0</v>
      </c>
      <c r="NX59">
        <v>2E-3</v>
      </c>
      <c r="NY59">
        <v>0.29599999999999999</v>
      </c>
      <c r="NZ59">
        <v>1E-3</v>
      </c>
      <c r="OA59">
        <v>0.1522</v>
      </c>
      <c r="OB59">
        <v>0.46679999999999999</v>
      </c>
      <c r="OC59">
        <v>4.5359999999999996</v>
      </c>
      <c r="OD59">
        <v>1.643</v>
      </c>
      <c r="OE59">
        <v>0.14080000000000001</v>
      </c>
      <c r="OF59">
        <v>660.79399999999998</v>
      </c>
      <c r="OG59">
        <v>1.198</v>
      </c>
      <c r="OH59" s="574">
        <v>2.2000000000000002</v>
      </c>
      <c r="OI59">
        <v>336</v>
      </c>
      <c r="OJ59">
        <v>277</v>
      </c>
      <c r="OK59" s="574">
        <v>19.010000000000002</v>
      </c>
      <c r="OL59" s="574">
        <v>2.76</v>
      </c>
      <c r="OM59" s="574">
        <v>0.98</v>
      </c>
      <c r="ON59">
        <v>0.2089</v>
      </c>
      <c r="OO59">
        <v>6.8099999999999994E-2</v>
      </c>
      <c r="OP59">
        <v>0.31459999999999999</v>
      </c>
      <c r="OQ59" s="574">
        <v>1.28</v>
      </c>
      <c r="OR59" s="574">
        <v>16.22</v>
      </c>
      <c r="OS59" s="574">
        <v>0.16</v>
      </c>
      <c r="OT59" s="574">
        <v>1.35</v>
      </c>
      <c r="OU59" s="574">
        <v>19.010000000000002</v>
      </c>
      <c r="OV59">
        <v>34</v>
      </c>
      <c r="OW59">
        <v>19</v>
      </c>
      <c r="OX59">
        <v>1.53</v>
      </c>
      <c r="OY59" s="1">
        <v>25271</v>
      </c>
      <c r="OZ59">
        <v>72.37</v>
      </c>
      <c r="PA59" s="1">
        <v>16500</v>
      </c>
      <c r="PB59">
        <v>23.43</v>
      </c>
      <c r="PC59">
        <v>110.84</v>
      </c>
      <c r="PD59">
        <v>0.32</v>
      </c>
      <c r="PE59" s="1">
        <v>5342</v>
      </c>
      <c r="PF59">
        <v>0.37</v>
      </c>
      <c r="PG59" s="574">
        <v>0.71</v>
      </c>
      <c r="PH59">
        <v>0.56999999999999995</v>
      </c>
      <c r="PI59">
        <v>5.38</v>
      </c>
      <c r="PJ59">
        <v>13.34</v>
      </c>
      <c r="PK59" s="574">
        <v>4.88</v>
      </c>
      <c r="PL59">
        <v>45.6</v>
      </c>
      <c r="PM59" s="4">
        <v>67245</v>
      </c>
      <c r="PN59" s="4">
        <v>51364</v>
      </c>
      <c r="PO59">
        <v>3.5000000000000003E-2</v>
      </c>
      <c r="PP59">
        <v>0.1656</v>
      </c>
      <c r="PQ59">
        <v>5.3600000000000002E-2</v>
      </c>
      <c r="PR59">
        <v>1.14E-2</v>
      </c>
      <c r="PS59">
        <v>5.3999999999999999E-2</v>
      </c>
      <c r="PT59">
        <v>1.7500000000000002E-2</v>
      </c>
      <c r="PU59" s="3">
        <v>1</v>
      </c>
      <c r="PV59" s="3">
        <v>0.3261</v>
      </c>
      <c r="PW59" s="3">
        <v>0.67390000000000005</v>
      </c>
      <c r="PX59" s="3">
        <v>0.23619999999999999</v>
      </c>
      <c r="PY59" s="3">
        <v>0.76380000000000003</v>
      </c>
      <c r="PZ59" s="3">
        <v>0.14530000000000001</v>
      </c>
      <c r="QA59" s="3">
        <v>5.0999999999999997E-2</v>
      </c>
      <c r="QB59" s="3">
        <v>0.17449999999999999</v>
      </c>
      <c r="QC59" s="3">
        <v>4.2900000000000001E-2</v>
      </c>
      <c r="QD59" s="3">
        <v>0.1159</v>
      </c>
      <c r="QE59" s="3">
        <v>5.1400000000000001E-2</v>
      </c>
      <c r="QF59" s="3">
        <v>0.56440000000000001</v>
      </c>
      <c r="QG59" s="3">
        <v>0.73880000000000001</v>
      </c>
      <c r="QH59" s="3">
        <v>8.3000000000000001E-3</v>
      </c>
      <c r="QI59" s="3">
        <v>0.85340000000000005</v>
      </c>
      <c r="QJ59" s="3">
        <v>7.0900000000000005E-2</v>
      </c>
      <c r="QK59" s="3">
        <v>6.7400000000000002E-2</v>
      </c>
      <c r="QL59" s="4">
        <v>15881</v>
      </c>
      <c r="QM59">
        <v>8.7100000000000009</v>
      </c>
      <c r="QN59" s="1">
        <v>14682</v>
      </c>
      <c r="QO59" s="1">
        <v>14682</v>
      </c>
      <c r="QP59" s="1">
        <v>4788</v>
      </c>
      <c r="QQ59" s="3">
        <v>0.35370000000000001</v>
      </c>
      <c r="QR59" s="3">
        <v>0.35120000000000001</v>
      </c>
      <c r="QS59" s="3">
        <v>0.29509999999999997</v>
      </c>
      <c r="QT59" s="3">
        <v>0.3261</v>
      </c>
      <c r="QU59">
        <v>0.56000000000000005</v>
      </c>
      <c r="QV59">
        <v>1.8</v>
      </c>
      <c r="QW59">
        <v>0.42</v>
      </c>
      <c r="QX59">
        <v>6</v>
      </c>
      <c r="QY59">
        <v>6.11</v>
      </c>
      <c r="QZ59">
        <v>7</v>
      </c>
      <c r="RA59">
        <v>2.16</v>
      </c>
      <c r="RB59">
        <v>0.31</v>
      </c>
      <c r="RC59">
        <v>0.31</v>
      </c>
    </row>
    <row r="60" spans="1:471" x14ac:dyDescent="0.25">
      <c r="B60">
        <v>156762</v>
      </c>
      <c r="C60" t="s">
        <v>1754</v>
      </c>
      <c r="D60" t="s">
        <v>1754</v>
      </c>
      <c r="E60" t="s">
        <v>1754</v>
      </c>
      <c r="F60" t="s">
        <v>1755</v>
      </c>
      <c r="G60" t="s">
        <v>1755</v>
      </c>
    </row>
    <row r="61" spans="1:471" x14ac:dyDescent="0.25">
      <c r="A61" t="s">
        <v>1093</v>
      </c>
      <c r="B61">
        <v>11652</v>
      </c>
      <c r="C61" t="s">
        <v>1754</v>
      </c>
      <c r="D61" t="s">
        <v>1754</v>
      </c>
      <c r="E61" t="s">
        <v>1754</v>
      </c>
      <c r="F61" t="s">
        <v>1755</v>
      </c>
      <c r="G61" t="s">
        <v>1755</v>
      </c>
      <c r="H61" t="s">
        <v>1094</v>
      </c>
      <c r="I61" t="s">
        <v>342</v>
      </c>
      <c r="J61" t="s">
        <v>366</v>
      </c>
      <c r="K61" t="s">
        <v>395</v>
      </c>
      <c r="L61" t="s">
        <v>345</v>
      </c>
      <c r="M61" t="s">
        <v>367</v>
      </c>
      <c r="N61" t="s">
        <v>347</v>
      </c>
      <c r="O61" s="1">
        <v>168853</v>
      </c>
      <c r="P61" t="s">
        <v>348</v>
      </c>
      <c r="Q61" s="1">
        <v>2608</v>
      </c>
      <c r="R61">
        <v>271</v>
      </c>
      <c r="S61">
        <v>457</v>
      </c>
      <c r="T61">
        <v>125</v>
      </c>
      <c r="U61" s="1">
        <v>12923</v>
      </c>
      <c r="V61" s="1">
        <v>1231</v>
      </c>
      <c r="W61" s="1">
        <v>55004</v>
      </c>
      <c r="X61" s="1">
        <v>5811</v>
      </c>
      <c r="Y61" s="1">
        <v>975676</v>
      </c>
      <c r="Z61" s="1">
        <v>461648</v>
      </c>
      <c r="AC61" t="s">
        <v>1095</v>
      </c>
      <c r="AD61" t="s">
        <v>1096</v>
      </c>
      <c r="AE61">
        <v>28621</v>
      </c>
      <c r="AF61">
        <v>3398</v>
      </c>
      <c r="AG61" t="s">
        <v>1095</v>
      </c>
      <c r="AH61" t="s">
        <v>1096</v>
      </c>
      <c r="AI61">
        <v>28621</v>
      </c>
      <c r="AJ61">
        <v>2</v>
      </c>
      <c r="AK61" t="s">
        <v>1097</v>
      </c>
      <c r="AM61" t="s">
        <v>372</v>
      </c>
      <c r="AN61" t="s">
        <v>1098</v>
      </c>
      <c r="AO61" t="s">
        <v>1926</v>
      </c>
      <c r="AP61">
        <v>3368354894</v>
      </c>
      <c r="AQ61" t="s">
        <v>1100</v>
      </c>
      <c r="AR61" t="s">
        <v>1927</v>
      </c>
      <c r="AS61" t="s">
        <v>1926</v>
      </c>
      <c r="AT61" t="s">
        <v>1</v>
      </c>
      <c r="AU61" t="s">
        <v>1099</v>
      </c>
      <c r="AV61" t="s">
        <v>1100</v>
      </c>
      <c r="AW61" t="s">
        <v>1927</v>
      </c>
      <c r="AX61" t="s">
        <v>1101</v>
      </c>
      <c r="AY61">
        <v>0</v>
      </c>
      <c r="AZ61">
        <v>0</v>
      </c>
      <c r="BA61">
        <v>0</v>
      </c>
      <c r="BB61" s="573">
        <v>42186</v>
      </c>
      <c r="BC61" s="573">
        <v>42551</v>
      </c>
      <c r="BD61">
        <v>0</v>
      </c>
      <c r="BE61">
        <v>13</v>
      </c>
      <c r="BF61">
        <v>1</v>
      </c>
      <c r="BG61">
        <v>0</v>
      </c>
      <c r="BH61">
        <v>14</v>
      </c>
      <c r="BJ61" s="1">
        <v>33362</v>
      </c>
      <c r="BK61">
        <v>3</v>
      </c>
      <c r="BL61">
        <v>0</v>
      </c>
      <c r="BM61">
        <v>3</v>
      </c>
      <c r="BN61">
        <v>46.19</v>
      </c>
      <c r="BO61">
        <v>49.19</v>
      </c>
      <c r="BP61" s="3">
        <v>6.0999999999999999E-2</v>
      </c>
      <c r="BQ61">
        <v>350</v>
      </c>
      <c r="BR61" s="4">
        <v>65667</v>
      </c>
      <c r="DW61" s="4">
        <v>301218</v>
      </c>
      <c r="DX61" s="4">
        <v>1510570</v>
      </c>
      <c r="DY61" s="4">
        <v>1811788</v>
      </c>
      <c r="DZ61" s="4">
        <v>458203</v>
      </c>
      <c r="EA61" s="4">
        <v>0</v>
      </c>
      <c r="EB61" s="4">
        <v>458203</v>
      </c>
      <c r="EC61" s="4">
        <v>646</v>
      </c>
      <c r="ED61" s="4">
        <v>0</v>
      </c>
      <c r="EE61" s="4">
        <v>646</v>
      </c>
      <c r="EF61" s="4">
        <v>173747</v>
      </c>
      <c r="EG61" s="4">
        <v>2444384</v>
      </c>
      <c r="EH61" s="4">
        <v>1339189</v>
      </c>
      <c r="EI61" s="4">
        <v>443736</v>
      </c>
      <c r="EJ61" s="4">
        <v>1782925</v>
      </c>
      <c r="EK61" s="4">
        <v>95372</v>
      </c>
      <c r="EL61" s="4">
        <v>12000</v>
      </c>
      <c r="EM61" s="4">
        <v>5910</v>
      </c>
      <c r="EN61" s="4">
        <v>113282</v>
      </c>
      <c r="EO61" s="4">
        <v>505086</v>
      </c>
      <c r="EP61" s="4">
        <v>2401293</v>
      </c>
      <c r="EQ61" s="4">
        <v>43091</v>
      </c>
      <c r="ER61" s="3">
        <v>1.7600000000000001E-2</v>
      </c>
      <c r="ES61" s="4">
        <v>0</v>
      </c>
      <c r="ET61" s="4">
        <v>0</v>
      </c>
      <c r="EU61" s="4">
        <v>0</v>
      </c>
      <c r="EV61" s="4">
        <v>0</v>
      </c>
      <c r="EW61" s="4">
        <v>0</v>
      </c>
      <c r="EX61" s="4">
        <v>0</v>
      </c>
      <c r="EY61" s="1">
        <v>20014</v>
      </c>
      <c r="EZ61" s="1">
        <v>394236</v>
      </c>
      <c r="FA61" s="1">
        <v>116595</v>
      </c>
      <c r="FB61" s="1">
        <v>12761</v>
      </c>
      <c r="FC61" s="1">
        <v>86297</v>
      </c>
      <c r="FD61" s="1">
        <v>83979</v>
      </c>
      <c r="FE61">
        <v>0</v>
      </c>
      <c r="FF61" s="1">
        <v>44780</v>
      </c>
      <c r="FG61" s="1">
        <v>200574</v>
      </c>
      <c r="FH61" s="1">
        <v>12761</v>
      </c>
      <c r="FI61" s="1">
        <v>131077</v>
      </c>
      <c r="FJ61" s="1">
        <v>344412</v>
      </c>
      <c r="FK61" s="1">
        <v>1897</v>
      </c>
      <c r="FL61">
        <v>166</v>
      </c>
      <c r="FN61" s="1">
        <v>344412</v>
      </c>
      <c r="FO61" s="1">
        <v>6047</v>
      </c>
      <c r="FP61" s="1">
        <v>11852</v>
      </c>
      <c r="FQ61">
        <v>1</v>
      </c>
      <c r="FR61">
        <v>2</v>
      </c>
      <c r="FS61">
        <v>74</v>
      </c>
      <c r="FT61">
        <v>76</v>
      </c>
      <c r="FU61" s="1">
        <v>26725</v>
      </c>
      <c r="FV61" s="1">
        <v>2022</v>
      </c>
      <c r="FW61">
        <v>0</v>
      </c>
      <c r="GK61">
        <v>945</v>
      </c>
      <c r="GL61">
        <v>93</v>
      </c>
      <c r="GM61">
        <v>0</v>
      </c>
      <c r="GN61">
        <v>0</v>
      </c>
      <c r="GO61" s="1">
        <v>27670</v>
      </c>
      <c r="GP61" s="1">
        <v>2115</v>
      </c>
      <c r="GQ61">
        <v>0</v>
      </c>
      <c r="GR61">
        <v>0</v>
      </c>
      <c r="GS61">
        <v>91</v>
      </c>
      <c r="GU61" s="1">
        <v>164705</v>
      </c>
      <c r="GV61" s="1">
        <v>8552</v>
      </c>
      <c r="GW61" s="1">
        <v>134963</v>
      </c>
      <c r="GX61" s="1">
        <v>26656</v>
      </c>
      <c r="GZ61" s="1">
        <v>29376</v>
      </c>
      <c r="HA61" s="1">
        <v>191361</v>
      </c>
      <c r="HB61" s="1">
        <v>8552</v>
      </c>
      <c r="HC61" s="1">
        <v>164339</v>
      </c>
      <c r="HD61" s="1">
        <v>364252</v>
      </c>
      <c r="HE61" s="1">
        <v>4911</v>
      </c>
      <c r="HF61" s="1">
        <v>369973</v>
      </c>
      <c r="HG61" s="1">
        <v>9533</v>
      </c>
      <c r="HH61" s="1">
        <v>36826</v>
      </c>
      <c r="HI61">
        <v>810</v>
      </c>
      <c r="HJ61">
        <v>21</v>
      </c>
      <c r="HK61" s="1">
        <v>46380</v>
      </c>
      <c r="HL61" s="1">
        <v>416353</v>
      </c>
      <c r="HM61">
        <v>35</v>
      </c>
      <c r="HN61" s="1">
        <v>9041</v>
      </c>
      <c r="HO61" s="1">
        <v>9076</v>
      </c>
      <c r="HP61">
        <v>97</v>
      </c>
      <c r="HQ61" s="1">
        <v>1029</v>
      </c>
      <c r="HR61" s="1">
        <v>1126</v>
      </c>
      <c r="HS61">
        <v>0</v>
      </c>
      <c r="HT61">
        <v>0</v>
      </c>
      <c r="HU61">
        <v>0</v>
      </c>
      <c r="HV61">
        <v>0</v>
      </c>
      <c r="HW61" s="1">
        <v>10202</v>
      </c>
      <c r="HX61" s="1">
        <v>16813</v>
      </c>
      <c r="HY61">
        <v>0</v>
      </c>
      <c r="HZ61" s="1">
        <v>16813</v>
      </c>
      <c r="IA61" s="1">
        <v>27015</v>
      </c>
      <c r="IB61" s="1">
        <v>10659</v>
      </c>
      <c r="IC61" s="1">
        <v>47485</v>
      </c>
      <c r="ID61" s="1">
        <v>426555</v>
      </c>
      <c r="IE61" s="1">
        <v>426555</v>
      </c>
      <c r="IF61" s="1">
        <v>443368</v>
      </c>
      <c r="IG61" s="1">
        <v>172891</v>
      </c>
      <c r="IH61">
        <v>400</v>
      </c>
      <c r="IK61">
        <v>1</v>
      </c>
      <c r="IL61" s="3">
        <v>3.0099999999999998E-2</v>
      </c>
      <c r="IM61" s="3">
        <v>4.0000000000000002E-4</v>
      </c>
      <c r="IN61" s="3">
        <v>7.5600000000000001E-2</v>
      </c>
      <c r="IO61" s="3">
        <v>0</v>
      </c>
      <c r="IP61" s="3">
        <v>7.0199999999999999E-2</v>
      </c>
      <c r="IQ61" s="3">
        <v>2.0000000000000001E-4</v>
      </c>
      <c r="IR61" s="3">
        <v>0.87360000000000004</v>
      </c>
      <c r="IS61" s="3">
        <v>2.07E-2</v>
      </c>
      <c r="IT61" s="3">
        <v>0.40529999999999999</v>
      </c>
      <c r="IU61" s="1">
        <v>46233</v>
      </c>
      <c r="IV61" s="1">
        <v>20656</v>
      </c>
      <c r="IW61" s="1">
        <v>66889</v>
      </c>
      <c r="IX61" s="3">
        <v>0.39610000000000001</v>
      </c>
      <c r="IY61" s="1">
        <v>349529</v>
      </c>
      <c r="JA61" s="1">
        <v>1428</v>
      </c>
      <c r="JB61">
        <v>185</v>
      </c>
      <c r="JC61" s="1">
        <v>3377</v>
      </c>
      <c r="JD61">
        <v>0</v>
      </c>
      <c r="JE61">
        <v>0</v>
      </c>
      <c r="JF61">
        <v>52</v>
      </c>
      <c r="JG61" s="1">
        <v>1428</v>
      </c>
      <c r="JH61">
        <v>185</v>
      </c>
      <c r="JI61" s="1">
        <v>3429</v>
      </c>
      <c r="JJ61" s="1">
        <v>5042</v>
      </c>
      <c r="JK61" s="1">
        <v>4990</v>
      </c>
      <c r="JL61">
        <v>52</v>
      </c>
      <c r="JM61" s="1">
        <v>18491</v>
      </c>
      <c r="JN61">
        <v>688</v>
      </c>
      <c r="JO61" s="1">
        <v>59812</v>
      </c>
      <c r="JP61">
        <v>0</v>
      </c>
      <c r="JQ61">
        <v>0</v>
      </c>
      <c r="JR61" s="1">
        <v>3588</v>
      </c>
      <c r="JS61" s="1">
        <v>18491</v>
      </c>
      <c r="JT61">
        <v>688</v>
      </c>
      <c r="JU61" s="1">
        <v>63400</v>
      </c>
      <c r="JV61" s="1">
        <v>82579</v>
      </c>
      <c r="JW61" s="1">
        <v>78991</v>
      </c>
      <c r="JX61" s="1">
        <v>3588</v>
      </c>
      <c r="JY61">
        <v>16.38</v>
      </c>
      <c r="JZ61">
        <v>12.95</v>
      </c>
      <c r="KA61">
        <v>18.489999999999998</v>
      </c>
      <c r="KB61">
        <v>0.22</v>
      </c>
      <c r="KC61">
        <v>0.77</v>
      </c>
      <c r="KD61">
        <v>658</v>
      </c>
      <c r="KE61" s="1">
        <v>8333</v>
      </c>
      <c r="KF61">
        <v>545</v>
      </c>
      <c r="KG61" s="1">
        <v>1569</v>
      </c>
      <c r="KN61" s="1">
        <v>324291</v>
      </c>
      <c r="KO61" s="1">
        <v>50077</v>
      </c>
      <c r="KP61" s="1">
        <v>42199</v>
      </c>
      <c r="KR61">
        <v>785</v>
      </c>
      <c r="KS61" s="1">
        <v>2793</v>
      </c>
      <c r="KT61" s="1">
        <v>34676</v>
      </c>
      <c r="KU61" s="1">
        <v>33829</v>
      </c>
      <c r="KV61">
        <v>52</v>
      </c>
      <c r="KW61">
        <v>156</v>
      </c>
      <c r="KX61" s="1">
        <v>127420</v>
      </c>
      <c r="LA61" s="1">
        <v>114047</v>
      </c>
      <c r="LD61" t="s">
        <v>1102</v>
      </c>
      <c r="LE61" t="s">
        <v>379</v>
      </c>
      <c r="LF61" t="s">
        <v>1103</v>
      </c>
      <c r="LG61" t="s">
        <v>1104</v>
      </c>
      <c r="LH61">
        <v>28675</v>
      </c>
      <c r="LI61">
        <v>8894</v>
      </c>
      <c r="LJ61" t="s">
        <v>1105</v>
      </c>
      <c r="LK61" t="s">
        <v>1104</v>
      </c>
      <c r="LL61">
        <v>28675</v>
      </c>
      <c r="LM61">
        <v>8894</v>
      </c>
      <c r="LN61" t="s">
        <v>1106</v>
      </c>
      <c r="LO61">
        <v>3363725573</v>
      </c>
      <c r="LP61">
        <v>3363724912</v>
      </c>
      <c r="LQ61" s="1">
        <v>98108</v>
      </c>
      <c r="LR61">
        <v>38.86</v>
      </c>
      <c r="LT61" s="1">
        <v>33362</v>
      </c>
      <c r="LU61">
        <v>728</v>
      </c>
      <c r="LX61">
        <v>2</v>
      </c>
      <c r="LY61" t="s">
        <v>1107</v>
      </c>
      <c r="LZ61">
        <v>0</v>
      </c>
      <c r="MA61" t="s">
        <v>408</v>
      </c>
      <c r="MB61">
        <v>15.85</v>
      </c>
      <c r="MC61">
        <v>22.65</v>
      </c>
      <c r="ME61" s="574">
        <v>5.63</v>
      </c>
      <c r="MF61" s="574">
        <v>4.18</v>
      </c>
      <c r="MG61" s="574">
        <v>0.27</v>
      </c>
      <c r="MH61" s="574">
        <v>35.9</v>
      </c>
      <c r="MI61" s="574">
        <v>26.65</v>
      </c>
      <c r="MJ61" s="574">
        <v>1.69</v>
      </c>
      <c r="MK61" s="574">
        <v>6.87</v>
      </c>
      <c r="ML61" s="574">
        <v>5.0999999999999996</v>
      </c>
      <c r="MM61" s="574">
        <v>0.32</v>
      </c>
      <c r="MN61" s="574">
        <v>7.4</v>
      </c>
      <c r="MO61" s="574">
        <v>5.5</v>
      </c>
      <c r="MP61" s="574">
        <v>0.35</v>
      </c>
      <c r="MQ61" s="574">
        <v>29.08</v>
      </c>
      <c r="MR61" s="574">
        <v>21.59</v>
      </c>
      <c r="MS61" s="574">
        <v>1.37</v>
      </c>
      <c r="MT61" s="574">
        <v>13.89</v>
      </c>
      <c r="MU61" s="574">
        <v>10.31</v>
      </c>
      <c r="MV61" s="574">
        <v>0.66</v>
      </c>
      <c r="MW61" s="1">
        <v>6593</v>
      </c>
      <c r="MX61" s="1">
        <v>108097</v>
      </c>
      <c r="MY61" s="1">
        <v>108097</v>
      </c>
      <c r="MZ61" s="1">
        <v>7106</v>
      </c>
      <c r="NA61" s="1">
        <v>116510</v>
      </c>
      <c r="NB61" s="1">
        <v>116510</v>
      </c>
      <c r="NC61" s="1">
        <v>142185</v>
      </c>
      <c r="ND61" s="1">
        <v>142185</v>
      </c>
      <c r="NE61">
        <v>1.08</v>
      </c>
      <c r="NF61" s="1">
        <v>8672</v>
      </c>
      <c r="NG61">
        <v>4.17</v>
      </c>
      <c r="NH61">
        <v>2.5259999999999998</v>
      </c>
      <c r="NI61">
        <v>2.0699999999999998</v>
      </c>
      <c r="NJ61">
        <v>518.41</v>
      </c>
      <c r="NK61">
        <v>505.75</v>
      </c>
      <c r="NL61">
        <v>1.9206000000000001</v>
      </c>
      <c r="NM61">
        <v>1.0239</v>
      </c>
      <c r="NN61">
        <v>0.4</v>
      </c>
      <c r="NO61">
        <v>0.49</v>
      </c>
      <c r="NP61">
        <v>0.21</v>
      </c>
      <c r="NQ61">
        <v>0.2</v>
      </c>
      <c r="NR61">
        <v>0.75</v>
      </c>
      <c r="NS61">
        <v>0.11</v>
      </c>
      <c r="NT61">
        <v>0.38</v>
      </c>
      <c r="NU61" s="574">
        <v>10.56</v>
      </c>
      <c r="NV61">
        <v>2.335</v>
      </c>
      <c r="NW61">
        <v>0</v>
      </c>
      <c r="NX61">
        <v>1E-3</v>
      </c>
      <c r="NY61">
        <v>0.16400000000000001</v>
      </c>
      <c r="NZ61">
        <v>0</v>
      </c>
      <c r="OA61">
        <v>4.4900000000000002E-2</v>
      </c>
      <c r="OB61">
        <v>0.73540000000000005</v>
      </c>
      <c r="OC61">
        <v>2.4820000000000002</v>
      </c>
      <c r="OD61">
        <v>2.04</v>
      </c>
      <c r="OE61">
        <v>0.27360000000000001</v>
      </c>
      <c r="OF61">
        <v>413.67</v>
      </c>
      <c r="OG61">
        <v>1.1359999999999999</v>
      </c>
      <c r="OH61" s="574">
        <v>2.99</v>
      </c>
      <c r="OI61">
        <v>122</v>
      </c>
      <c r="OJ61">
        <v>177</v>
      </c>
      <c r="OK61" s="574">
        <v>14.22</v>
      </c>
      <c r="OL61" s="574">
        <v>0.67</v>
      </c>
      <c r="OM61" s="574">
        <v>0.56000000000000005</v>
      </c>
      <c r="ON61">
        <v>0.2913</v>
      </c>
      <c r="OO61">
        <v>1.78E-2</v>
      </c>
      <c r="OP61">
        <v>0.69059999999999999</v>
      </c>
      <c r="OQ61" s="574">
        <v>2.71</v>
      </c>
      <c r="OR61" s="574">
        <v>10.73</v>
      </c>
      <c r="OS61" s="574">
        <v>0</v>
      </c>
      <c r="OT61" s="574">
        <v>1.03</v>
      </c>
      <c r="OU61" s="574">
        <v>14.48</v>
      </c>
      <c r="OV61">
        <v>667</v>
      </c>
      <c r="OW61">
        <v>651</v>
      </c>
      <c r="OX61">
        <v>1.22</v>
      </c>
      <c r="OY61" s="1">
        <v>8203</v>
      </c>
      <c r="OZ61">
        <v>10.48</v>
      </c>
      <c r="PA61" s="1">
        <v>6722</v>
      </c>
      <c r="PB61">
        <v>9.7200000000000006</v>
      </c>
      <c r="PC61">
        <v>12.79</v>
      </c>
      <c r="PD61">
        <v>0.93</v>
      </c>
      <c r="PE61" s="1">
        <v>6236</v>
      </c>
      <c r="PF61">
        <v>0.92</v>
      </c>
      <c r="PG61" s="574">
        <v>0.32</v>
      </c>
      <c r="PH61">
        <v>1.1299999999999999</v>
      </c>
      <c r="PI61">
        <v>19.760000000000002</v>
      </c>
      <c r="PJ61">
        <v>6.38</v>
      </c>
      <c r="PK61" s="574">
        <v>6.87</v>
      </c>
      <c r="PL61">
        <v>45.83</v>
      </c>
      <c r="PM61" s="4">
        <v>36246</v>
      </c>
      <c r="PN61" s="4">
        <v>27225</v>
      </c>
      <c r="PO61">
        <v>0.1153</v>
      </c>
      <c r="PP61">
        <v>0.1517</v>
      </c>
      <c r="PQ61">
        <v>0.14069999999999999</v>
      </c>
      <c r="PR61">
        <v>7.0000000000000001E-3</v>
      </c>
      <c r="PS61">
        <v>9.2999999999999992E-3</v>
      </c>
      <c r="PT61">
        <v>8.6E-3</v>
      </c>
      <c r="PU61" s="3">
        <v>1</v>
      </c>
      <c r="PV61" s="3">
        <v>6.0999999999999999E-2</v>
      </c>
      <c r="PW61" s="3">
        <v>0.93899999999999995</v>
      </c>
      <c r="PX61" s="3">
        <v>0.24890000000000001</v>
      </c>
      <c r="PY61" s="3">
        <v>0.75109999999999999</v>
      </c>
      <c r="PZ61" s="3">
        <v>4.7199999999999999E-2</v>
      </c>
      <c r="QA61" s="3">
        <v>5.0000000000000001E-3</v>
      </c>
      <c r="QB61" s="3">
        <v>0.18479999999999999</v>
      </c>
      <c r="QC61" s="3">
        <v>2.5000000000000001E-3</v>
      </c>
      <c r="QD61" s="3">
        <v>0.21029999999999999</v>
      </c>
      <c r="QE61" s="3">
        <v>3.9699999999999999E-2</v>
      </c>
      <c r="QF61" s="3">
        <v>0.55769999999999997</v>
      </c>
      <c r="QG61" s="3">
        <v>0.74250000000000005</v>
      </c>
      <c r="QH61" s="3">
        <v>2.9999999999999997E-4</v>
      </c>
      <c r="QI61" s="3">
        <v>0.74119999999999997</v>
      </c>
      <c r="QJ61" s="3">
        <v>7.1099999999999997E-2</v>
      </c>
      <c r="QK61" s="3">
        <v>0.1875</v>
      </c>
      <c r="QL61" s="4">
        <v>9021</v>
      </c>
      <c r="QM61">
        <v>5.23</v>
      </c>
      <c r="QN61" s="1">
        <v>56284</v>
      </c>
      <c r="QO61" s="1">
        <v>56284</v>
      </c>
      <c r="QP61" s="1">
        <v>3433</v>
      </c>
      <c r="QQ61" s="3">
        <v>0.84189999999999998</v>
      </c>
      <c r="QR61" s="3">
        <v>0.10589999999999999</v>
      </c>
      <c r="QS61" s="3">
        <v>5.2200000000000003E-2</v>
      </c>
      <c r="QT61" s="3">
        <v>6.0999999999999999E-2</v>
      </c>
      <c r="QU61">
        <v>0.32</v>
      </c>
      <c r="QV61">
        <v>0.96</v>
      </c>
      <c r="QW61">
        <v>0.24</v>
      </c>
      <c r="QX61">
        <v>36</v>
      </c>
      <c r="QY61">
        <v>4.47</v>
      </c>
      <c r="QZ61">
        <v>72</v>
      </c>
      <c r="RA61">
        <v>3.77</v>
      </c>
      <c r="RB61">
        <v>0.18</v>
      </c>
      <c r="RC61">
        <v>0.17</v>
      </c>
    </row>
    <row r="62" spans="1:471" x14ac:dyDescent="0.25">
      <c r="A62" t="s">
        <v>1108</v>
      </c>
      <c r="B62">
        <v>11687</v>
      </c>
      <c r="C62" t="s">
        <v>1754</v>
      </c>
      <c r="D62" t="s">
        <v>1754</v>
      </c>
      <c r="E62" t="s">
        <v>1754</v>
      </c>
      <c r="F62" t="s">
        <v>1755</v>
      </c>
      <c r="G62" t="s">
        <v>1755</v>
      </c>
      <c r="H62" t="s">
        <v>1109</v>
      </c>
      <c r="I62" t="s">
        <v>342</v>
      </c>
      <c r="J62" t="s">
        <v>343</v>
      </c>
      <c r="K62" t="s">
        <v>344</v>
      </c>
      <c r="L62" t="s">
        <v>345</v>
      </c>
      <c r="M62" t="s">
        <v>346</v>
      </c>
      <c r="N62" t="s">
        <v>347</v>
      </c>
      <c r="O62" s="1">
        <v>194636</v>
      </c>
      <c r="P62" t="s">
        <v>472</v>
      </c>
      <c r="Q62" s="1">
        <v>1793</v>
      </c>
      <c r="R62">
        <v>284</v>
      </c>
      <c r="S62">
        <v>231</v>
      </c>
      <c r="T62">
        <v>32</v>
      </c>
      <c r="U62" s="1">
        <v>8881</v>
      </c>
      <c r="V62">
        <v>376</v>
      </c>
      <c r="W62" s="1">
        <v>62335</v>
      </c>
      <c r="X62" s="1">
        <v>1750</v>
      </c>
      <c r="Y62" s="1">
        <v>830580</v>
      </c>
      <c r="Z62" s="1">
        <v>198600</v>
      </c>
      <c r="AC62" t="s">
        <v>1110</v>
      </c>
      <c r="AD62" t="s">
        <v>1111</v>
      </c>
      <c r="AE62">
        <v>28540</v>
      </c>
      <c r="AF62">
        <v>5197</v>
      </c>
      <c r="AG62" t="s">
        <v>1110</v>
      </c>
      <c r="AH62" t="s">
        <v>1111</v>
      </c>
      <c r="AI62">
        <v>28540</v>
      </c>
      <c r="AJ62">
        <v>2</v>
      </c>
      <c r="AK62" t="s">
        <v>1112</v>
      </c>
      <c r="AM62" t="s">
        <v>0</v>
      </c>
      <c r="AN62" t="s">
        <v>1113</v>
      </c>
      <c r="AO62" t="s">
        <v>1928</v>
      </c>
      <c r="AP62">
        <v>9104557350</v>
      </c>
      <c r="AQ62" t="s">
        <v>1114</v>
      </c>
      <c r="AR62" t="s">
        <v>1929</v>
      </c>
      <c r="AS62" t="s">
        <v>1930</v>
      </c>
      <c r="AT62" t="s">
        <v>695</v>
      </c>
      <c r="AU62" t="s">
        <v>1931</v>
      </c>
      <c r="AV62" t="s">
        <v>1932</v>
      </c>
      <c r="AW62" t="s">
        <v>1929</v>
      </c>
      <c r="AX62" t="s">
        <v>1115</v>
      </c>
      <c r="AY62">
        <v>0</v>
      </c>
      <c r="AZ62">
        <v>0</v>
      </c>
      <c r="BA62">
        <v>0</v>
      </c>
      <c r="BB62" s="573">
        <v>42186</v>
      </c>
      <c r="BC62" s="573">
        <v>42551</v>
      </c>
      <c r="BD62">
        <v>1</v>
      </c>
      <c r="BE62">
        <v>3</v>
      </c>
      <c r="BF62">
        <v>0</v>
      </c>
      <c r="BG62">
        <v>0</v>
      </c>
      <c r="BH62">
        <v>4</v>
      </c>
      <c r="BJ62" s="1">
        <v>10852</v>
      </c>
      <c r="BK62">
        <v>5</v>
      </c>
      <c r="BL62">
        <v>0</v>
      </c>
      <c r="BM62">
        <v>5</v>
      </c>
      <c r="BN62">
        <v>26.5</v>
      </c>
      <c r="BO62">
        <v>31.5</v>
      </c>
      <c r="BP62" s="3">
        <v>0.15870000000000001</v>
      </c>
      <c r="BQ62" s="1">
        <v>4802</v>
      </c>
      <c r="BR62" s="4">
        <v>81931</v>
      </c>
      <c r="DW62" s="4">
        <v>0</v>
      </c>
      <c r="DX62" s="4">
        <v>1642836</v>
      </c>
      <c r="DY62" s="4">
        <v>1642836</v>
      </c>
      <c r="DZ62" s="4">
        <v>222981</v>
      </c>
      <c r="EA62" s="4">
        <v>0</v>
      </c>
      <c r="EB62" s="4">
        <v>222981</v>
      </c>
      <c r="EC62" s="4">
        <v>0</v>
      </c>
      <c r="ED62" s="4">
        <v>0</v>
      </c>
      <c r="EE62" s="4">
        <v>0</v>
      </c>
      <c r="EF62" s="4">
        <v>180985</v>
      </c>
      <c r="EG62" s="4">
        <v>2046802</v>
      </c>
      <c r="EH62" s="4">
        <v>1858582</v>
      </c>
      <c r="EI62" s="4">
        <v>334556</v>
      </c>
      <c r="EJ62" s="4">
        <v>2193138</v>
      </c>
      <c r="EK62" s="4">
        <v>109677</v>
      </c>
      <c r="EL62" s="4">
        <v>35773</v>
      </c>
      <c r="EM62" s="4">
        <v>40388</v>
      </c>
      <c r="EN62" s="4">
        <v>185838</v>
      </c>
      <c r="EO62" s="4">
        <v>332174</v>
      </c>
      <c r="EP62" s="4">
        <v>2711150</v>
      </c>
      <c r="EQ62" s="4">
        <v>-664348</v>
      </c>
      <c r="ER62" s="3">
        <v>-0.3246</v>
      </c>
      <c r="ES62" s="4">
        <v>0</v>
      </c>
      <c r="ET62" s="4">
        <v>0</v>
      </c>
      <c r="EU62" s="4">
        <v>0</v>
      </c>
      <c r="EV62" s="4">
        <v>0</v>
      </c>
      <c r="EW62" s="4">
        <v>0</v>
      </c>
      <c r="EX62" s="4">
        <v>0</v>
      </c>
      <c r="EY62" s="1">
        <v>42273</v>
      </c>
      <c r="EZ62" s="1">
        <v>215887</v>
      </c>
      <c r="FA62" s="1">
        <v>37480</v>
      </c>
      <c r="FB62" s="1">
        <v>6150</v>
      </c>
      <c r="FC62" s="1">
        <v>28082</v>
      </c>
      <c r="FD62" s="1">
        <v>24478</v>
      </c>
      <c r="FE62" s="1">
        <v>1380</v>
      </c>
      <c r="FF62" s="1">
        <v>12145</v>
      </c>
      <c r="FG62" s="1">
        <v>61958</v>
      </c>
      <c r="FH62" s="1">
        <v>7530</v>
      </c>
      <c r="FI62" s="1">
        <v>40227</v>
      </c>
      <c r="FJ62" s="1">
        <v>109715</v>
      </c>
      <c r="FK62">
        <v>0</v>
      </c>
      <c r="FL62">
        <v>77</v>
      </c>
      <c r="FN62" s="1">
        <v>109715</v>
      </c>
      <c r="FO62" s="1">
        <v>9083</v>
      </c>
      <c r="FP62" s="1">
        <v>10093</v>
      </c>
      <c r="FQ62" s="1">
        <v>1774</v>
      </c>
      <c r="FR62">
        <v>9</v>
      </c>
      <c r="FS62">
        <v>74</v>
      </c>
      <c r="FT62">
        <v>83</v>
      </c>
      <c r="FU62" s="1">
        <v>26725</v>
      </c>
      <c r="FV62" s="1">
        <v>2022</v>
      </c>
      <c r="FW62">
        <v>0</v>
      </c>
      <c r="GG62" s="1">
        <v>34298</v>
      </c>
      <c r="GH62" s="1">
        <v>13913</v>
      </c>
      <c r="GI62">
        <v>370</v>
      </c>
      <c r="GJ62">
        <v>87</v>
      </c>
      <c r="GK62">
        <v>778</v>
      </c>
      <c r="GL62" s="1">
        <v>6787</v>
      </c>
      <c r="GM62">
        <v>5</v>
      </c>
      <c r="GN62">
        <v>77</v>
      </c>
      <c r="GO62" s="1">
        <v>61801</v>
      </c>
      <c r="GP62" s="1">
        <v>22722</v>
      </c>
      <c r="GQ62">
        <v>375</v>
      </c>
      <c r="GR62">
        <v>164</v>
      </c>
      <c r="GS62">
        <v>29</v>
      </c>
      <c r="GU62" s="1">
        <v>108000</v>
      </c>
      <c r="GV62" s="1">
        <v>21152</v>
      </c>
      <c r="GW62" s="1">
        <v>170515</v>
      </c>
      <c r="GX62" s="1">
        <v>37855</v>
      </c>
      <c r="GY62" s="1">
        <v>3029</v>
      </c>
      <c r="GZ62" s="1">
        <v>41675</v>
      </c>
      <c r="HA62" s="1">
        <v>145855</v>
      </c>
      <c r="HB62" s="1">
        <v>24181</v>
      </c>
      <c r="HC62" s="1">
        <v>212190</v>
      </c>
      <c r="HD62" s="1">
        <v>382226</v>
      </c>
      <c r="HE62">
        <v>796</v>
      </c>
      <c r="HF62" s="1">
        <v>384092</v>
      </c>
      <c r="HG62" s="1">
        <v>4145</v>
      </c>
      <c r="HH62" s="1">
        <v>114803</v>
      </c>
      <c r="HI62" s="1">
        <v>1070</v>
      </c>
      <c r="HJ62">
        <v>0</v>
      </c>
      <c r="HK62" s="1">
        <v>118948</v>
      </c>
      <c r="HL62" s="1">
        <v>503040</v>
      </c>
      <c r="HM62">
        <v>152</v>
      </c>
      <c r="HN62" s="1">
        <v>32796</v>
      </c>
      <c r="HO62" s="1">
        <v>32948</v>
      </c>
      <c r="HP62">
        <v>273</v>
      </c>
      <c r="HQ62" s="1">
        <v>17595</v>
      </c>
      <c r="HR62" s="1">
        <v>17868</v>
      </c>
      <c r="HS62">
        <v>0</v>
      </c>
      <c r="HT62">
        <v>196</v>
      </c>
      <c r="HU62">
        <v>196</v>
      </c>
      <c r="HV62" s="1">
        <v>3636</v>
      </c>
      <c r="HW62" s="1">
        <v>54648</v>
      </c>
      <c r="HX62" s="1">
        <v>30277</v>
      </c>
      <c r="HY62" s="1">
        <v>209427</v>
      </c>
      <c r="HZ62" s="1">
        <v>239704</v>
      </c>
      <c r="IA62" s="1">
        <v>294352</v>
      </c>
      <c r="IB62" s="1">
        <v>22013</v>
      </c>
      <c r="IC62" s="1">
        <v>137012</v>
      </c>
      <c r="ID62" s="1">
        <v>557688</v>
      </c>
      <c r="IE62" s="1">
        <v>557688</v>
      </c>
      <c r="IF62" s="1">
        <v>797392</v>
      </c>
      <c r="IG62" s="1">
        <v>236371</v>
      </c>
      <c r="IH62">
        <v>184</v>
      </c>
      <c r="IK62">
        <v>1</v>
      </c>
      <c r="IL62" s="3">
        <v>4.8500000000000001E-2</v>
      </c>
      <c r="IM62" s="3">
        <v>4.0000000000000002E-4</v>
      </c>
      <c r="IN62" s="3">
        <v>0.39400000000000002</v>
      </c>
      <c r="IO62" s="3">
        <v>0</v>
      </c>
      <c r="IP62" s="3">
        <v>0.2863</v>
      </c>
      <c r="IQ62" s="3">
        <v>4.0000000000000002E-4</v>
      </c>
      <c r="IR62" s="3">
        <v>0.50819999999999999</v>
      </c>
      <c r="IS62" s="3">
        <v>0.14729999999999999</v>
      </c>
      <c r="IT62" s="3">
        <v>0.42380000000000001</v>
      </c>
      <c r="IU62" s="1">
        <v>40770</v>
      </c>
      <c r="IV62" s="1">
        <v>12035</v>
      </c>
      <c r="IW62" s="1">
        <v>52805</v>
      </c>
      <c r="IX62" s="3">
        <v>0.27129999999999999</v>
      </c>
      <c r="IY62" s="1">
        <v>418004</v>
      </c>
      <c r="JA62">
        <v>128</v>
      </c>
      <c r="JB62">
        <v>121</v>
      </c>
      <c r="JC62" s="1">
        <v>1186</v>
      </c>
      <c r="JD62">
        <v>30</v>
      </c>
      <c r="JE62">
        <v>2</v>
      </c>
      <c r="JF62">
        <v>14</v>
      </c>
      <c r="JG62">
        <v>158</v>
      </c>
      <c r="JH62">
        <v>123</v>
      </c>
      <c r="JI62" s="1">
        <v>1200</v>
      </c>
      <c r="JJ62" s="1">
        <v>1481</v>
      </c>
      <c r="JK62" s="1">
        <v>1435</v>
      </c>
      <c r="JL62">
        <v>46</v>
      </c>
      <c r="JM62" s="1">
        <v>1046</v>
      </c>
      <c r="JN62" s="1">
        <v>1214</v>
      </c>
      <c r="JO62" s="1">
        <v>35656</v>
      </c>
      <c r="JP62">
        <v>456</v>
      </c>
      <c r="JQ62">
        <v>85</v>
      </c>
      <c r="JR62" s="1">
        <v>1541</v>
      </c>
      <c r="JS62" s="1">
        <v>1502</v>
      </c>
      <c r="JT62" s="1">
        <v>1299</v>
      </c>
      <c r="JU62" s="1">
        <v>37197</v>
      </c>
      <c r="JV62" s="1">
        <v>39998</v>
      </c>
      <c r="JW62" s="1">
        <v>37916</v>
      </c>
      <c r="JX62" s="1">
        <v>2082</v>
      </c>
      <c r="JY62">
        <v>27.01</v>
      </c>
      <c r="JZ62">
        <v>9.51</v>
      </c>
      <c r="KA62">
        <v>31</v>
      </c>
      <c r="KB62">
        <v>0.04</v>
      </c>
      <c r="KC62">
        <v>0.93</v>
      </c>
      <c r="KD62">
        <v>6</v>
      </c>
      <c r="KE62">
        <v>98</v>
      </c>
      <c r="KF62">
        <v>11</v>
      </c>
      <c r="KG62">
        <v>960</v>
      </c>
      <c r="KN62" s="1">
        <v>71776</v>
      </c>
      <c r="KO62" s="1">
        <v>24427</v>
      </c>
      <c r="KP62" s="1">
        <v>1961</v>
      </c>
      <c r="KR62">
        <v>190</v>
      </c>
      <c r="KS62" s="1">
        <v>3023</v>
      </c>
      <c r="KT62">
        <v>743</v>
      </c>
      <c r="KU62">
        <v>212</v>
      </c>
      <c r="KV62">
        <v>43</v>
      </c>
      <c r="KW62">
        <v>114</v>
      </c>
      <c r="KX62" s="1">
        <v>74277</v>
      </c>
      <c r="LD62" t="s">
        <v>1112</v>
      </c>
      <c r="LE62" t="s">
        <v>379</v>
      </c>
      <c r="LF62" t="s">
        <v>1110</v>
      </c>
      <c r="LG62" t="s">
        <v>1111</v>
      </c>
      <c r="LH62">
        <v>28540</v>
      </c>
      <c r="LI62">
        <v>5197</v>
      </c>
      <c r="LJ62" t="s">
        <v>1110</v>
      </c>
      <c r="LK62" t="s">
        <v>1111</v>
      </c>
      <c r="LL62">
        <v>28540</v>
      </c>
      <c r="LM62">
        <v>5197</v>
      </c>
      <c r="LN62" t="s">
        <v>1113</v>
      </c>
      <c r="LO62">
        <v>9104557350</v>
      </c>
      <c r="LP62">
        <v>9109895790</v>
      </c>
      <c r="LQ62" s="1">
        <v>34136</v>
      </c>
      <c r="LR62">
        <v>32.5</v>
      </c>
      <c r="LT62" s="1">
        <v>10852</v>
      </c>
      <c r="LU62">
        <v>208</v>
      </c>
      <c r="LX62">
        <v>2</v>
      </c>
      <c r="LY62" t="s">
        <v>1116</v>
      </c>
      <c r="LZ62">
        <v>0</v>
      </c>
      <c r="MA62" t="s">
        <v>363</v>
      </c>
      <c r="MB62">
        <v>69.430000000000007</v>
      </c>
      <c r="MC62">
        <v>8.5399999999999991</v>
      </c>
      <c r="ME62" s="574">
        <v>4.8600000000000003</v>
      </c>
      <c r="MF62" s="574">
        <v>3.93</v>
      </c>
      <c r="MG62" s="574">
        <v>0.33</v>
      </c>
      <c r="MH62" s="574">
        <v>51.34</v>
      </c>
      <c r="MI62" s="574">
        <v>41.53</v>
      </c>
      <c r="MJ62" s="574">
        <v>3.52</v>
      </c>
      <c r="MK62" s="574">
        <v>6.49</v>
      </c>
      <c r="ML62" s="574">
        <v>5.25</v>
      </c>
      <c r="MM62" s="574">
        <v>0.44</v>
      </c>
      <c r="MN62" s="574">
        <v>37.770000000000003</v>
      </c>
      <c r="MO62" s="574">
        <v>30.56</v>
      </c>
      <c r="MP62" s="574">
        <v>2.59</v>
      </c>
      <c r="MQ62" s="574">
        <v>67.78</v>
      </c>
      <c r="MR62" s="574">
        <v>54.83</v>
      </c>
      <c r="MS62" s="574">
        <v>4.6500000000000004</v>
      </c>
      <c r="MT62" s="574">
        <v>11.47</v>
      </c>
      <c r="MU62" s="574">
        <v>9.2799999999999994</v>
      </c>
      <c r="MV62" s="574">
        <v>0.79</v>
      </c>
      <c r="MW62" s="1">
        <v>2279</v>
      </c>
      <c r="MX62" s="1">
        <v>14355</v>
      </c>
      <c r="MY62" s="1">
        <v>14355</v>
      </c>
      <c r="MZ62" s="1">
        <v>13270</v>
      </c>
      <c r="NA62" s="1">
        <v>83601</v>
      </c>
      <c r="NB62" s="1">
        <v>83601</v>
      </c>
      <c r="NC62" s="1">
        <v>111538</v>
      </c>
      <c r="ND62" s="1">
        <v>111538</v>
      </c>
      <c r="NE62">
        <v>2.58</v>
      </c>
      <c r="NF62" s="1">
        <v>17704</v>
      </c>
      <c r="NG62">
        <v>8.51</v>
      </c>
      <c r="NH62">
        <v>2.8650000000000002</v>
      </c>
      <c r="NI62">
        <v>2.15</v>
      </c>
      <c r="NJ62">
        <v>14.07</v>
      </c>
      <c r="NK62">
        <v>4.01</v>
      </c>
      <c r="NL62">
        <v>0.36880000000000002</v>
      </c>
      <c r="NM62">
        <v>1.2143999999999999</v>
      </c>
      <c r="NN62">
        <v>0.27</v>
      </c>
      <c r="NO62">
        <v>0.21</v>
      </c>
      <c r="NP62">
        <v>0</v>
      </c>
      <c r="NQ62">
        <v>0</v>
      </c>
      <c r="NR62">
        <v>0.38</v>
      </c>
      <c r="NS62">
        <v>0.01</v>
      </c>
      <c r="NT62">
        <v>0.19</v>
      </c>
      <c r="NU62" s="574">
        <v>11.27</v>
      </c>
      <c r="NV62">
        <v>1.109</v>
      </c>
      <c r="NW62">
        <v>0</v>
      </c>
      <c r="NX62">
        <v>0</v>
      </c>
      <c r="NY62">
        <v>0.318</v>
      </c>
      <c r="NZ62">
        <v>0</v>
      </c>
      <c r="OA62">
        <v>9.4700000000000006E-2</v>
      </c>
      <c r="OB62">
        <v>0.59650000000000003</v>
      </c>
      <c r="OC62">
        <v>1.458</v>
      </c>
      <c r="OD62">
        <v>0.56399999999999995</v>
      </c>
      <c r="OE62">
        <v>0.13619999999999999</v>
      </c>
      <c r="OF62" s="2">
        <v>1170.3630000000001</v>
      </c>
      <c r="OG62">
        <v>1.5720000000000001</v>
      </c>
      <c r="OH62" s="574">
        <v>1.71</v>
      </c>
      <c r="OI62">
        <v>602</v>
      </c>
      <c r="OJ62">
        <v>198</v>
      </c>
      <c r="OK62" s="574">
        <v>13.93</v>
      </c>
      <c r="OL62" s="574">
        <v>0.95</v>
      </c>
      <c r="OM62" s="574">
        <v>0.56000000000000005</v>
      </c>
      <c r="ON62">
        <v>0.1618</v>
      </c>
      <c r="OO62">
        <v>2.5700000000000001E-2</v>
      </c>
      <c r="OP62">
        <v>0.50190000000000001</v>
      </c>
      <c r="OQ62" s="574">
        <v>1.1499999999999999</v>
      </c>
      <c r="OR62" s="574">
        <v>8.44</v>
      </c>
      <c r="OS62" s="574">
        <v>0</v>
      </c>
      <c r="OT62" s="574">
        <v>0.93</v>
      </c>
      <c r="OU62" s="574">
        <v>10.52</v>
      </c>
      <c r="OV62">
        <v>14</v>
      </c>
      <c r="OW62">
        <v>4</v>
      </c>
      <c r="OX62">
        <v>1.33</v>
      </c>
      <c r="OY62" s="1">
        <v>10725</v>
      </c>
      <c r="OZ62">
        <v>38.520000000000003</v>
      </c>
      <c r="PA62" s="1">
        <v>8039</v>
      </c>
      <c r="PB62">
        <v>6.61</v>
      </c>
      <c r="PC62">
        <v>51.39</v>
      </c>
      <c r="PD62">
        <v>0.17</v>
      </c>
      <c r="PE62" s="1">
        <v>1380</v>
      </c>
      <c r="PF62">
        <v>0.39</v>
      </c>
      <c r="PG62" s="574">
        <v>0.44</v>
      </c>
      <c r="PH62">
        <v>0.52</v>
      </c>
      <c r="PI62">
        <v>5.58</v>
      </c>
      <c r="PJ62">
        <v>10.56</v>
      </c>
      <c r="PK62" s="574">
        <v>6.49</v>
      </c>
      <c r="PL62">
        <v>52.17</v>
      </c>
      <c r="PM62" s="4">
        <v>69623</v>
      </c>
      <c r="PN62" s="4">
        <v>59003</v>
      </c>
      <c r="PO62">
        <v>5.6500000000000002E-2</v>
      </c>
      <c r="PP62">
        <v>0.43890000000000001</v>
      </c>
      <c r="PQ62">
        <v>7.5399999999999995E-2</v>
      </c>
      <c r="PR62">
        <v>8.9999999999999993E-3</v>
      </c>
      <c r="PS62">
        <v>6.9699999999999998E-2</v>
      </c>
      <c r="PT62">
        <v>1.2E-2</v>
      </c>
      <c r="PU62" s="3">
        <v>1</v>
      </c>
      <c r="PV62" s="3">
        <v>0.15870000000000001</v>
      </c>
      <c r="PW62" s="3">
        <v>0.84130000000000005</v>
      </c>
      <c r="PX62" s="3">
        <v>0.1525</v>
      </c>
      <c r="PY62" s="3">
        <v>0.84750000000000003</v>
      </c>
      <c r="PZ62" s="3">
        <v>6.8500000000000005E-2</v>
      </c>
      <c r="QA62" s="3">
        <v>1.32E-2</v>
      </c>
      <c r="QB62" s="3">
        <v>0.1234</v>
      </c>
      <c r="QC62" s="3">
        <v>1.49E-2</v>
      </c>
      <c r="QD62" s="3">
        <v>0.1225</v>
      </c>
      <c r="QE62" s="3">
        <v>4.0500000000000001E-2</v>
      </c>
      <c r="QF62" s="3">
        <v>0.6855</v>
      </c>
      <c r="QG62" s="3">
        <v>0.80889999999999995</v>
      </c>
      <c r="QH62" s="3">
        <v>0</v>
      </c>
      <c r="QI62" s="3">
        <v>0.80259999999999998</v>
      </c>
      <c r="QJ62" s="3">
        <v>8.8400000000000006E-2</v>
      </c>
      <c r="QK62" s="3">
        <v>0.1089</v>
      </c>
      <c r="QL62" s="4">
        <v>10621</v>
      </c>
      <c r="QM62">
        <v>7.92</v>
      </c>
      <c r="QN62" s="1">
        <v>38927</v>
      </c>
      <c r="QO62" s="1">
        <v>38927</v>
      </c>
      <c r="QP62" s="1">
        <v>6179</v>
      </c>
      <c r="QQ62" s="3">
        <v>0.59019999999999995</v>
      </c>
      <c r="QR62" s="3">
        <v>0.1925</v>
      </c>
      <c r="QS62" s="3">
        <v>0.21729999999999999</v>
      </c>
      <c r="QT62" s="3">
        <v>0.15870000000000001</v>
      </c>
      <c r="QU62">
        <v>0.3</v>
      </c>
      <c r="QV62">
        <v>1.67</v>
      </c>
      <c r="QW62">
        <v>0.25</v>
      </c>
      <c r="QX62">
        <v>16</v>
      </c>
      <c r="QY62">
        <v>5.08</v>
      </c>
      <c r="QZ62">
        <v>14</v>
      </c>
      <c r="RA62">
        <v>3</v>
      </c>
      <c r="RB62">
        <v>0.21</v>
      </c>
      <c r="RC62">
        <v>0.27</v>
      </c>
    </row>
    <row r="63" spans="1:471" x14ac:dyDescent="0.25">
      <c r="A63" t="s">
        <v>1117</v>
      </c>
      <c r="B63">
        <v>154238</v>
      </c>
      <c r="C63" t="s">
        <v>1754</v>
      </c>
      <c r="D63" t="s">
        <v>1754</v>
      </c>
      <c r="E63" t="s">
        <v>1754</v>
      </c>
      <c r="F63" t="s">
        <v>1755</v>
      </c>
      <c r="G63" t="s">
        <v>1755</v>
      </c>
      <c r="H63" t="s">
        <v>1118</v>
      </c>
      <c r="I63" t="s">
        <v>342</v>
      </c>
      <c r="J63" t="s">
        <v>343</v>
      </c>
      <c r="K63" t="s">
        <v>395</v>
      </c>
      <c r="L63" t="s">
        <v>345</v>
      </c>
      <c r="M63" t="s">
        <v>457</v>
      </c>
      <c r="N63" t="s">
        <v>347</v>
      </c>
      <c r="O63" s="1">
        <v>80575</v>
      </c>
      <c r="P63" t="s">
        <v>472</v>
      </c>
      <c r="Q63">
        <v>675</v>
      </c>
      <c r="R63">
        <v>122</v>
      </c>
      <c r="S63">
        <v>91</v>
      </c>
      <c r="T63">
        <v>0</v>
      </c>
      <c r="U63" s="1">
        <v>2489</v>
      </c>
      <c r="V63">
        <v>0</v>
      </c>
      <c r="W63" s="1">
        <v>65131</v>
      </c>
      <c r="X63" s="1">
        <v>5127</v>
      </c>
      <c r="Y63" s="1">
        <v>53237</v>
      </c>
      <c r="Z63" s="1">
        <v>78568</v>
      </c>
      <c r="AC63" t="s">
        <v>1119</v>
      </c>
      <c r="AD63" t="s">
        <v>1120</v>
      </c>
      <c r="AE63">
        <v>27278</v>
      </c>
      <c r="AG63" t="s">
        <v>1119</v>
      </c>
      <c r="AH63" t="s">
        <v>1120</v>
      </c>
      <c r="AI63">
        <v>27278</v>
      </c>
      <c r="AJ63">
        <v>3</v>
      </c>
      <c r="AK63" t="s">
        <v>1121</v>
      </c>
      <c r="AM63" t="s">
        <v>0</v>
      </c>
      <c r="AN63" t="s">
        <v>565</v>
      </c>
      <c r="AO63" t="s">
        <v>1122</v>
      </c>
      <c r="AP63">
        <v>9192452528</v>
      </c>
      <c r="AQ63" t="s">
        <v>1124</v>
      </c>
      <c r="AR63" t="s">
        <v>1125</v>
      </c>
      <c r="AS63" t="s">
        <v>1126</v>
      </c>
      <c r="AT63" t="s">
        <v>1933</v>
      </c>
      <c r="AU63" t="s">
        <v>1127</v>
      </c>
      <c r="AV63" t="s">
        <v>1124</v>
      </c>
      <c r="AW63" t="s">
        <v>1128</v>
      </c>
      <c r="AX63" t="s">
        <v>1129</v>
      </c>
      <c r="AY63">
        <v>0</v>
      </c>
      <c r="AZ63">
        <v>0</v>
      </c>
      <c r="BA63">
        <v>0</v>
      </c>
      <c r="BB63" s="573">
        <v>42186</v>
      </c>
      <c r="BC63" s="573">
        <v>42551</v>
      </c>
      <c r="BD63">
        <v>1</v>
      </c>
      <c r="BE63">
        <v>2</v>
      </c>
      <c r="BF63">
        <v>0</v>
      </c>
      <c r="BG63">
        <v>0</v>
      </c>
      <c r="BH63">
        <v>3</v>
      </c>
      <c r="BJ63" s="1">
        <v>6916</v>
      </c>
      <c r="BK63">
        <v>10</v>
      </c>
      <c r="BL63">
        <v>0</v>
      </c>
      <c r="BM63">
        <v>10</v>
      </c>
      <c r="BN63">
        <v>14.13</v>
      </c>
      <c r="BO63">
        <v>24.13</v>
      </c>
      <c r="BP63" s="3">
        <v>0.41439999999999999</v>
      </c>
      <c r="BQ63" s="1">
        <v>2113</v>
      </c>
      <c r="BR63" s="4">
        <v>94091</v>
      </c>
      <c r="DW63" s="4">
        <v>4000</v>
      </c>
      <c r="DX63" s="4">
        <v>1967047</v>
      </c>
      <c r="DY63" s="4">
        <v>1971047</v>
      </c>
      <c r="DZ63" s="4">
        <v>105598</v>
      </c>
      <c r="EA63" s="4">
        <v>0</v>
      </c>
      <c r="EB63" s="4">
        <v>105598</v>
      </c>
      <c r="EC63" s="4">
        <v>12628</v>
      </c>
      <c r="ED63" s="4">
        <v>0</v>
      </c>
      <c r="EE63" s="4">
        <v>12628</v>
      </c>
      <c r="EF63" s="4">
        <v>43528</v>
      </c>
      <c r="EG63" s="4">
        <v>2132801</v>
      </c>
      <c r="EH63" s="4">
        <v>1250739</v>
      </c>
      <c r="EI63" s="4">
        <v>439608</v>
      </c>
      <c r="EJ63" s="4">
        <v>1690347</v>
      </c>
      <c r="EK63" s="4">
        <v>165989</v>
      </c>
      <c r="EL63" s="4">
        <v>45762</v>
      </c>
      <c r="EM63" s="4">
        <v>56327</v>
      </c>
      <c r="EN63" s="4">
        <v>268078</v>
      </c>
      <c r="EO63" s="4">
        <v>125846</v>
      </c>
      <c r="EP63" s="4">
        <v>2084271</v>
      </c>
      <c r="EQ63" s="4">
        <v>48530</v>
      </c>
      <c r="ER63" s="3">
        <v>2.2800000000000001E-2</v>
      </c>
      <c r="ES63" s="4">
        <v>1000</v>
      </c>
      <c r="ET63" s="4">
        <v>0</v>
      </c>
      <c r="EU63" s="4">
        <v>17038</v>
      </c>
      <c r="EV63" s="4">
        <v>0</v>
      </c>
      <c r="EW63" s="4">
        <v>18038</v>
      </c>
      <c r="EX63" s="4">
        <v>18038</v>
      </c>
      <c r="EY63" s="1">
        <v>15504</v>
      </c>
      <c r="EZ63" s="1">
        <v>145979</v>
      </c>
      <c r="FA63" s="1">
        <v>25406</v>
      </c>
      <c r="FB63" s="1">
        <v>4768</v>
      </c>
      <c r="FC63" s="1">
        <v>31301</v>
      </c>
      <c r="FD63" s="1">
        <v>26407</v>
      </c>
      <c r="FE63">
        <v>779</v>
      </c>
      <c r="FF63" s="1">
        <v>11948</v>
      </c>
      <c r="FG63" s="1">
        <v>51813</v>
      </c>
      <c r="FH63" s="1">
        <v>5547</v>
      </c>
      <c r="FI63" s="1">
        <v>43249</v>
      </c>
      <c r="FJ63" s="1">
        <v>100609</v>
      </c>
      <c r="FK63">
        <v>268</v>
      </c>
      <c r="FL63">
        <v>203</v>
      </c>
      <c r="FN63" s="1">
        <v>100609</v>
      </c>
      <c r="FO63" s="1">
        <v>5842</v>
      </c>
      <c r="FP63" s="1">
        <v>7428</v>
      </c>
      <c r="FQ63">
        <v>701</v>
      </c>
      <c r="FR63">
        <v>9</v>
      </c>
      <c r="FS63">
        <v>74</v>
      </c>
      <c r="FT63">
        <v>83</v>
      </c>
      <c r="FU63" s="1">
        <v>26725</v>
      </c>
      <c r="FV63" s="1">
        <v>2022</v>
      </c>
      <c r="FW63">
        <v>0</v>
      </c>
      <c r="GK63" s="1">
        <v>1886</v>
      </c>
      <c r="GL63">
        <v>213</v>
      </c>
      <c r="GM63">
        <v>-1</v>
      </c>
      <c r="GN63">
        <v>0</v>
      </c>
      <c r="GO63" s="1">
        <v>28611</v>
      </c>
      <c r="GP63" s="1">
        <v>2235</v>
      </c>
      <c r="GQ63">
        <v>-1</v>
      </c>
      <c r="GR63">
        <v>0</v>
      </c>
      <c r="GS63">
        <v>19</v>
      </c>
      <c r="GU63" s="1">
        <v>61110</v>
      </c>
      <c r="GV63" s="1">
        <v>10653</v>
      </c>
      <c r="GW63" s="1">
        <v>145596</v>
      </c>
      <c r="GX63" s="1">
        <v>45495</v>
      </c>
      <c r="GY63" s="1">
        <v>7027</v>
      </c>
      <c r="GZ63" s="1">
        <v>69048</v>
      </c>
      <c r="HA63" s="1">
        <v>106605</v>
      </c>
      <c r="HB63" s="1">
        <v>17680</v>
      </c>
      <c r="HC63" s="1">
        <v>214644</v>
      </c>
      <c r="HD63" s="1">
        <v>338929</v>
      </c>
      <c r="HE63" s="1">
        <v>3697</v>
      </c>
      <c r="HF63" s="1">
        <v>342626</v>
      </c>
      <c r="HG63" s="1">
        <v>23915</v>
      </c>
      <c r="HH63" s="1">
        <v>66438</v>
      </c>
      <c r="HI63">
        <v>0</v>
      </c>
      <c r="HJ63" s="1">
        <v>2586</v>
      </c>
      <c r="HK63" s="1">
        <v>92939</v>
      </c>
      <c r="HL63" s="1">
        <v>435565</v>
      </c>
      <c r="HM63">
        <v>32</v>
      </c>
      <c r="HN63" s="1">
        <v>8247</v>
      </c>
      <c r="HO63" s="1">
        <v>8279</v>
      </c>
      <c r="HP63">
        <v>256</v>
      </c>
      <c r="HQ63" s="1">
        <v>2687</v>
      </c>
      <c r="HR63" s="1">
        <v>2943</v>
      </c>
      <c r="HS63">
        <v>0</v>
      </c>
      <c r="HT63">
        <v>0</v>
      </c>
      <c r="HU63">
        <v>0</v>
      </c>
      <c r="HV63">
        <v>0</v>
      </c>
      <c r="HW63" s="1">
        <v>11222</v>
      </c>
      <c r="HX63" s="1">
        <v>2233</v>
      </c>
      <c r="HY63" s="1">
        <v>1352</v>
      </c>
      <c r="HZ63" s="1">
        <v>3585</v>
      </c>
      <c r="IA63" s="1">
        <v>14807</v>
      </c>
      <c r="IB63" s="1">
        <v>26858</v>
      </c>
      <c r="IC63" s="1">
        <v>93296</v>
      </c>
      <c r="ID63" s="1">
        <v>446787</v>
      </c>
      <c r="IE63" s="1">
        <v>446787</v>
      </c>
      <c r="IF63" s="1">
        <v>450372</v>
      </c>
      <c r="IG63" s="1">
        <v>247689</v>
      </c>
      <c r="IH63" s="1">
        <v>1034</v>
      </c>
      <c r="IK63">
        <v>1</v>
      </c>
      <c r="IL63" s="3">
        <v>5.0900000000000001E-2</v>
      </c>
      <c r="IM63" s="3">
        <v>1.4E-3</v>
      </c>
      <c r="IN63" s="3">
        <v>0.21129999999999999</v>
      </c>
      <c r="IO63" s="3">
        <v>0</v>
      </c>
      <c r="IP63" s="3">
        <v>0.19600000000000001</v>
      </c>
      <c r="IQ63" s="3">
        <v>5.9999999999999995E-4</v>
      </c>
      <c r="IR63" s="3">
        <v>0.68920000000000003</v>
      </c>
      <c r="IS63" s="3">
        <v>5.5300000000000002E-2</v>
      </c>
      <c r="IT63" s="3">
        <v>0.5544</v>
      </c>
      <c r="IU63" s="1">
        <v>14016</v>
      </c>
      <c r="IV63" s="1">
        <v>2753</v>
      </c>
      <c r="IW63" s="1">
        <v>16769</v>
      </c>
      <c r="IX63" s="3">
        <v>0.20810000000000001</v>
      </c>
      <c r="IY63" s="1">
        <v>300004</v>
      </c>
      <c r="JA63">
        <v>102</v>
      </c>
      <c r="JB63">
        <v>3</v>
      </c>
      <c r="JC63">
        <v>401</v>
      </c>
      <c r="JD63">
        <v>4</v>
      </c>
      <c r="JE63">
        <v>0</v>
      </c>
      <c r="JF63">
        <v>15</v>
      </c>
      <c r="JG63">
        <v>106</v>
      </c>
      <c r="JH63">
        <v>3</v>
      </c>
      <c r="JI63">
        <v>416</v>
      </c>
      <c r="JJ63">
        <v>525</v>
      </c>
      <c r="JK63">
        <v>506</v>
      </c>
      <c r="JL63">
        <v>19</v>
      </c>
      <c r="JM63">
        <v>909</v>
      </c>
      <c r="JN63">
        <v>26</v>
      </c>
      <c r="JO63" s="1">
        <v>10971</v>
      </c>
      <c r="JP63">
        <v>45</v>
      </c>
      <c r="JQ63">
        <v>0</v>
      </c>
      <c r="JR63">
        <v>486</v>
      </c>
      <c r="JS63">
        <v>954</v>
      </c>
      <c r="JT63">
        <v>26</v>
      </c>
      <c r="JU63" s="1">
        <v>11457</v>
      </c>
      <c r="JV63" s="1">
        <v>12437</v>
      </c>
      <c r="JW63" s="1">
        <v>11906</v>
      </c>
      <c r="JX63">
        <v>531</v>
      </c>
      <c r="JY63">
        <v>23.69</v>
      </c>
      <c r="JZ63">
        <v>9</v>
      </c>
      <c r="KA63">
        <v>27.54</v>
      </c>
      <c r="KB63">
        <v>0.08</v>
      </c>
      <c r="KC63">
        <v>0.92</v>
      </c>
      <c r="KD63">
        <v>7</v>
      </c>
      <c r="KE63">
        <v>17</v>
      </c>
      <c r="KF63">
        <v>55</v>
      </c>
      <c r="KG63">
        <v>101</v>
      </c>
      <c r="KN63" s="1">
        <v>23409</v>
      </c>
      <c r="KO63" s="1">
        <v>7407</v>
      </c>
      <c r="KP63">
        <v>321</v>
      </c>
      <c r="KR63" s="1">
        <v>3085</v>
      </c>
      <c r="KS63" s="1">
        <v>6725</v>
      </c>
      <c r="KT63">
        <v>6</v>
      </c>
      <c r="KU63">
        <v>147</v>
      </c>
      <c r="KV63">
        <v>35</v>
      </c>
      <c r="KW63">
        <v>60</v>
      </c>
      <c r="KX63" s="1">
        <v>64576</v>
      </c>
      <c r="KZ63" s="1">
        <v>250861</v>
      </c>
      <c r="LA63" s="1">
        <v>16092</v>
      </c>
      <c r="LD63" t="s">
        <v>1121</v>
      </c>
      <c r="LE63" t="s">
        <v>379</v>
      </c>
      <c r="LF63" t="s">
        <v>1119</v>
      </c>
      <c r="LG63" t="s">
        <v>1120</v>
      </c>
      <c r="LH63">
        <v>27278</v>
      </c>
      <c r="LJ63" t="s">
        <v>1119</v>
      </c>
      <c r="LK63" t="s">
        <v>1130</v>
      </c>
      <c r="LL63">
        <v>27278</v>
      </c>
      <c r="LN63" t="s">
        <v>1131</v>
      </c>
      <c r="LO63">
        <v>9192452525</v>
      </c>
      <c r="LP63">
        <v>9196443003</v>
      </c>
      <c r="LQ63" s="1">
        <v>31560</v>
      </c>
      <c r="LR63">
        <v>24.13</v>
      </c>
      <c r="LT63" s="1">
        <v>6916</v>
      </c>
      <c r="LU63">
        <v>156</v>
      </c>
      <c r="LX63">
        <v>1</v>
      </c>
      <c r="LY63" t="s">
        <v>1132</v>
      </c>
      <c r="LZ63">
        <v>0</v>
      </c>
      <c r="MA63" t="s">
        <v>363</v>
      </c>
      <c r="MB63">
        <v>8.1</v>
      </c>
      <c r="MC63">
        <v>7.7</v>
      </c>
      <c r="ME63" s="574">
        <v>4.67</v>
      </c>
      <c r="MF63" s="574">
        <v>3.78</v>
      </c>
      <c r="MG63" s="574">
        <v>0.6</v>
      </c>
      <c r="MH63" s="574">
        <v>124.29</v>
      </c>
      <c r="MI63" s="574">
        <v>100.8</v>
      </c>
      <c r="MJ63" s="574">
        <v>15.99</v>
      </c>
      <c r="MK63" s="574">
        <v>6.95</v>
      </c>
      <c r="ML63" s="574">
        <v>5.63</v>
      </c>
      <c r="MM63" s="574">
        <v>0.89</v>
      </c>
      <c r="MN63" s="574">
        <v>89.04</v>
      </c>
      <c r="MO63" s="574">
        <v>72.209999999999994</v>
      </c>
      <c r="MP63" s="574">
        <v>11.45</v>
      </c>
      <c r="MQ63" s="574">
        <v>167.59</v>
      </c>
      <c r="MR63" s="574">
        <v>135.91</v>
      </c>
      <c r="MS63" s="574">
        <v>21.55</v>
      </c>
      <c r="MT63" s="574">
        <v>8.41</v>
      </c>
      <c r="MU63" s="574">
        <v>6.82</v>
      </c>
      <c r="MV63" s="574">
        <v>1.08</v>
      </c>
      <c r="MW63">
        <v>970</v>
      </c>
      <c r="MX63" s="1">
        <v>2341</v>
      </c>
      <c r="MY63" s="1">
        <v>2341</v>
      </c>
      <c r="MZ63" s="1">
        <v>12433</v>
      </c>
      <c r="NA63" s="1">
        <v>30000</v>
      </c>
      <c r="NB63" s="1">
        <v>30000</v>
      </c>
      <c r="NC63" s="1">
        <v>44679</v>
      </c>
      <c r="ND63" s="1">
        <v>44679</v>
      </c>
      <c r="NE63">
        <v>3.06</v>
      </c>
      <c r="NF63" s="1">
        <v>18516</v>
      </c>
      <c r="NG63">
        <v>8.9</v>
      </c>
      <c r="NH63">
        <v>5.5449999999999999</v>
      </c>
      <c r="NI63">
        <v>3.72</v>
      </c>
      <c r="NJ63">
        <v>0.36</v>
      </c>
      <c r="NK63">
        <v>8.77</v>
      </c>
      <c r="NL63">
        <v>0.29049999999999998</v>
      </c>
      <c r="NM63">
        <v>3.0739999999999998</v>
      </c>
      <c r="NN63">
        <v>0.21</v>
      </c>
      <c r="NO63">
        <v>0.15</v>
      </c>
      <c r="NP63">
        <v>0</v>
      </c>
      <c r="NQ63">
        <v>0</v>
      </c>
      <c r="NR63">
        <v>0.8</v>
      </c>
      <c r="NS63">
        <v>0.01</v>
      </c>
      <c r="NT63">
        <v>0.14000000000000001</v>
      </c>
      <c r="NU63" s="574">
        <v>20.98</v>
      </c>
      <c r="NV63">
        <v>1.8120000000000001</v>
      </c>
      <c r="NW63">
        <v>0</v>
      </c>
      <c r="NX63">
        <v>3.0000000000000001E-3</v>
      </c>
      <c r="NY63">
        <v>0.35499999999999998</v>
      </c>
      <c r="NZ63">
        <v>1E-3</v>
      </c>
      <c r="OA63">
        <v>0.59630000000000005</v>
      </c>
      <c r="OB63">
        <v>1.4390000000000001</v>
      </c>
      <c r="OC63">
        <v>12.106</v>
      </c>
      <c r="OD63">
        <v>1.2490000000000001</v>
      </c>
      <c r="OE63">
        <v>0.1754</v>
      </c>
      <c r="OF63" s="2">
        <v>1706.184</v>
      </c>
      <c r="OG63">
        <v>4.95</v>
      </c>
      <c r="OH63" s="574">
        <v>1.56</v>
      </c>
      <c r="OI63">
        <v>482</v>
      </c>
      <c r="OJ63">
        <v>443</v>
      </c>
      <c r="OK63" s="574">
        <v>25.87</v>
      </c>
      <c r="OL63" s="574">
        <v>3.33</v>
      </c>
      <c r="OM63" s="574">
        <v>2.06</v>
      </c>
      <c r="ON63">
        <v>0.29949999999999999</v>
      </c>
      <c r="OO63">
        <v>0.1241</v>
      </c>
      <c r="OP63">
        <v>0.84260000000000002</v>
      </c>
      <c r="OQ63" s="574">
        <v>1.31</v>
      </c>
      <c r="OR63" s="574">
        <v>24.46</v>
      </c>
      <c r="OS63" s="574">
        <v>0.16</v>
      </c>
      <c r="OT63" s="574">
        <v>0.54</v>
      </c>
      <c r="OU63" s="574">
        <v>26.47</v>
      </c>
      <c r="OV63">
        <v>0</v>
      </c>
      <c r="OW63">
        <v>3</v>
      </c>
      <c r="OX63">
        <v>1.49</v>
      </c>
      <c r="OY63" s="1">
        <v>8592</v>
      </c>
      <c r="OZ63">
        <v>43.38</v>
      </c>
      <c r="PA63" s="1">
        <v>5769</v>
      </c>
      <c r="PB63">
        <v>3.38</v>
      </c>
      <c r="PC63">
        <v>64.599999999999994</v>
      </c>
      <c r="PD63">
        <v>0.08</v>
      </c>
      <c r="PE63">
        <v>450</v>
      </c>
      <c r="PF63">
        <v>0.33</v>
      </c>
      <c r="PG63" s="574">
        <v>0.89</v>
      </c>
      <c r="PH63">
        <v>0.49</v>
      </c>
      <c r="PI63">
        <v>8.58</v>
      </c>
      <c r="PJ63">
        <v>26.64</v>
      </c>
      <c r="PK63" s="574">
        <v>6.95</v>
      </c>
      <c r="PL63">
        <v>44.33</v>
      </c>
      <c r="PM63" s="4">
        <v>70052</v>
      </c>
      <c r="PN63" s="4">
        <v>51833</v>
      </c>
      <c r="PO63">
        <v>5.3999999999999999E-2</v>
      </c>
      <c r="PP63">
        <v>1.0307999999999999</v>
      </c>
      <c r="PQ63">
        <v>8.0399999999999999E-2</v>
      </c>
      <c r="PR63">
        <v>2.24E-2</v>
      </c>
      <c r="PS63">
        <v>0.42720000000000002</v>
      </c>
      <c r="PT63">
        <v>3.3300000000000003E-2</v>
      </c>
      <c r="PU63" s="3">
        <v>1</v>
      </c>
      <c r="PV63" s="3">
        <v>0.41439999999999999</v>
      </c>
      <c r="PW63" s="3">
        <v>0.58560000000000001</v>
      </c>
      <c r="PX63" s="3">
        <v>0.2601</v>
      </c>
      <c r="PY63" s="3">
        <v>0.7399</v>
      </c>
      <c r="PZ63" s="3">
        <v>0.12859999999999999</v>
      </c>
      <c r="QA63" s="3">
        <v>2.1999999999999999E-2</v>
      </c>
      <c r="QB63" s="3">
        <v>0.2109</v>
      </c>
      <c r="QC63" s="3">
        <v>2.7E-2</v>
      </c>
      <c r="QD63" s="3">
        <v>6.0400000000000002E-2</v>
      </c>
      <c r="QE63" s="3">
        <v>7.9600000000000004E-2</v>
      </c>
      <c r="QF63" s="3">
        <v>0.60009999999999997</v>
      </c>
      <c r="QG63" s="3">
        <v>0.81100000000000005</v>
      </c>
      <c r="QH63" s="3">
        <v>5.8999999999999999E-3</v>
      </c>
      <c r="QI63" s="3">
        <v>0.92420000000000002</v>
      </c>
      <c r="QJ63" s="3">
        <v>2.0400000000000001E-2</v>
      </c>
      <c r="QK63" s="3">
        <v>4.9500000000000002E-2</v>
      </c>
      <c r="QL63" s="4">
        <v>18218</v>
      </c>
      <c r="QM63">
        <v>17.89</v>
      </c>
      <c r="QN63" s="1">
        <v>8058</v>
      </c>
      <c r="QO63" s="1">
        <v>8058</v>
      </c>
      <c r="QP63" s="1">
        <v>3339</v>
      </c>
      <c r="QQ63" s="3">
        <v>0.61919999999999997</v>
      </c>
      <c r="QR63" s="3">
        <v>0.17069999999999999</v>
      </c>
      <c r="QS63" s="3">
        <v>0.21010000000000001</v>
      </c>
      <c r="QT63" s="3">
        <v>0.41439999999999999</v>
      </c>
      <c r="QU63">
        <v>0.36</v>
      </c>
      <c r="QV63">
        <v>1.02</v>
      </c>
      <c r="QW63">
        <v>0.26</v>
      </c>
      <c r="QX63">
        <v>10</v>
      </c>
      <c r="QY63">
        <v>2.69</v>
      </c>
      <c r="QZ63">
        <v>8</v>
      </c>
      <c r="RA63">
        <v>1.67</v>
      </c>
      <c r="RB63">
        <v>0.21</v>
      </c>
      <c r="RC63">
        <v>0.21</v>
      </c>
    </row>
    <row r="64" spans="1:471" x14ac:dyDescent="0.25">
      <c r="A64" t="s">
        <v>1133</v>
      </c>
      <c r="B64">
        <v>11688</v>
      </c>
      <c r="C64" t="s">
        <v>1754</v>
      </c>
      <c r="D64" t="s">
        <v>1754</v>
      </c>
      <c r="E64" t="s">
        <v>1754</v>
      </c>
      <c r="F64" t="s">
        <v>1755</v>
      </c>
      <c r="G64" t="s">
        <v>1755</v>
      </c>
      <c r="H64" t="s">
        <v>1134</v>
      </c>
      <c r="I64" t="s">
        <v>342</v>
      </c>
      <c r="J64" t="s">
        <v>343</v>
      </c>
      <c r="K64" t="s">
        <v>344</v>
      </c>
      <c r="L64" t="s">
        <v>345</v>
      </c>
      <c r="M64" t="s">
        <v>346</v>
      </c>
      <c r="N64" t="s">
        <v>347</v>
      </c>
      <c r="O64" s="1">
        <v>57941</v>
      </c>
      <c r="P64" t="s">
        <v>348</v>
      </c>
      <c r="Q64">
        <v>327</v>
      </c>
      <c r="R64">
        <v>34</v>
      </c>
      <c r="S64">
        <v>125</v>
      </c>
      <c r="T64">
        <v>0</v>
      </c>
      <c r="U64" s="1">
        <v>3169</v>
      </c>
      <c r="V64">
        <v>0</v>
      </c>
      <c r="W64" s="1">
        <v>23644</v>
      </c>
      <c r="X64" s="1">
        <v>2522</v>
      </c>
      <c r="Y64" s="1">
        <v>60300</v>
      </c>
      <c r="AC64" t="s">
        <v>1135</v>
      </c>
      <c r="AD64" t="s">
        <v>1136</v>
      </c>
      <c r="AE64">
        <v>28425</v>
      </c>
      <c r="AF64">
        <v>879</v>
      </c>
      <c r="AG64" t="s">
        <v>1137</v>
      </c>
      <c r="AH64" t="s">
        <v>1136</v>
      </c>
      <c r="AI64">
        <v>28425</v>
      </c>
      <c r="AJ64">
        <v>3</v>
      </c>
      <c r="AK64" t="s">
        <v>1138</v>
      </c>
      <c r="AM64" t="s">
        <v>0</v>
      </c>
      <c r="AN64" t="s">
        <v>1139</v>
      </c>
      <c r="AO64" t="s">
        <v>1140</v>
      </c>
      <c r="AP64">
        <v>9102595113</v>
      </c>
      <c r="AR64" t="s">
        <v>1142</v>
      </c>
      <c r="AS64" t="s">
        <v>1143</v>
      </c>
      <c r="AT64" t="s">
        <v>376</v>
      </c>
      <c r="AU64" t="s">
        <v>1141</v>
      </c>
      <c r="AW64" t="s">
        <v>1142</v>
      </c>
      <c r="AX64" t="s">
        <v>1144</v>
      </c>
      <c r="AY64">
        <v>0</v>
      </c>
      <c r="AZ64">
        <v>0</v>
      </c>
      <c r="BA64">
        <v>0</v>
      </c>
      <c r="BB64" s="573">
        <v>42186</v>
      </c>
      <c r="BC64" s="573">
        <v>42551</v>
      </c>
      <c r="BD64">
        <v>1</v>
      </c>
      <c r="BE64">
        <v>1</v>
      </c>
      <c r="BF64">
        <v>0</v>
      </c>
      <c r="BG64">
        <v>0</v>
      </c>
      <c r="BH64">
        <v>2</v>
      </c>
      <c r="BJ64" s="1">
        <v>4556</v>
      </c>
      <c r="BK64">
        <v>2</v>
      </c>
      <c r="BL64">
        <v>0</v>
      </c>
      <c r="BM64">
        <v>2</v>
      </c>
      <c r="BN64">
        <v>11.44</v>
      </c>
      <c r="BO64">
        <v>13.44</v>
      </c>
      <c r="BP64" s="3">
        <v>0.14879999999999999</v>
      </c>
      <c r="BQ64" s="1">
        <v>2337</v>
      </c>
      <c r="BR64" s="4">
        <v>70759</v>
      </c>
      <c r="DW64" s="4">
        <v>0</v>
      </c>
      <c r="DX64" s="4">
        <v>690175</v>
      </c>
      <c r="DY64" s="4">
        <v>690175</v>
      </c>
      <c r="DZ64" s="4">
        <v>105394</v>
      </c>
      <c r="EA64" s="4">
        <v>0</v>
      </c>
      <c r="EB64" s="4">
        <v>105394</v>
      </c>
      <c r="EC64" s="4">
        <v>0</v>
      </c>
      <c r="ED64" s="4">
        <v>0</v>
      </c>
      <c r="EE64" s="4">
        <v>0</v>
      </c>
      <c r="EF64" s="4">
        <v>0</v>
      </c>
      <c r="EG64" s="4">
        <v>795569</v>
      </c>
      <c r="EH64" s="4">
        <v>455375</v>
      </c>
      <c r="EI64" s="4">
        <v>128141</v>
      </c>
      <c r="EJ64" s="4">
        <v>583516</v>
      </c>
      <c r="EK64" s="4">
        <v>77365</v>
      </c>
      <c r="EL64" s="4">
        <v>10216</v>
      </c>
      <c r="EM64" s="4">
        <v>5974</v>
      </c>
      <c r="EN64" s="4">
        <v>93555</v>
      </c>
      <c r="EO64" s="4">
        <v>90842</v>
      </c>
      <c r="EP64" s="4">
        <v>767913</v>
      </c>
      <c r="EQ64" s="4">
        <v>27656</v>
      </c>
      <c r="ER64" s="3">
        <v>3.4799999999999998E-2</v>
      </c>
      <c r="ES64" s="4">
        <v>11011</v>
      </c>
      <c r="ET64" s="4">
        <v>0</v>
      </c>
      <c r="EU64" s="4">
        <v>0</v>
      </c>
      <c r="EV64" s="4">
        <v>0</v>
      </c>
      <c r="EW64" s="4">
        <v>11011</v>
      </c>
      <c r="EX64" s="4">
        <v>11011</v>
      </c>
      <c r="EY64" s="1">
        <v>8768</v>
      </c>
      <c r="EZ64" s="1">
        <v>173816</v>
      </c>
      <c r="FA64" s="1">
        <v>33180</v>
      </c>
      <c r="FB64" s="1">
        <v>3355</v>
      </c>
      <c r="FC64" s="1">
        <v>25276</v>
      </c>
      <c r="FD64" s="1">
        <v>37535</v>
      </c>
      <c r="FE64">
        <v>0</v>
      </c>
      <c r="FF64" s="1">
        <v>13333</v>
      </c>
      <c r="FG64" s="1">
        <v>70715</v>
      </c>
      <c r="FH64" s="1">
        <v>3355</v>
      </c>
      <c r="FI64" s="1">
        <v>38609</v>
      </c>
      <c r="FJ64" s="1">
        <v>112679</v>
      </c>
      <c r="FK64" s="1">
        <v>1276</v>
      </c>
      <c r="FL64">
        <v>123</v>
      </c>
      <c r="FN64" s="1">
        <v>112679</v>
      </c>
      <c r="FO64" s="1">
        <v>3001</v>
      </c>
      <c r="FP64" s="1">
        <v>2560</v>
      </c>
      <c r="FQ64">
        <v>112</v>
      </c>
      <c r="FR64">
        <v>3</v>
      </c>
      <c r="FS64">
        <v>74</v>
      </c>
      <c r="FT64">
        <v>77</v>
      </c>
      <c r="FU64" s="1">
        <v>26725</v>
      </c>
      <c r="FV64" s="1">
        <v>2022</v>
      </c>
      <c r="FW64">
        <v>0</v>
      </c>
      <c r="GC64" s="1">
        <v>23798</v>
      </c>
      <c r="GD64" s="1">
        <v>1183</v>
      </c>
      <c r="GE64">
        <v>205</v>
      </c>
      <c r="GK64">
        <v>11</v>
      </c>
      <c r="GL64">
        <v>2</v>
      </c>
      <c r="GM64">
        <v>0</v>
      </c>
      <c r="GN64">
        <v>42</v>
      </c>
      <c r="GO64" s="1">
        <v>50534</v>
      </c>
      <c r="GP64" s="1">
        <v>3207</v>
      </c>
      <c r="GQ64">
        <v>205</v>
      </c>
      <c r="GR64">
        <v>42</v>
      </c>
      <c r="GS64">
        <v>38</v>
      </c>
      <c r="GU64" s="1">
        <v>63072</v>
      </c>
      <c r="GV64" s="1">
        <v>9625</v>
      </c>
      <c r="GW64" s="1">
        <v>61204</v>
      </c>
      <c r="GX64" s="1">
        <v>25237</v>
      </c>
      <c r="GY64">
        <v>0</v>
      </c>
      <c r="GZ64" s="1">
        <v>17103</v>
      </c>
      <c r="HA64" s="1">
        <v>88309</v>
      </c>
      <c r="HB64" s="1">
        <v>9625</v>
      </c>
      <c r="HC64" s="1">
        <v>78307</v>
      </c>
      <c r="HD64" s="1">
        <v>176241</v>
      </c>
      <c r="HE64">
        <v>571</v>
      </c>
      <c r="HF64" s="1">
        <v>176842</v>
      </c>
      <c r="HG64" s="1">
        <v>10484</v>
      </c>
      <c r="HH64" s="1">
        <v>22855</v>
      </c>
      <c r="HI64">
        <v>30</v>
      </c>
      <c r="HJ64">
        <v>218</v>
      </c>
      <c r="HK64" s="1">
        <v>33557</v>
      </c>
      <c r="HL64" s="1">
        <v>210399</v>
      </c>
      <c r="HM64">
        <v>166</v>
      </c>
      <c r="HN64" s="1">
        <v>15020</v>
      </c>
      <c r="HO64" s="1">
        <v>15186</v>
      </c>
      <c r="HP64">
        <v>149</v>
      </c>
      <c r="HQ64" s="1">
        <v>1087</v>
      </c>
      <c r="HR64" s="1">
        <v>1236</v>
      </c>
      <c r="HS64">
        <v>0</v>
      </c>
      <c r="HT64">
        <v>22</v>
      </c>
      <c r="HU64">
        <v>22</v>
      </c>
      <c r="HV64" s="1">
        <v>1349</v>
      </c>
      <c r="HW64" s="1">
        <v>17793</v>
      </c>
      <c r="HX64" s="1">
        <v>15857</v>
      </c>
      <c r="HY64" s="1">
        <v>19976</v>
      </c>
      <c r="HZ64" s="1">
        <v>35833</v>
      </c>
      <c r="IA64" s="1">
        <v>53626</v>
      </c>
      <c r="IB64" s="1">
        <v>11720</v>
      </c>
      <c r="IC64" s="1">
        <v>34597</v>
      </c>
      <c r="ID64" s="1">
        <v>228192</v>
      </c>
      <c r="IE64" s="1">
        <v>228192</v>
      </c>
      <c r="IF64" s="1">
        <v>264025</v>
      </c>
      <c r="IG64" s="1">
        <v>88385</v>
      </c>
      <c r="IH64">
        <v>85</v>
      </c>
      <c r="IK64">
        <v>1</v>
      </c>
      <c r="IL64" s="3">
        <v>1.5900000000000001E-2</v>
      </c>
      <c r="IM64" s="3">
        <v>6.9999999999999999E-4</v>
      </c>
      <c r="IN64" s="3">
        <v>0.31059999999999999</v>
      </c>
      <c r="IO64" s="3">
        <v>0</v>
      </c>
      <c r="IP64" s="3">
        <v>0.29070000000000001</v>
      </c>
      <c r="IQ64" s="3">
        <v>4.0000000000000002E-4</v>
      </c>
      <c r="IR64" s="3">
        <v>0.64829999999999999</v>
      </c>
      <c r="IS64" s="3">
        <v>3.5700000000000003E-2</v>
      </c>
      <c r="IT64" s="3">
        <v>0.38729999999999998</v>
      </c>
      <c r="IU64" s="1">
        <v>13279</v>
      </c>
      <c r="IV64" s="1">
        <v>4634</v>
      </c>
      <c r="IW64" s="1">
        <v>17913</v>
      </c>
      <c r="IX64" s="3">
        <v>0.30919999999999997</v>
      </c>
      <c r="IY64" s="1">
        <v>142133</v>
      </c>
      <c r="JA64">
        <v>26</v>
      </c>
      <c r="JB64">
        <v>5</v>
      </c>
      <c r="JC64">
        <v>376</v>
      </c>
      <c r="JD64">
        <v>4</v>
      </c>
      <c r="JE64">
        <v>0</v>
      </c>
      <c r="JF64">
        <v>4</v>
      </c>
      <c r="JG64">
        <v>30</v>
      </c>
      <c r="JH64">
        <v>5</v>
      </c>
      <c r="JI64">
        <v>380</v>
      </c>
      <c r="JJ64">
        <v>415</v>
      </c>
      <c r="JK64">
        <v>407</v>
      </c>
      <c r="JL64">
        <v>8</v>
      </c>
      <c r="JM64">
        <v>698</v>
      </c>
      <c r="JN64">
        <v>35</v>
      </c>
      <c r="JO64" s="1">
        <v>6702</v>
      </c>
      <c r="JP64">
        <v>95</v>
      </c>
      <c r="JQ64">
        <v>145</v>
      </c>
      <c r="JR64">
        <v>355</v>
      </c>
      <c r="JS64">
        <v>793</v>
      </c>
      <c r="JT64">
        <v>180</v>
      </c>
      <c r="JU64" s="1">
        <v>7057</v>
      </c>
      <c r="JV64" s="1">
        <v>8030</v>
      </c>
      <c r="JW64" s="1">
        <v>7435</v>
      </c>
      <c r="JX64">
        <v>595</v>
      </c>
      <c r="JY64">
        <v>19.350000000000001</v>
      </c>
      <c r="JZ64">
        <v>26.43</v>
      </c>
      <c r="KA64">
        <v>18.57</v>
      </c>
      <c r="KB64">
        <v>0.1</v>
      </c>
      <c r="KC64">
        <v>0.88</v>
      </c>
      <c r="KD64">
        <v>0</v>
      </c>
      <c r="KE64">
        <v>0</v>
      </c>
      <c r="KF64">
        <v>0</v>
      </c>
      <c r="KG64">
        <v>0</v>
      </c>
      <c r="KN64" s="1">
        <v>14341</v>
      </c>
      <c r="KO64" s="1">
        <v>2123</v>
      </c>
      <c r="KP64">
        <v>939</v>
      </c>
      <c r="KT64">
        <v>20</v>
      </c>
      <c r="KU64">
        <v>99</v>
      </c>
      <c r="KV64">
        <v>19</v>
      </c>
      <c r="KW64">
        <v>25</v>
      </c>
      <c r="KX64" s="1">
        <v>13547</v>
      </c>
      <c r="KZ64" s="1">
        <v>37844</v>
      </c>
      <c r="LD64" t="s">
        <v>1138</v>
      </c>
      <c r="LE64" t="s">
        <v>379</v>
      </c>
      <c r="LF64" t="s">
        <v>1135</v>
      </c>
      <c r="LG64" t="s">
        <v>1136</v>
      </c>
      <c r="LH64">
        <v>28425</v>
      </c>
      <c r="LI64">
        <v>879</v>
      </c>
      <c r="LJ64" t="s">
        <v>1137</v>
      </c>
      <c r="LK64" t="s">
        <v>1136</v>
      </c>
      <c r="LL64">
        <v>28425</v>
      </c>
      <c r="LM64">
        <v>879</v>
      </c>
      <c r="LN64" t="s">
        <v>1139</v>
      </c>
      <c r="LO64">
        <v>9102591234</v>
      </c>
      <c r="LQ64" s="1">
        <v>21000</v>
      </c>
      <c r="LR64">
        <v>13.43</v>
      </c>
      <c r="LT64" s="1">
        <v>4556</v>
      </c>
      <c r="LU64">
        <v>104</v>
      </c>
      <c r="LX64">
        <v>2</v>
      </c>
      <c r="LY64" t="s">
        <v>1145</v>
      </c>
      <c r="LZ64">
        <v>0</v>
      </c>
      <c r="MA64" t="s">
        <v>363</v>
      </c>
      <c r="MB64">
        <v>29.5</v>
      </c>
      <c r="MC64">
        <v>25.9</v>
      </c>
      <c r="ME64" s="574">
        <v>3.37</v>
      </c>
      <c r="MF64" s="574">
        <v>2.56</v>
      </c>
      <c r="MG64" s="574">
        <v>0.41</v>
      </c>
      <c r="MH64" s="574">
        <v>42.87</v>
      </c>
      <c r="MI64" s="574">
        <v>32.58</v>
      </c>
      <c r="MJ64" s="574">
        <v>5.22</v>
      </c>
      <c r="MK64" s="574">
        <v>5.4</v>
      </c>
      <c r="ML64" s="574">
        <v>4.1100000000000003</v>
      </c>
      <c r="MM64" s="574">
        <v>0.66</v>
      </c>
      <c r="MN64" s="574">
        <v>53.55</v>
      </c>
      <c r="MO64" s="574">
        <v>40.69</v>
      </c>
      <c r="MP64" s="574">
        <v>6.52</v>
      </c>
      <c r="MQ64" s="574">
        <v>95.63</v>
      </c>
      <c r="MR64" s="574">
        <v>72.67</v>
      </c>
      <c r="MS64" s="574">
        <v>11.65</v>
      </c>
      <c r="MT64" s="574">
        <v>8.69</v>
      </c>
      <c r="MU64" s="574">
        <v>6.6</v>
      </c>
      <c r="MV64" s="574">
        <v>1.06</v>
      </c>
      <c r="MW64" s="1">
        <v>1067</v>
      </c>
      <c r="MX64" s="1">
        <v>7171</v>
      </c>
      <c r="MY64" s="1">
        <v>7171</v>
      </c>
      <c r="MZ64" s="1">
        <v>10575</v>
      </c>
      <c r="NA64" s="1">
        <v>71067</v>
      </c>
      <c r="NB64" s="1">
        <v>71067</v>
      </c>
      <c r="NC64" s="1">
        <v>114096</v>
      </c>
      <c r="ND64" s="1">
        <v>114096</v>
      </c>
      <c r="NE64">
        <v>1.31</v>
      </c>
      <c r="NF64" s="1">
        <v>16979</v>
      </c>
      <c r="NG64">
        <v>8.16</v>
      </c>
      <c r="NH64">
        <v>3.9380000000000002</v>
      </c>
      <c r="NI64">
        <v>2.4500000000000002</v>
      </c>
      <c r="NJ64">
        <v>1.1200000000000001</v>
      </c>
      <c r="NK64">
        <v>5.53</v>
      </c>
      <c r="NL64">
        <v>0.2475</v>
      </c>
      <c r="NM64">
        <v>1.5254000000000001</v>
      </c>
      <c r="NN64">
        <v>0.31</v>
      </c>
      <c r="NO64">
        <v>0.14000000000000001</v>
      </c>
      <c r="NP64">
        <v>0</v>
      </c>
      <c r="NQ64">
        <v>0</v>
      </c>
      <c r="NR64">
        <v>0.23</v>
      </c>
      <c r="NS64">
        <v>0.01</v>
      </c>
      <c r="NT64">
        <v>0.12</v>
      </c>
      <c r="NU64" s="574">
        <v>10.07</v>
      </c>
      <c r="NV64">
        <v>3</v>
      </c>
      <c r="NW64">
        <v>0</v>
      </c>
      <c r="NX64">
        <v>2E-3</v>
      </c>
      <c r="NY64">
        <v>0.872</v>
      </c>
      <c r="NZ64">
        <v>1E-3</v>
      </c>
      <c r="OA64">
        <v>0.11169999999999999</v>
      </c>
      <c r="OB64">
        <v>0.75029999999999997</v>
      </c>
      <c r="OC64">
        <v>6.867</v>
      </c>
      <c r="OD64">
        <v>1.9450000000000001</v>
      </c>
      <c r="OE64">
        <v>0.19739999999999999</v>
      </c>
      <c r="OF64" s="2">
        <v>2821.08</v>
      </c>
      <c r="OG64">
        <v>4.2990000000000004</v>
      </c>
      <c r="OH64" s="574">
        <v>1.57</v>
      </c>
      <c r="OI64">
        <v>347</v>
      </c>
      <c r="OJ64">
        <v>154</v>
      </c>
      <c r="OK64" s="574">
        <v>13.25</v>
      </c>
      <c r="OL64" s="574">
        <v>1.61</v>
      </c>
      <c r="OM64" s="574">
        <v>1.34</v>
      </c>
      <c r="ON64">
        <v>0.23200000000000001</v>
      </c>
      <c r="OO64">
        <v>3.4500000000000003E-2</v>
      </c>
      <c r="OP64">
        <v>0.63859999999999995</v>
      </c>
      <c r="OQ64" s="574">
        <v>1.82</v>
      </c>
      <c r="OR64" s="574">
        <v>11.91</v>
      </c>
      <c r="OS64" s="574">
        <v>0</v>
      </c>
      <c r="OT64" s="574">
        <v>0</v>
      </c>
      <c r="OU64" s="574">
        <v>13.73</v>
      </c>
      <c r="OV64">
        <v>0</v>
      </c>
      <c r="OW64">
        <v>2</v>
      </c>
      <c r="OX64">
        <v>1.61</v>
      </c>
      <c r="OY64" s="1">
        <v>4388</v>
      </c>
      <c r="OZ64">
        <v>31.2</v>
      </c>
      <c r="PA64" s="1">
        <v>2733</v>
      </c>
      <c r="PB64">
        <v>3.15</v>
      </c>
      <c r="PC64">
        <v>50.09</v>
      </c>
      <c r="PD64">
        <v>0.1</v>
      </c>
      <c r="PE64">
        <v>276</v>
      </c>
      <c r="PF64">
        <v>0.76</v>
      </c>
      <c r="PG64" s="574">
        <v>0.66</v>
      </c>
      <c r="PH64">
        <v>1.22</v>
      </c>
      <c r="PI64">
        <v>7.86</v>
      </c>
      <c r="PJ64">
        <v>12.74</v>
      </c>
      <c r="PK64" s="574">
        <v>5.4</v>
      </c>
      <c r="PL64">
        <v>43.81</v>
      </c>
      <c r="PM64" s="4">
        <v>43416</v>
      </c>
      <c r="PN64" s="4">
        <v>33882</v>
      </c>
      <c r="PO64">
        <v>5.8900000000000001E-2</v>
      </c>
      <c r="PP64">
        <v>0.93720000000000003</v>
      </c>
      <c r="PQ64">
        <v>9.4600000000000004E-2</v>
      </c>
      <c r="PR64">
        <v>8.8000000000000005E-3</v>
      </c>
      <c r="PS64">
        <v>0.13950000000000001</v>
      </c>
      <c r="PT64">
        <v>1.41E-2</v>
      </c>
      <c r="PU64" s="3">
        <v>1</v>
      </c>
      <c r="PV64" s="3">
        <v>0.14879999999999999</v>
      </c>
      <c r="PW64" s="3">
        <v>0.85119999999999996</v>
      </c>
      <c r="PX64" s="3">
        <v>0.21959999999999999</v>
      </c>
      <c r="PY64" s="3">
        <v>0.78039999999999998</v>
      </c>
      <c r="PZ64" s="3">
        <v>0.12180000000000001</v>
      </c>
      <c r="QA64" s="3">
        <v>1.3299999999999999E-2</v>
      </c>
      <c r="QB64" s="3">
        <v>0.16689999999999999</v>
      </c>
      <c r="QC64" s="3">
        <v>7.7999999999999996E-3</v>
      </c>
      <c r="QD64" s="3">
        <v>0.1183</v>
      </c>
      <c r="QE64" s="3">
        <v>0.1007</v>
      </c>
      <c r="QF64" s="3">
        <v>0.59299999999999997</v>
      </c>
      <c r="QG64" s="3">
        <v>0.75990000000000002</v>
      </c>
      <c r="QH64" s="3">
        <v>0</v>
      </c>
      <c r="QI64" s="3">
        <v>0.86750000000000005</v>
      </c>
      <c r="QJ64" s="3">
        <v>0</v>
      </c>
      <c r="QK64" s="3">
        <v>0.13250000000000001</v>
      </c>
      <c r="QL64" s="4">
        <v>9534</v>
      </c>
      <c r="QM64">
        <v>7.93</v>
      </c>
      <c r="QN64" s="1">
        <v>28971</v>
      </c>
      <c r="QO64" s="1">
        <v>28971</v>
      </c>
      <c r="QP64" s="1">
        <v>4311</v>
      </c>
      <c r="QQ64" s="3">
        <v>0.82689999999999997</v>
      </c>
      <c r="QR64" s="3">
        <v>0.10920000000000001</v>
      </c>
      <c r="QS64" s="3">
        <v>6.3899999999999998E-2</v>
      </c>
      <c r="QT64" s="3">
        <v>0.14879999999999999</v>
      </c>
      <c r="QU64">
        <v>0.5</v>
      </c>
      <c r="QV64">
        <v>1.78</v>
      </c>
      <c r="QW64">
        <v>0.39</v>
      </c>
      <c r="QX64">
        <v>22</v>
      </c>
      <c r="QY64">
        <v>2.95</v>
      </c>
      <c r="QZ64">
        <v>38</v>
      </c>
      <c r="RA64">
        <v>2.44</v>
      </c>
      <c r="RB64">
        <v>0.3</v>
      </c>
      <c r="RC64">
        <v>0.28999999999999998</v>
      </c>
    </row>
    <row r="65" spans="1:471" x14ac:dyDescent="0.25">
      <c r="A65" t="s">
        <v>1146</v>
      </c>
      <c r="B65">
        <v>11701</v>
      </c>
      <c r="C65" t="s">
        <v>1754</v>
      </c>
      <c r="D65" t="s">
        <v>1754</v>
      </c>
      <c r="E65" t="s">
        <v>1754</v>
      </c>
      <c r="F65" t="s">
        <v>1755</v>
      </c>
      <c r="G65" t="s">
        <v>1755</v>
      </c>
      <c r="H65" t="s">
        <v>1147</v>
      </c>
      <c r="I65" t="s">
        <v>342</v>
      </c>
      <c r="J65" t="s">
        <v>1148</v>
      </c>
      <c r="K65" t="s">
        <v>533</v>
      </c>
      <c r="L65" t="s">
        <v>345</v>
      </c>
      <c r="M65" t="s">
        <v>346</v>
      </c>
      <c r="N65" t="s">
        <v>347</v>
      </c>
      <c r="O65" s="1">
        <v>45097</v>
      </c>
      <c r="P65" t="s">
        <v>348</v>
      </c>
      <c r="Q65">
        <v>396</v>
      </c>
      <c r="R65">
        <v>86</v>
      </c>
      <c r="S65">
        <v>33</v>
      </c>
      <c r="T65">
        <v>15</v>
      </c>
      <c r="U65" s="1">
        <v>1146</v>
      </c>
      <c r="V65">
        <v>254</v>
      </c>
      <c r="W65" s="1">
        <v>9931</v>
      </c>
      <c r="X65" s="1">
        <v>1498</v>
      </c>
      <c r="Y65" s="1">
        <v>1344</v>
      </c>
      <c r="Z65">
        <v>724</v>
      </c>
      <c r="AC65" t="s">
        <v>1149</v>
      </c>
      <c r="AD65" t="s">
        <v>910</v>
      </c>
      <c r="AE65">
        <v>27536</v>
      </c>
      <c r="AF65">
        <v>4211</v>
      </c>
      <c r="AG65" t="s">
        <v>1149</v>
      </c>
      <c r="AH65" t="s">
        <v>910</v>
      </c>
      <c r="AI65">
        <v>27536</v>
      </c>
      <c r="AJ65">
        <v>1</v>
      </c>
      <c r="AK65" t="s">
        <v>1150</v>
      </c>
      <c r="AM65" t="s">
        <v>0</v>
      </c>
      <c r="AN65" t="s">
        <v>1151</v>
      </c>
      <c r="AO65" t="s">
        <v>1152</v>
      </c>
      <c r="AP65">
        <v>2524383316</v>
      </c>
      <c r="AQ65" t="s">
        <v>1153</v>
      </c>
      <c r="AR65" t="s">
        <v>1154</v>
      </c>
      <c r="AS65" t="s">
        <v>1152</v>
      </c>
      <c r="AT65" t="s">
        <v>1</v>
      </c>
      <c r="AU65" t="s">
        <v>1155</v>
      </c>
      <c r="AV65" t="s">
        <v>1153</v>
      </c>
      <c r="AW65" t="s">
        <v>1154</v>
      </c>
      <c r="AX65" t="s">
        <v>1156</v>
      </c>
      <c r="AY65">
        <v>0</v>
      </c>
      <c r="AZ65">
        <v>0</v>
      </c>
      <c r="BA65">
        <v>0</v>
      </c>
      <c r="BB65" s="573">
        <v>42186</v>
      </c>
      <c r="BC65" s="573">
        <v>42551</v>
      </c>
      <c r="BD65">
        <v>1</v>
      </c>
      <c r="BE65">
        <v>0</v>
      </c>
      <c r="BF65">
        <v>0</v>
      </c>
      <c r="BG65">
        <v>0</v>
      </c>
      <c r="BH65">
        <v>1</v>
      </c>
      <c r="BJ65" s="1">
        <v>2500</v>
      </c>
      <c r="BK65">
        <v>3</v>
      </c>
      <c r="BL65">
        <v>0</v>
      </c>
      <c r="BM65">
        <v>3</v>
      </c>
      <c r="BN65">
        <v>12</v>
      </c>
      <c r="BO65">
        <v>15</v>
      </c>
      <c r="BP65" s="3">
        <v>0.2</v>
      </c>
      <c r="BR65" s="4">
        <v>63240</v>
      </c>
      <c r="DW65" s="4">
        <v>187400</v>
      </c>
      <c r="DX65" s="4">
        <v>562200</v>
      </c>
      <c r="DY65" s="4">
        <v>749600</v>
      </c>
      <c r="DZ65" s="4">
        <v>107386</v>
      </c>
      <c r="EA65" s="4">
        <v>0</v>
      </c>
      <c r="EB65" s="4">
        <v>107386</v>
      </c>
      <c r="EC65" s="4">
        <v>1200</v>
      </c>
      <c r="ED65" s="4">
        <v>0</v>
      </c>
      <c r="EE65" s="4">
        <v>1200</v>
      </c>
      <c r="EF65" s="4">
        <v>62532</v>
      </c>
      <c r="EG65" s="4">
        <v>920718</v>
      </c>
      <c r="EH65" s="4">
        <v>474948</v>
      </c>
      <c r="EI65" s="4">
        <v>115214</v>
      </c>
      <c r="EJ65" s="4">
        <v>590162</v>
      </c>
      <c r="EK65" s="4">
        <v>40270</v>
      </c>
      <c r="EL65" s="4">
        <v>14110</v>
      </c>
      <c r="EM65" s="4">
        <v>11402</v>
      </c>
      <c r="EN65" s="4">
        <v>65782</v>
      </c>
      <c r="EO65" s="4">
        <v>286366</v>
      </c>
      <c r="EP65" s="4">
        <v>942310</v>
      </c>
      <c r="EQ65" s="4">
        <v>-21592</v>
      </c>
      <c r="ER65" s="3">
        <v>-2.35E-2</v>
      </c>
      <c r="ES65" s="4">
        <v>0</v>
      </c>
      <c r="ET65" s="4">
        <v>0</v>
      </c>
      <c r="EU65" s="4">
        <v>0</v>
      </c>
      <c r="EV65" s="4">
        <v>0</v>
      </c>
      <c r="EW65" s="4">
        <v>0</v>
      </c>
      <c r="EX65" s="4">
        <v>0</v>
      </c>
      <c r="EY65" s="1">
        <v>7239</v>
      </c>
      <c r="EZ65" s="1">
        <v>158557</v>
      </c>
      <c r="FA65" s="1">
        <v>25947</v>
      </c>
      <c r="FB65" s="1">
        <v>3971</v>
      </c>
      <c r="FC65" s="1">
        <v>17504</v>
      </c>
      <c r="FD65" s="1">
        <v>37811</v>
      </c>
      <c r="FE65">
        <v>153</v>
      </c>
      <c r="FF65" s="1">
        <v>14848</v>
      </c>
      <c r="FG65" s="1">
        <v>63758</v>
      </c>
      <c r="FH65" s="1">
        <v>4124</v>
      </c>
      <c r="FI65" s="1">
        <v>32352</v>
      </c>
      <c r="FJ65" s="1">
        <v>100234</v>
      </c>
      <c r="FK65">
        <v>0</v>
      </c>
      <c r="FL65">
        <v>99</v>
      </c>
      <c r="FN65" s="1">
        <v>100234</v>
      </c>
      <c r="FO65" s="1">
        <v>2366</v>
      </c>
      <c r="FP65" s="1">
        <v>1401</v>
      </c>
      <c r="FQ65">
        <v>105</v>
      </c>
      <c r="FR65">
        <v>7</v>
      </c>
      <c r="FS65">
        <v>74</v>
      </c>
      <c r="FT65">
        <v>81</v>
      </c>
      <c r="FU65" s="1">
        <v>26725</v>
      </c>
      <c r="FV65" s="1">
        <v>2022</v>
      </c>
      <c r="FW65">
        <v>0</v>
      </c>
      <c r="GC65" s="1">
        <v>23798</v>
      </c>
      <c r="GD65" s="1">
        <v>1183</v>
      </c>
      <c r="GE65">
        <v>205</v>
      </c>
      <c r="GK65">
        <v>47</v>
      </c>
      <c r="GL65">
        <v>233</v>
      </c>
      <c r="GM65">
        <v>34</v>
      </c>
      <c r="GN65">
        <v>24</v>
      </c>
      <c r="GO65" s="1">
        <v>50570</v>
      </c>
      <c r="GP65" s="1">
        <v>3438</v>
      </c>
      <c r="GQ65">
        <v>239</v>
      </c>
      <c r="GR65">
        <v>24</v>
      </c>
      <c r="GS65">
        <v>11</v>
      </c>
      <c r="GU65" s="1">
        <v>24606</v>
      </c>
      <c r="GV65" s="1">
        <v>5086</v>
      </c>
      <c r="GW65" s="1">
        <v>33120</v>
      </c>
      <c r="GX65" s="1">
        <v>9263</v>
      </c>
      <c r="GY65">
        <v>40</v>
      </c>
      <c r="GZ65" s="1">
        <v>6489</v>
      </c>
      <c r="HA65" s="1">
        <v>33869</v>
      </c>
      <c r="HB65" s="1">
        <v>5126</v>
      </c>
      <c r="HC65" s="1">
        <v>39609</v>
      </c>
      <c r="HD65" s="1">
        <v>78604</v>
      </c>
      <c r="HE65">
        <v>722</v>
      </c>
      <c r="HF65" s="1">
        <v>79326</v>
      </c>
      <c r="HG65" s="1">
        <v>4077</v>
      </c>
      <c r="HH65" s="1">
        <v>4788</v>
      </c>
      <c r="HK65" s="1">
        <v>8865</v>
      </c>
      <c r="HL65" s="1">
        <v>88191</v>
      </c>
      <c r="HM65">
        <v>32</v>
      </c>
      <c r="HN65" s="1">
        <v>3104</v>
      </c>
      <c r="HO65" s="1">
        <v>3136</v>
      </c>
      <c r="HP65">
        <v>92</v>
      </c>
      <c r="HQ65">
        <v>524</v>
      </c>
      <c r="HR65">
        <v>616</v>
      </c>
      <c r="HS65">
        <v>0</v>
      </c>
      <c r="HT65">
        <v>20</v>
      </c>
      <c r="HU65">
        <v>20</v>
      </c>
      <c r="HV65">
        <v>95</v>
      </c>
      <c r="HW65" s="1">
        <v>3867</v>
      </c>
      <c r="HX65" s="1">
        <v>2962</v>
      </c>
      <c r="HZ65" s="1">
        <v>2962</v>
      </c>
      <c r="IA65" s="1">
        <v>6829</v>
      </c>
      <c r="IB65" s="1">
        <v>4693</v>
      </c>
      <c r="IC65" s="1">
        <v>9501</v>
      </c>
      <c r="ID65" s="1">
        <v>92058</v>
      </c>
      <c r="IE65" s="1">
        <v>92058</v>
      </c>
      <c r="IF65" s="1">
        <v>95020</v>
      </c>
      <c r="IG65" s="1">
        <v>40110</v>
      </c>
      <c r="IH65">
        <v>726</v>
      </c>
      <c r="IK65">
        <v>1</v>
      </c>
      <c r="IL65" s="3">
        <v>1.03E-2</v>
      </c>
      <c r="IM65" s="3">
        <v>5.9999999999999995E-4</v>
      </c>
      <c r="IN65" s="3">
        <v>0.34229999999999999</v>
      </c>
      <c r="IO65" s="3">
        <v>0</v>
      </c>
      <c r="IP65" s="3">
        <v>0.31890000000000002</v>
      </c>
      <c r="IQ65" s="3">
        <v>5.0000000000000001E-4</v>
      </c>
      <c r="IR65" s="3">
        <v>0.63219999999999998</v>
      </c>
      <c r="IS65" s="3">
        <v>3.6600000000000001E-2</v>
      </c>
      <c r="IT65" s="3">
        <v>0.43569999999999998</v>
      </c>
      <c r="IU65" s="1">
        <v>28336</v>
      </c>
      <c r="IV65" s="1">
        <v>4080</v>
      </c>
      <c r="IW65" s="1">
        <v>32416</v>
      </c>
      <c r="IX65" s="3">
        <v>0.71879999999999999</v>
      </c>
      <c r="IY65" s="1">
        <v>185000</v>
      </c>
      <c r="JA65">
        <v>50</v>
      </c>
      <c r="JB65">
        <v>84</v>
      </c>
      <c r="JC65">
        <v>189</v>
      </c>
      <c r="JD65">
        <v>0</v>
      </c>
      <c r="JE65">
        <v>0</v>
      </c>
      <c r="JF65">
        <v>20</v>
      </c>
      <c r="JG65">
        <v>50</v>
      </c>
      <c r="JH65">
        <v>84</v>
      </c>
      <c r="JI65">
        <v>209</v>
      </c>
      <c r="JJ65">
        <v>343</v>
      </c>
      <c r="JK65">
        <v>323</v>
      </c>
      <c r="JL65">
        <v>20</v>
      </c>
      <c r="JM65" s="1">
        <v>1538</v>
      </c>
      <c r="JN65">
        <v>354</v>
      </c>
      <c r="JO65" s="1">
        <v>3950</v>
      </c>
      <c r="JP65">
        <v>0</v>
      </c>
      <c r="JQ65">
        <v>0</v>
      </c>
      <c r="JR65">
        <v>215</v>
      </c>
      <c r="JS65" s="1">
        <v>1538</v>
      </c>
      <c r="JT65">
        <v>354</v>
      </c>
      <c r="JU65" s="1">
        <v>4165</v>
      </c>
      <c r="JV65" s="1">
        <v>6057</v>
      </c>
      <c r="JW65" s="1">
        <v>5842</v>
      </c>
      <c r="JX65">
        <v>215</v>
      </c>
      <c r="JY65">
        <v>17.66</v>
      </c>
      <c r="JZ65">
        <v>30.76</v>
      </c>
      <c r="KA65">
        <v>19.93</v>
      </c>
      <c r="KB65">
        <v>0.25</v>
      </c>
      <c r="KC65">
        <v>0.69</v>
      </c>
      <c r="KN65" s="1">
        <v>17888</v>
      </c>
      <c r="KO65" s="1">
        <v>12272</v>
      </c>
      <c r="KP65" s="1">
        <v>1924</v>
      </c>
      <c r="KR65">
        <v>203</v>
      </c>
      <c r="KS65" s="1">
        <v>7200</v>
      </c>
      <c r="KT65">
        <v>87</v>
      </c>
      <c r="KU65">
        <v>103</v>
      </c>
      <c r="KV65">
        <v>21</v>
      </c>
      <c r="KW65">
        <v>45</v>
      </c>
      <c r="KX65" s="1">
        <v>43747</v>
      </c>
      <c r="LD65" t="s">
        <v>1157</v>
      </c>
      <c r="LE65" t="s">
        <v>361</v>
      </c>
      <c r="LF65" t="s">
        <v>1149</v>
      </c>
      <c r="LG65" t="s">
        <v>910</v>
      </c>
      <c r="LH65">
        <v>27536</v>
      </c>
      <c r="LI65">
        <v>4211</v>
      </c>
      <c r="LJ65" t="s">
        <v>1149</v>
      </c>
      <c r="LK65" t="s">
        <v>910</v>
      </c>
      <c r="LL65">
        <v>27536</v>
      </c>
      <c r="LM65">
        <v>4211</v>
      </c>
      <c r="LN65" t="s">
        <v>1151</v>
      </c>
      <c r="LO65">
        <v>2524383316</v>
      </c>
      <c r="LP65">
        <v>2524383744</v>
      </c>
      <c r="LQ65" s="1">
        <v>38000</v>
      </c>
      <c r="LR65">
        <v>15</v>
      </c>
      <c r="LT65" s="1">
        <v>2500</v>
      </c>
      <c r="LU65">
        <v>52</v>
      </c>
      <c r="LX65">
        <v>2</v>
      </c>
      <c r="LY65" t="s">
        <v>1158</v>
      </c>
      <c r="LZ65">
        <v>0</v>
      </c>
      <c r="MA65" t="s">
        <v>363</v>
      </c>
      <c r="MB65">
        <v>6.11</v>
      </c>
      <c r="MC65">
        <v>61.44</v>
      </c>
      <c r="ME65" s="574">
        <v>10.24</v>
      </c>
      <c r="MF65" s="574">
        <v>6.41</v>
      </c>
      <c r="MG65" s="574">
        <v>0.71</v>
      </c>
      <c r="MH65" s="574">
        <v>29.07</v>
      </c>
      <c r="MI65" s="574">
        <v>18.21</v>
      </c>
      <c r="MJ65" s="574">
        <v>2.0299999999999998</v>
      </c>
      <c r="MK65" s="574">
        <v>5.09</v>
      </c>
      <c r="ML65" s="574">
        <v>3.19</v>
      </c>
      <c r="MM65" s="574">
        <v>0.36</v>
      </c>
      <c r="MN65" s="574">
        <v>52.68</v>
      </c>
      <c r="MO65" s="574">
        <v>32.99</v>
      </c>
      <c r="MP65" s="574">
        <v>3.68</v>
      </c>
      <c r="MQ65" s="574">
        <v>155.57</v>
      </c>
      <c r="MR65" s="574">
        <v>97.43</v>
      </c>
      <c r="MS65" s="574">
        <v>10.86</v>
      </c>
      <c r="MT65" s="574">
        <v>23.49</v>
      </c>
      <c r="MU65" s="574">
        <v>14.71</v>
      </c>
      <c r="MV65" s="574">
        <v>1.64</v>
      </c>
      <c r="MW65" s="1">
        <v>1193</v>
      </c>
      <c r="MX65" s="1">
        <v>5963</v>
      </c>
      <c r="MY65" s="1">
        <v>5963</v>
      </c>
      <c r="MZ65" s="1">
        <v>12333</v>
      </c>
      <c r="NA65" s="1">
        <v>61667</v>
      </c>
      <c r="NB65" s="1">
        <v>61667</v>
      </c>
      <c r="NC65" s="1">
        <v>30686</v>
      </c>
      <c r="ND65" s="1">
        <v>30686</v>
      </c>
      <c r="NE65">
        <v>0.57999999999999996</v>
      </c>
      <c r="NF65" s="1">
        <v>6137</v>
      </c>
      <c r="NG65">
        <v>2.95</v>
      </c>
      <c r="NH65">
        <v>2.0409999999999999</v>
      </c>
      <c r="NI65">
        <v>4.0999999999999996</v>
      </c>
      <c r="NJ65">
        <v>2.68</v>
      </c>
      <c r="NK65">
        <v>3.18</v>
      </c>
      <c r="NL65">
        <v>0.3967</v>
      </c>
      <c r="NM65">
        <v>0.88939999999999997</v>
      </c>
      <c r="NN65">
        <v>0.72</v>
      </c>
      <c r="NO65">
        <v>0.13</v>
      </c>
      <c r="NP65">
        <v>0</v>
      </c>
      <c r="NQ65">
        <v>0</v>
      </c>
      <c r="NR65">
        <v>0.97</v>
      </c>
      <c r="NS65">
        <v>0.03</v>
      </c>
      <c r="NT65">
        <v>0.09</v>
      </c>
      <c r="NU65" s="574">
        <v>13.09</v>
      </c>
      <c r="NV65">
        <v>3.516</v>
      </c>
      <c r="NW65">
        <v>0</v>
      </c>
      <c r="NX65">
        <v>2E-3</v>
      </c>
      <c r="NY65">
        <v>1.121</v>
      </c>
      <c r="NZ65">
        <v>2E-3</v>
      </c>
      <c r="OA65">
        <v>9.2600000000000002E-2</v>
      </c>
      <c r="OB65">
        <v>0.4627</v>
      </c>
      <c r="OC65">
        <v>3.0539999999999998</v>
      </c>
      <c r="OD65">
        <v>2.2229999999999999</v>
      </c>
      <c r="OE65">
        <v>0.2661</v>
      </c>
      <c r="OF65" s="2">
        <v>1560.0319999999999</v>
      </c>
      <c r="OG65">
        <v>2.4990000000000001</v>
      </c>
      <c r="OH65" s="574">
        <v>6.35</v>
      </c>
      <c r="OI65">
        <v>179</v>
      </c>
      <c r="OJ65">
        <v>51</v>
      </c>
      <c r="OK65" s="574">
        <v>20.9</v>
      </c>
      <c r="OL65" s="574">
        <v>1.46</v>
      </c>
      <c r="OM65" s="574">
        <v>0.89</v>
      </c>
      <c r="ON65">
        <v>0.33260000000000001</v>
      </c>
      <c r="OO65">
        <v>6.6500000000000004E-2</v>
      </c>
      <c r="OP65">
        <v>0.37019999999999997</v>
      </c>
      <c r="OQ65" s="574">
        <v>2.38</v>
      </c>
      <c r="OR65" s="574">
        <v>16.62</v>
      </c>
      <c r="OS65" s="574">
        <v>0.03</v>
      </c>
      <c r="OT65" s="574">
        <v>1.39</v>
      </c>
      <c r="OU65" s="574">
        <v>20.420000000000002</v>
      </c>
      <c r="OV65">
        <v>2</v>
      </c>
      <c r="OW65">
        <v>2</v>
      </c>
      <c r="OX65">
        <v>0.5</v>
      </c>
      <c r="OY65" s="1">
        <v>1770</v>
      </c>
      <c r="OZ65">
        <v>74</v>
      </c>
      <c r="PA65" s="1">
        <v>3558</v>
      </c>
      <c r="PB65">
        <v>7.16</v>
      </c>
      <c r="PC65">
        <v>36.82</v>
      </c>
      <c r="PD65">
        <v>0.1</v>
      </c>
      <c r="PE65">
        <v>344</v>
      </c>
      <c r="PF65">
        <v>1.72</v>
      </c>
      <c r="PG65" s="574">
        <v>0.36</v>
      </c>
      <c r="PH65">
        <v>0.86</v>
      </c>
      <c r="PI65">
        <v>5.54</v>
      </c>
      <c r="PJ65">
        <v>2.84</v>
      </c>
      <c r="PK65" s="574">
        <v>5.09</v>
      </c>
      <c r="PL65">
        <v>48.08</v>
      </c>
      <c r="PM65" s="4">
        <v>39344</v>
      </c>
      <c r="PN65" s="4">
        <v>31663</v>
      </c>
      <c r="PO65">
        <v>0.16289999999999999</v>
      </c>
      <c r="PP65">
        <v>0.83860000000000001</v>
      </c>
      <c r="PQ65">
        <v>8.1100000000000005E-2</v>
      </c>
      <c r="PR65">
        <v>3.2599999999999997E-2</v>
      </c>
      <c r="PS65">
        <v>0.16769999999999999</v>
      </c>
      <c r="PT65">
        <v>1.6199999999999999E-2</v>
      </c>
      <c r="PU65" s="3">
        <v>1</v>
      </c>
      <c r="PV65" s="3">
        <v>0.2</v>
      </c>
      <c r="PW65" s="3">
        <v>0.8</v>
      </c>
      <c r="PX65" s="3">
        <v>0.19520000000000001</v>
      </c>
      <c r="PY65" s="3">
        <v>0.80479999999999996</v>
      </c>
      <c r="PZ65" s="3">
        <v>6.9800000000000001E-2</v>
      </c>
      <c r="QA65" s="3">
        <v>1.4999999999999999E-2</v>
      </c>
      <c r="QB65" s="3">
        <v>0.12230000000000001</v>
      </c>
      <c r="QC65" s="3">
        <v>1.21E-2</v>
      </c>
      <c r="QD65" s="3">
        <v>0.3039</v>
      </c>
      <c r="QE65" s="3">
        <v>4.2700000000000002E-2</v>
      </c>
      <c r="QF65" s="3">
        <v>0.504</v>
      </c>
      <c r="QG65" s="3">
        <v>0.62629999999999997</v>
      </c>
      <c r="QH65" s="3">
        <v>1.2999999999999999E-3</v>
      </c>
      <c r="QI65" s="3">
        <v>0.81410000000000005</v>
      </c>
      <c r="QJ65" s="3">
        <v>6.7900000000000002E-2</v>
      </c>
      <c r="QK65" s="3">
        <v>0.1166</v>
      </c>
      <c r="QL65" s="4">
        <v>7681</v>
      </c>
      <c r="QM65">
        <v>5.71</v>
      </c>
      <c r="QN65" s="1">
        <v>15032</v>
      </c>
      <c r="QO65" s="1">
        <v>15032</v>
      </c>
      <c r="QP65" s="1">
        <v>3006</v>
      </c>
      <c r="QQ65" s="3">
        <v>0.61219999999999997</v>
      </c>
      <c r="QR65" s="3">
        <v>0.2145</v>
      </c>
      <c r="QS65" s="3">
        <v>0.17330000000000001</v>
      </c>
      <c r="QT65" s="3">
        <v>0.2</v>
      </c>
      <c r="QU65">
        <v>0.19</v>
      </c>
      <c r="QV65">
        <v>0.8</v>
      </c>
      <c r="QW65">
        <v>0.16</v>
      </c>
      <c r="QX65">
        <v>7</v>
      </c>
      <c r="QY65">
        <v>2.29</v>
      </c>
      <c r="QZ65">
        <v>8</v>
      </c>
      <c r="RA65">
        <v>1.4</v>
      </c>
      <c r="RB65">
        <v>0.1</v>
      </c>
      <c r="RC65">
        <v>0.1</v>
      </c>
    </row>
    <row r="66" spans="1:471" x14ac:dyDescent="0.25">
      <c r="A66" t="s">
        <v>1159</v>
      </c>
      <c r="B66">
        <v>154239</v>
      </c>
      <c r="C66" t="s">
        <v>1754</v>
      </c>
      <c r="D66" t="s">
        <v>1754</v>
      </c>
      <c r="E66" t="s">
        <v>1754</v>
      </c>
      <c r="F66" t="s">
        <v>1755</v>
      </c>
      <c r="G66" t="s">
        <v>1755</v>
      </c>
      <c r="H66" t="s">
        <v>1160</v>
      </c>
      <c r="I66" t="s">
        <v>342</v>
      </c>
      <c r="J66" t="s">
        <v>994</v>
      </c>
      <c r="K66" t="s">
        <v>533</v>
      </c>
      <c r="L66" t="s">
        <v>345</v>
      </c>
      <c r="M66" t="s">
        <v>346</v>
      </c>
      <c r="N66" t="s">
        <v>347</v>
      </c>
      <c r="O66" s="1">
        <v>39574</v>
      </c>
      <c r="P66" t="s">
        <v>348</v>
      </c>
      <c r="Q66">
        <v>246</v>
      </c>
      <c r="R66">
        <v>18</v>
      </c>
      <c r="S66">
        <v>39</v>
      </c>
      <c r="T66">
        <v>10</v>
      </c>
      <c r="U66" s="1">
        <v>1229</v>
      </c>
      <c r="V66">
        <v>137</v>
      </c>
      <c r="W66" s="1">
        <v>19693</v>
      </c>
      <c r="X66">
        <v>977</v>
      </c>
      <c r="AC66" t="s">
        <v>1161</v>
      </c>
      <c r="AD66" t="s">
        <v>1162</v>
      </c>
      <c r="AE66">
        <v>27573</v>
      </c>
      <c r="AG66" t="s">
        <v>1161</v>
      </c>
      <c r="AH66" t="s">
        <v>1162</v>
      </c>
      <c r="AI66">
        <v>27573</v>
      </c>
      <c r="AJ66">
        <v>2</v>
      </c>
      <c r="AK66" t="s">
        <v>1163</v>
      </c>
      <c r="AM66" t="s">
        <v>0</v>
      </c>
      <c r="AN66" t="s">
        <v>1164</v>
      </c>
      <c r="AO66" t="s">
        <v>1165</v>
      </c>
      <c r="AP66">
        <v>3365977881</v>
      </c>
      <c r="AQ66" t="s">
        <v>1167</v>
      </c>
      <c r="AR66" t="s">
        <v>1168</v>
      </c>
      <c r="AS66" t="s">
        <v>1165</v>
      </c>
      <c r="AT66" t="s">
        <v>1</v>
      </c>
      <c r="AU66" t="s">
        <v>1166</v>
      </c>
      <c r="AV66" t="s">
        <v>1167</v>
      </c>
      <c r="AW66" t="s">
        <v>1168</v>
      </c>
      <c r="AX66" t="s">
        <v>1169</v>
      </c>
      <c r="AY66">
        <v>0</v>
      </c>
      <c r="AZ66">
        <v>0</v>
      </c>
      <c r="BA66">
        <v>0</v>
      </c>
      <c r="BB66" s="573">
        <v>42186</v>
      </c>
      <c r="BC66" s="573">
        <v>42551</v>
      </c>
      <c r="BD66">
        <v>1</v>
      </c>
      <c r="BE66">
        <v>0</v>
      </c>
      <c r="BF66">
        <v>0</v>
      </c>
      <c r="BG66">
        <v>1</v>
      </c>
      <c r="BH66">
        <v>2</v>
      </c>
      <c r="BJ66" s="1">
        <v>3020</v>
      </c>
      <c r="BK66">
        <v>4</v>
      </c>
      <c r="BL66">
        <v>0</v>
      </c>
      <c r="BM66">
        <v>4</v>
      </c>
      <c r="BN66">
        <v>3</v>
      </c>
      <c r="BO66">
        <v>7</v>
      </c>
      <c r="BP66" s="3">
        <v>0.57140000000000002</v>
      </c>
      <c r="BQ66">
        <v>507</v>
      </c>
      <c r="BR66" s="4">
        <v>59387</v>
      </c>
      <c r="DW66" s="4">
        <v>0</v>
      </c>
      <c r="DX66" s="4">
        <v>402169</v>
      </c>
      <c r="DY66" s="4">
        <v>402169</v>
      </c>
      <c r="DZ66" s="4">
        <v>95672</v>
      </c>
      <c r="EA66" s="4">
        <v>0</v>
      </c>
      <c r="EB66" s="4">
        <v>95672</v>
      </c>
      <c r="EC66" s="4">
        <v>2400</v>
      </c>
      <c r="ED66" s="4">
        <v>0</v>
      </c>
      <c r="EE66" s="4">
        <v>2400</v>
      </c>
      <c r="EF66" s="4">
        <v>0</v>
      </c>
      <c r="EG66" s="4">
        <v>500241</v>
      </c>
      <c r="EH66" s="4">
        <v>287626</v>
      </c>
      <c r="EI66" s="4">
        <v>105356</v>
      </c>
      <c r="EJ66" s="4">
        <v>392982</v>
      </c>
      <c r="EK66" s="4">
        <v>62384</v>
      </c>
      <c r="EL66" s="4">
        <v>9561</v>
      </c>
      <c r="EM66" s="4">
        <v>1684</v>
      </c>
      <c r="EN66" s="4">
        <v>73629</v>
      </c>
      <c r="EO66" s="4">
        <v>48687</v>
      </c>
      <c r="EP66" s="4">
        <v>515298</v>
      </c>
      <c r="EQ66" s="4">
        <v>-15057</v>
      </c>
      <c r="ER66" s="3">
        <v>-3.0099999999999998E-2</v>
      </c>
      <c r="ES66" s="4">
        <v>0</v>
      </c>
      <c r="ET66" s="4">
        <v>0</v>
      </c>
      <c r="EU66" s="4">
        <v>0</v>
      </c>
      <c r="EV66" s="4">
        <v>0</v>
      </c>
      <c r="EW66" s="4">
        <v>0</v>
      </c>
      <c r="EX66" s="4">
        <v>0</v>
      </c>
      <c r="EY66" s="1">
        <v>11726</v>
      </c>
      <c r="EZ66" s="1">
        <v>128955</v>
      </c>
      <c r="FA66" s="1">
        <v>23141</v>
      </c>
      <c r="FB66" s="1">
        <v>2348</v>
      </c>
      <c r="FC66" s="1">
        <v>17978</v>
      </c>
      <c r="FD66" s="1">
        <v>12874</v>
      </c>
      <c r="FE66">
        <v>646</v>
      </c>
      <c r="FF66" s="1">
        <v>8045</v>
      </c>
      <c r="FG66" s="1">
        <v>36015</v>
      </c>
      <c r="FH66" s="1">
        <v>2994</v>
      </c>
      <c r="FI66" s="1">
        <v>26023</v>
      </c>
      <c r="FJ66" s="1">
        <v>65032</v>
      </c>
      <c r="FK66">
        <v>53</v>
      </c>
      <c r="FL66">
        <v>103</v>
      </c>
      <c r="FN66" s="1">
        <v>65032</v>
      </c>
      <c r="FO66" s="1">
        <v>2561</v>
      </c>
      <c r="FP66" s="1">
        <v>1694</v>
      </c>
      <c r="FQ66" s="1">
        <v>1099</v>
      </c>
      <c r="FR66">
        <v>8</v>
      </c>
      <c r="FS66">
        <v>74</v>
      </c>
      <c r="FT66">
        <v>82</v>
      </c>
      <c r="FU66" s="1">
        <v>26725</v>
      </c>
      <c r="FV66" s="1">
        <v>2022</v>
      </c>
      <c r="FW66">
        <v>0</v>
      </c>
      <c r="GC66" s="1">
        <v>23798</v>
      </c>
      <c r="GD66" s="1">
        <v>1183</v>
      </c>
      <c r="GE66">
        <v>205</v>
      </c>
      <c r="GK66">
        <v>82</v>
      </c>
      <c r="GL66" s="1">
        <v>4267</v>
      </c>
      <c r="GM66">
        <v>-1</v>
      </c>
      <c r="GN66">
        <v>50</v>
      </c>
      <c r="GO66" s="1">
        <v>50605</v>
      </c>
      <c r="GP66" s="1">
        <v>7472</v>
      </c>
      <c r="GQ66">
        <v>204</v>
      </c>
      <c r="GR66">
        <v>50</v>
      </c>
      <c r="GS66">
        <v>11</v>
      </c>
      <c r="GU66" s="1">
        <v>44831</v>
      </c>
      <c r="GV66" s="1">
        <v>2310</v>
      </c>
      <c r="GW66" s="1">
        <v>68778</v>
      </c>
      <c r="GX66" s="1">
        <v>7143</v>
      </c>
      <c r="GY66">
        <v>491</v>
      </c>
      <c r="GZ66" s="1">
        <v>13850</v>
      </c>
      <c r="HA66" s="1">
        <v>51974</v>
      </c>
      <c r="HB66" s="1">
        <v>2801</v>
      </c>
      <c r="HC66" s="1">
        <v>82628</v>
      </c>
      <c r="HD66" s="1">
        <v>137403</v>
      </c>
      <c r="HE66" s="1">
        <v>3307</v>
      </c>
      <c r="HF66" s="1">
        <v>146190</v>
      </c>
      <c r="HG66" s="1">
        <v>5039</v>
      </c>
      <c r="HH66" s="1">
        <v>10824</v>
      </c>
      <c r="HI66" s="1">
        <v>5480</v>
      </c>
      <c r="HJ66" s="1">
        <v>18509</v>
      </c>
      <c r="HK66" s="1">
        <v>34372</v>
      </c>
      <c r="HL66" s="1">
        <v>180562</v>
      </c>
      <c r="HM66">
        <v>23</v>
      </c>
      <c r="HN66" s="1">
        <v>6488</v>
      </c>
      <c r="HO66" s="1">
        <v>6511</v>
      </c>
      <c r="HP66">
        <v>121</v>
      </c>
      <c r="HQ66" s="1">
        <v>1161</v>
      </c>
      <c r="HR66" s="1">
        <v>1282</v>
      </c>
      <c r="HS66">
        <v>0</v>
      </c>
      <c r="HT66">
        <v>15</v>
      </c>
      <c r="HU66">
        <v>15</v>
      </c>
      <c r="HV66">
        <v>194</v>
      </c>
      <c r="HW66" s="1">
        <v>8002</v>
      </c>
      <c r="HX66" s="1">
        <v>2073</v>
      </c>
      <c r="HY66">
        <v>0</v>
      </c>
      <c r="HZ66" s="1">
        <v>2073</v>
      </c>
      <c r="IA66" s="1">
        <v>10075</v>
      </c>
      <c r="IB66" s="1">
        <v>6321</v>
      </c>
      <c r="IC66" s="1">
        <v>17160</v>
      </c>
      <c r="ID66" s="1">
        <v>188564</v>
      </c>
      <c r="IE66" s="1">
        <v>188564</v>
      </c>
      <c r="IF66" s="1">
        <v>190637</v>
      </c>
      <c r="IG66" s="1">
        <v>85429</v>
      </c>
      <c r="IH66">
        <v>0</v>
      </c>
      <c r="IL66" s="3">
        <v>1.47E-2</v>
      </c>
      <c r="IM66" s="3">
        <v>8.0000000000000004E-4</v>
      </c>
      <c r="IN66" s="3">
        <v>0.45229999999999998</v>
      </c>
      <c r="IO66" s="3">
        <v>0</v>
      </c>
      <c r="IP66" s="3">
        <v>0.39240000000000003</v>
      </c>
      <c r="IQ66" s="3">
        <v>5.9999999999999995E-4</v>
      </c>
      <c r="IR66" s="3">
        <v>0.50429999999999997</v>
      </c>
      <c r="IS66" s="3">
        <v>7.7799999999999994E-2</v>
      </c>
      <c r="IT66" s="3">
        <v>0.4531</v>
      </c>
      <c r="IU66" s="1">
        <v>25017</v>
      </c>
      <c r="IV66" s="1">
        <v>7133</v>
      </c>
      <c r="IW66" s="1">
        <v>32150</v>
      </c>
      <c r="IX66" s="3">
        <v>0.81240000000000001</v>
      </c>
      <c r="IY66" s="1">
        <v>107847</v>
      </c>
      <c r="JA66">
        <v>74</v>
      </c>
      <c r="JB66">
        <v>14</v>
      </c>
      <c r="JC66">
        <v>116</v>
      </c>
      <c r="JD66">
        <v>53</v>
      </c>
      <c r="JE66">
        <v>0</v>
      </c>
      <c r="JF66">
        <v>103</v>
      </c>
      <c r="JG66">
        <v>127</v>
      </c>
      <c r="JH66">
        <v>14</v>
      </c>
      <c r="JI66">
        <v>219</v>
      </c>
      <c r="JJ66">
        <v>360</v>
      </c>
      <c r="JK66">
        <v>204</v>
      </c>
      <c r="JL66">
        <v>156</v>
      </c>
      <c r="JM66">
        <v>534</v>
      </c>
      <c r="JN66">
        <v>66</v>
      </c>
      <c r="JO66" s="1">
        <v>2746</v>
      </c>
      <c r="JP66" s="1">
        <v>1083</v>
      </c>
      <c r="JQ66">
        <v>0</v>
      </c>
      <c r="JR66" s="1">
        <v>3547</v>
      </c>
      <c r="JS66" s="1">
        <v>1617</v>
      </c>
      <c r="JT66">
        <v>66</v>
      </c>
      <c r="JU66" s="1">
        <v>6293</v>
      </c>
      <c r="JV66" s="1">
        <v>7976</v>
      </c>
      <c r="JW66" s="1">
        <v>3346</v>
      </c>
      <c r="JX66" s="1">
        <v>4630</v>
      </c>
      <c r="JY66">
        <v>22.16</v>
      </c>
      <c r="JZ66">
        <v>12.73</v>
      </c>
      <c r="KA66">
        <v>28.74</v>
      </c>
      <c r="KB66">
        <v>0.2</v>
      </c>
      <c r="KC66">
        <v>0.79</v>
      </c>
      <c r="KD66">
        <v>1</v>
      </c>
      <c r="KE66">
        <v>6</v>
      </c>
      <c r="KF66">
        <v>28</v>
      </c>
      <c r="KG66">
        <v>90</v>
      </c>
      <c r="KN66" s="1">
        <v>8872</v>
      </c>
      <c r="KO66" s="1">
        <v>2442</v>
      </c>
      <c r="KP66">
        <v>217</v>
      </c>
      <c r="KR66">
        <v>268</v>
      </c>
      <c r="KS66" s="1">
        <v>2645</v>
      </c>
      <c r="KT66">
        <v>20</v>
      </c>
      <c r="KU66">
        <v>100</v>
      </c>
      <c r="KV66">
        <v>10</v>
      </c>
      <c r="KW66">
        <v>13</v>
      </c>
      <c r="KX66" s="1">
        <v>16964</v>
      </c>
      <c r="KZ66" s="1">
        <v>14606</v>
      </c>
      <c r="LA66" s="1">
        <v>6175</v>
      </c>
      <c r="LD66" t="s">
        <v>1163</v>
      </c>
      <c r="LE66" t="s">
        <v>379</v>
      </c>
      <c r="LF66" t="s">
        <v>1170</v>
      </c>
      <c r="LG66" t="s">
        <v>1162</v>
      </c>
      <c r="LH66">
        <v>27573</v>
      </c>
      <c r="LI66">
        <v>5525</v>
      </c>
      <c r="LJ66" t="s">
        <v>1161</v>
      </c>
      <c r="LK66" t="s">
        <v>1162</v>
      </c>
      <c r="LL66">
        <v>27573</v>
      </c>
      <c r="LM66">
        <v>5525</v>
      </c>
      <c r="LN66" t="s">
        <v>1164</v>
      </c>
      <c r="LO66">
        <v>3365977881</v>
      </c>
      <c r="LP66">
        <v>3365975081</v>
      </c>
      <c r="LQ66" s="1">
        <v>12700</v>
      </c>
      <c r="LR66">
        <v>7</v>
      </c>
      <c r="LT66" s="1">
        <v>3020</v>
      </c>
      <c r="LU66">
        <v>52</v>
      </c>
      <c r="LX66">
        <v>1</v>
      </c>
      <c r="LY66" t="s">
        <v>1171</v>
      </c>
      <c r="LZ66">
        <v>0</v>
      </c>
      <c r="MA66" t="s">
        <v>363</v>
      </c>
      <c r="MB66">
        <v>444</v>
      </c>
      <c r="MC66">
        <v>845</v>
      </c>
      <c r="ME66" s="574">
        <v>2.73</v>
      </c>
      <c r="MF66" s="574">
        <v>2.08</v>
      </c>
      <c r="MG66" s="574">
        <v>0.39</v>
      </c>
      <c r="MH66" s="574">
        <v>16.03</v>
      </c>
      <c r="MI66" s="574">
        <v>12.22</v>
      </c>
      <c r="MJ66" s="574">
        <v>2.29</v>
      </c>
      <c r="MK66" s="574">
        <v>4.78</v>
      </c>
      <c r="ML66" s="574">
        <v>3.64</v>
      </c>
      <c r="MM66" s="574">
        <v>0.68</v>
      </c>
      <c r="MN66" s="574">
        <v>58.08</v>
      </c>
      <c r="MO66" s="574">
        <v>44.29</v>
      </c>
      <c r="MP66" s="574">
        <v>8.3000000000000007</v>
      </c>
      <c r="MQ66" s="574">
        <v>64.61</v>
      </c>
      <c r="MR66" s="574">
        <v>49.27</v>
      </c>
      <c r="MS66" s="574">
        <v>9.23</v>
      </c>
      <c r="MT66" s="574">
        <v>6.03</v>
      </c>
      <c r="MU66" s="574">
        <v>4.5999999999999996</v>
      </c>
      <c r="MV66" s="574">
        <v>0.86</v>
      </c>
      <c r="MW66" s="1">
        <v>1267</v>
      </c>
      <c r="MX66" s="1">
        <v>2218</v>
      </c>
      <c r="MY66" s="1">
        <v>2218</v>
      </c>
      <c r="MZ66" s="1">
        <v>15407</v>
      </c>
      <c r="NA66" s="1">
        <v>26962</v>
      </c>
      <c r="NB66" s="1">
        <v>26962</v>
      </c>
      <c r="NC66" s="1">
        <v>47141</v>
      </c>
      <c r="ND66" s="1">
        <v>47141</v>
      </c>
      <c r="NE66">
        <v>1.46</v>
      </c>
      <c r="NF66" s="1">
        <v>26938</v>
      </c>
      <c r="NG66">
        <v>12.95</v>
      </c>
      <c r="NH66">
        <v>4.7649999999999997</v>
      </c>
      <c r="NI66">
        <v>2.73</v>
      </c>
      <c r="NJ66">
        <v>0.62</v>
      </c>
      <c r="NK66">
        <v>3.11</v>
      </c>
      <c r="NL66">
        <v>0.22420000000000001</v>
      </c>
      <c r="NM66">
        <v>2.1587000000000001</v>
      </c>
      <c r="NN66">
        <v>0.81</v>
      </c>
      <c r="NO66">
        <v>0.2</v>
      </c>
      <c r="NP66">
        <v>0</v>
      </c>
      <c r="NQ66">
        <v>0</v>
      </c>
      <c r="NR66">
        <v>0.43</v>
      </c>
      <c r="NS66">
        <v>0.04</v>
      </c>
      <c r="NT66">
        <v>0.16</v>
      </c>
      <c r="NU66" s="574">
        <v>9.93</v>
      </c>
      <c r="NV66">
        <v>3.2589999999999999</v>
      </c>
      <c r="NW66">
        <v>0</v>
      </c>
      <c r="NX66">
        <v>3.0000000000000001E-3</v>
      </c>
      <c r="NY66">
        <v>1.2789999999999999</v>
      </c>
      <c r="NZ66">
        <v>2E-3</v>
      </c>
      <c r="OA66">
        <v>0.1244</v>
      </c>
      <c r="OB66">
        <v>0.2177</v>
      </c>
      <c r="OC66">
        <v>3.2040000000000002</v>
      </c>
      <c r="OD66">
        <v>1.643</v>
      </c>
      <c r="OE66">
        <v>7.5800000000000006E-2</v>
      </c>
      <c r="OF66" s="2">
        <v>1574.028</v>
      </c>
      <c r="OG66">
        <v>2.5510000000000002</v>
      </c>
      <c r="OH66" s="574">
        <v>1.23</v>
      </c>
      <c r="OI66">
        <v>312</v>
      </c>
      <c r="OJ66">
        <v>59</v>
      </c>
      <c r="OK66" s="574">
        <v>13.02</v>
      </c>
      <c r="OL66" s="574">
        <v>1.86</v>
      </c>
      <c r="OM66" s="574">
        <v>1.58</v>
      </c>
      <c r="ON66">
        <v>0.1769</v>
      </c>
      <c r="OO66">
        <v>0.1011</v>
      </c>
      <c r="OP66">
        <v>9.3299999999999994E-2</v>
      </c>
      <c r="OQ66" s="574">
        <v>2.42</v>
      </c>
      <c r="OR66" s="574">
        <v>10.16</v>
      </c>
      <c r="OS66" s="574">
        <v>0.06</v>
      </c>
      <c r="OT66" s="574">
        <v>0</v>
      </c>
      <c r="OU66" s="574">
        <v>12.64</v>
      </c>
      <c r="OV66">
        <v>0</v>
      </c>
      <c r="OW66">
        <v>2</v>
      </c>
      <c r="OX66">
        <v>1.75</v>
      </c>
      <c r="OY66" s="1">
        <v>3626</v>
      </c>
      <c r="OZ66">
        <v>35.71</v>
      </c>
      <c r="PA66" s="1">
        <v>2074</v>
      </c>
      <c r="PB66">
        <v>2.94</v>
      </c>
      <c r="PC66">
        <v>62.44</v>
      </c>
      <c r="PD66">
        <v>0.08</v>
      </c>
      <c r="PE66">
        <v>171</v>
      </c>
      <c r="PF66">
        <v>0.68</v>
      </c>
      <c r="PG66" s="574">
        <v>0.68</v>
      </c>
      <c r="PH66">
        <v>1.2</v>
      </c>
      <c r="PI66">
        <v>7.63</v>
      </c>
      <c r="PJ66">
        <v>5.87</v>
      </c>
      <c r="PK66" s="574">
        <v>4.78</v>
      </c>
      <c r="PL66">
        <v>29.04</v>
      </c>
      <c r="PM66" s="4">
        <v>56140</v>
      </c>
      <c r="PN66" s="4">
        <v>41089</v>
      </c>
      <c r="PO66">
        <v>3.7100000000000001E-2</v>
      </c>
      <c r="PP66">
        <v>0.78900000000000003</v>
      </c>
      <c r="PQ66">
        <v>6.4899999999999999E-2</v>
      </c>
      <c r="PR66">
        <v>2.12E-2</v>
      </c>
      <c r="PS66">
        <v>0.45090000000000002</v>
      </c>
      <c r="PT66">
        <v>3.7100000000000001E-2</v>
      </c>
      <c r="PU66" s="3">
        <v>1</v>
      </c>
      <c r="PV66" s="3">
        <v>0.57140000000000002</v>
      </c>
      <c r="PW66" s="3">
        <v>0.42859999999999998</v>
      </c>
      <c r="PX66" s="3">
        <v>0.2681</v>
      </c>
      <c r="PY66" s="3">
        <v>0.7319</v>
      </c>
      <c r="PZ66" s="3">
        <v>0.1429</v>
      </c>
      <c r="QA66" s="3">
        <v>1.8599999999999998E-2</v>
      </c>
      <c r="QB66" s="3">
        <v>0.20449999999999999</v>
      </c>
      <c r="QC66" s="3">
        <v>3.3E-3</v>
      </c>
      <c r="QD66" s="3">
        <v>9.4500000000000001E-2</v>
      </c>
      <c r="QE66" s="3">
        <v>0.1211</v>
      </c>
      <c r="QF66" s="3">
        <v>0.55820000000000003</v>
      </c>
      <c r="QG66" s="3">
        <v>0.76259999999999994</v>
      </c>
      <c r="QH66" s="3">
        <v>4.7999999999999996E-3</v>
      </c>
      <c r="QI66" s="3">
        <v>0.80400000000000005</v>
      </c>
      <c r="QJ66" s="3">
        <v>0</v>
      </c>
      <c r="QK66" s="3">
        <v>0.1913</v>
      </c>
      <c r="QL66" s="4">
        <v>15051</v>
      </c>
      <c r="QM66">
        <v>3.35</v>
      </c>
      <c r="QN66" s="1">
        <v>9894</v>
      </c>
      <c r="QO66" s="1">
        <v>9894</v>
      </c>
      <c r="QP66" s="1">
        <v>5653</v>
      </c>
      <c r="QQ66" s="3">
        <v>0.84730000000000005</v>
      </c>
      <c r="QR66" s="3">
        <v>0.12989999999999999</v>
      </c>
      <c r="QS66" s="3">
        <v>2.29E-2</v>
      </c>
      <c r="QT66" s="3">
        <v>0.57140000000000002</v>
      </c>
      <c r="QU66">
        <v>0.66</v>
      </c>
      <c r="QV66">
        <v>1.79</v>
      </c>
      <c r="QW66">
        <v>0.48</v>
      </c>
      <c r="QX66">
        <v>20</v>
      </c>
      <c r="QY66">
        <v>3.02</v>
      </c>
      <c r="QZ66">
        <v>112</v>
      </c>
      <c r="RA66">
        <v>2.56</v>
      </c>
      <c r="RB66">
        <v>0.37</v>
      </c>
      <c r="RC66">
        <v>0.38</v>
      </c>
    </row>
    <row r="67" spans="1:471" x14ac:dyDescent="0.25">
      <c r="A67" t="s">
        <v>1172</v>
      </c>
      <c r="B67">
        <v>11653</v>
      </c>
      <c r="C67" t="s">
        <v>1754</v>
      </c>
      <c r="D67" t="s">
        <v>1754</v>
      </c>
      <c r="E67" t="s">
        <v>1754</v>
      </c>
      <c r="F67" t="s">
        <v>1755</v>
      </c>
      <c r="G67" t="s">
        <v>1755</v>
      </c>
      <c r="H67" t="s">
        <v>1173</v>
      </c>
      <c r="I67" t="s">
        <v>342</v>
      </c>
      <c r="J67" t="s">
        <v>366</v>
      </c>
      <c r="K67" t="s">
        <v>395</v>
      </c>
      <c r="L67" t="s">
        <v>345</v>
      </c>
      <c r="M67" t="s">
        <v>367</v>
      </c>
      <c r="N67" t="s">
        <v>347</v>
      </c>
      <c r="O67" s="1">
        <v>44995</v>
      </c>
      <c r="P67" t="s">
        <v>348</v>
      </c>
      <c r="Q67">
        <v>258</v>
      </c>
      <c r="R67">
        <v>31</v>
      </c>
      <c r="S67">
        <v>50</v>
      </c>
      <c r="T67">
        <v>22</v>
      </c>
      <c r="U67" s="1">
        <v>2250</v>
      </c>
      <c r="V67">
        <v>542</v>
      </c>
      <c r="W67" s="1">
        <v>9752</v>
      </c>
      <c r="X67">
        <v>833</v>
      </c>
      <c r="Y67" s="1">
        <v>75953</v>
      </c>
      <c r="Z67" s="1">
        <v>44941</v>
      </c>
      <c r="AC67" t="s">
        <v>1174</v>
      </c>
      <c r="AD67" t="s">
        <v>1175</v>
      </c>
      <c r="AE67">
        <v>27962</v>
      </c>
      <c r="AF67">
        <v>906</v>
      </c>
      <c r="AG67" t="s">
        <v>1174</v>
      </c>
      <c r="AH67" t="s">
        <v>1175</v>
      </c>
      <c r="AI67">
        <v>27962</v>
      </c>
      <c r="AJ67">
        <v>1</v>
      </c>
      <c r="AK67" t="s">
        <v>1176</v>
      </c>
      <c r="AM67" t="s">
        <v>372</v>
      </c>
      <c r="AN67" t="s">
        <v>1177</v>
      </c>
      <c r="AO67" t="s">
        <v>1178</v>
      </c>
      <c r="AP67">
        <v>2527932875</v>
      </c>
      <c r="AQ67" t="s">
        <v>1180</v>
      </c>
      <c r="AR67" t="s">
        <v>1181</v>
      </c>
      <c r="AS67" t="s">
        <v>1178</v>
      </c>
      <c r="AT67" t="s">
        <v>376</v>
      </c>
      <c r="AU67" t="s">
        <v>1179</v>
      </c>
      <c r="AV67" t="s">
        <v>1180</v>
      </c>
      <c r="AW67" t="s">
        <v>1181</v>
      </c>
      <c r="AX67" t="s">
        <v>1182</v>
      </c>
      <c r="AY67">
        <v>0</v>
      </c>
      <c r="AZ67">
        <v>0</v>
      </c>
      <c r="BA67">
        <v>0</v>
      </c>
      <c r="BB67" s="573">
        <v>42186</v>
      </c>
      <c r="BC67" s="573">
        <v>42551</v>
      </c>
      <c r="BD67">
        <v>0</v>
      </c>
      <c r="BE67">
        <v>4</v>
      </c>
      <c r="BF67">
        <v>0</v>
      </c>
      <c r="BG67">
        <v>1</v>
      </c>
      <c r="BH67">
        <v>5</v>
      </c>
      <c r="BJ67" s="1">
        <v>9334</v>
      </c>
      <c r="BK67">
        <v>3.5</v>
      </c>
      <c r="BL67">
        <v>0.88</v>
      </c>
      <c r="BM67">
        <v>4.38</v>
      </c>
      <c r="BN67">
        <v>3.94</v>
      </c>
      <c r="BO67">
        <v>8.32</v>
      </c>
      <c r="BP67" s="3">
        <v>0.42070000000000002</v>
      </c>
      <c r="BQ67">
        <v>170</v>
      </c>
      <c r="BR67" s="4">
        <v>59444</v>
      </c>
      <c r="DW67" s="4">
        <v>0</v>
      </c>
      <c r="DX67" s="4">
        <v>621002</v>
      </c>
      <c r="DY67" s="4">
        <v>621002</v>
      </c>
      <c r="DZ67" s="4">
        <v>356715</v>
      </c>
      <c r="EA67" s="4">
        <v>0</v>
      </c>
      <c r="EB67" s="4">
        <v>356715</v>
      </c>
      <c r="EC67" s="4">
        <v>1200</v>
      </c>
      <c r="ED67" s="4">
        <v>0</v>
      </c>
      <c r="EE67" s="4">
        <v>1200</v>
      </c>
      <c r="EF67" s="4">
        <v>119006</v>
      </c>
      <c r="EG67" s="4">
        <v>1097923</v>
      </c>
      <c r="EH67" s="4">
        <v>587156</v>
      </c>
      <c r="EI67" s="4">
        <v>168560</v>
      </c>
      <c r="EJ67" s="4">
        <v>755716</v>
      </c>
      <c r="EK67" s="4">
        <v>67064</v>
      </c>
      <c r="EL67" s="4">
        <v>1143</v>
      </c>
      <c r="EM67" s="4">
        <v>8829</v>
      </c>
      <c r="EN67" s="4">
        <v>77036</v>
      </c>
      <c r="EO67" s="4">
        <v>240370</v>
      </c>
      <c r="EP67" s="4">
        <v>1073122</v>
      </c>
      <c r="EQ67" s="4">
        <v>24801</v>
      </c>
      <c r="ER67" s="3">
        <v>2.2599999999999999E-2</v>
      </c>
      <c r="ES67" s="4">
        <v>0</v>
      </c>
      <c r="ET67" s="4">
        <v>0</v>
      </c>
      <c r="EU67" s="4">
        <v>0</v>
      </c>
      <c r="EV67" s="4">
        <v>0</v>
      </c>
      <c r="EW67" s="4">
        <v>0</v>
      </c>
      <c r="EX67" s="4">
        <v>0</v>
      </c>
      <c r="EY67" s="1">
        <v>14371</v>
      </c>
      <c r="EZ67" s="1">
        <v>188743</v>
      </c>
      <c r="FA67" s="1">
        <v>45906</v>
      </c>
      <c r="FB67" s="1">
        <v>4105</v>
      </c>
      <c r="FC67" s="1">
        <v>23319</v>
      </c>
      <c r="FD67" s="1">
        <v>36819</v>
      </c>
      <c r="FE67">
        <v>207</v>
      </c>
      <c r="FF67" s="1">
        <v>11925</v>
      </c>
      <c r="FG67" s="1">
        <v>82725</v>
      </c>
      <c r="FH67" s="1">
        <v>4312</v>
      </c>
      <c r="FI67" s="1">
        <v>35244</v>
      </c>
      <c r="FJ67" s="1">
        <v>122281</v>
      </c>
      <c r="FK67">
        <v>697</v>
      </c>
      <c r="FL67">
        <v>141</v>
      </c>
      <c r="FN67" s="1">
        <v>122281</v>
      </c>
      <c r="FO67" s="1">
        <v>4125</v>
      </c>
      <c r="FP67" s="1">
        <v>7041</v>
      </c>
      <c r="FQ67">
        <v>449</v>
      </c>
      <c r="FR67">
        <v>2</v>
      </c>
      <c r="FS67">
        <v>74</v>
      </c>
      <c r="FT67">
        <v>76</v>
      </c>
      <c r="FU67" s="1">
        <v>26725</v>
      </c>
      <c r="FV67" s="1">
        <v>2022</v>
      </c>
      <c r="FW67">
        <v>0</v>
      </c>
      <c r="GC67" s="1">
        <v>23798</v>
      </c>
      <c r="GD67" s="1">
        <v>1183</v>
      </c>
      <c r="GE67">
        <v>205</v>
      </c>
      <c r="GK67">
        <v>0</v>
      </c>
      <c r="GL67">
        <v>0</v>
      </c>
      <c r="GM67">
        <v>0</v>
      </c>
      <c r="GN67">
        <v>0</v>
      </c>
      <c r="GO67" s="1">
        <v>50523</v>
      </c>
      <c r="GP67" s="1">
        <v>3205</v>
      </c>
      <c r="GQ67">
        <v>205</v>
      </c>
      <c r="GR67">
        <v>0</v>
      </c>
      <c r="GS67">
        <v>53</v>
      </c>
      <c r="GU67" s="1">
        <v>41508</v>
      </c>
      <c r="GV67" s="1">
        <v>4559</v>
      </c>
      <c r="GW67" s="1">
        <v>31375</v>
      </c>
      <c r="GX67" s="1">
        <v>8262</v>
      </c>
      <c r="GY67">
        <v>94</v>
      </c>
      <c r="GZ67" s="1">
        <v>5765</v>
      </c>
      <c r="HA67" s="1">
        <v>49770</v>
      </c>
      <c r="HB67" s="1">
        <v>4653</v>
      </c>
      <c r="HC67" s="1">
        <v>37140</v>
      </c>
      <c r="HD67" s="1">
        <v>91563</v>
      </c>
      <c r="HE67" s="1">
        <v>1831</v>
      </c>
      <c r="HF67" s="1">
        <v>93873</v>
      </c>
      <c r="HG67" s="1">
        <v>7206</v>
      </c>
      <c r="HH67" s="1">
        <v>25719</v>
      </c>
      <c r="HI67">
        <v>479</v>
      </c>
      <c r="HJ67" s="1">
        <v>1513</v>
      </c>
      <c r="HK67" s="1">
        <v>34438</v>
      </c>
      <c r="HL67" s="1">
        <v>128311</v>
      </c>
      <c r="HM67">
        <v>12</v>
      </c>
      <c r="HN67" s="1">
        <v>7777</v>
      </c>
      <c r="HO67" s="1">
        <v>7789</v>
      </c>
      <c r="HP67">
        <v>43</v>
      </c>
      <c r="HQ67" s="1">
        <v>1083</v>
      </c>
      <c r="HR67" s="1">
        <v>1126</v>
      </c>
      <c r="HS67">
        <v>0</v>
      </c>
      <c r="HT67">
        <v>31</v>
      </c>
      <c r="HU67">
        <v>31</v>
      </c>
      <c r="HV67">
        <v>0</v>
      </c>
      <c r="HW67" s="1">
        <v>8946</v>
      </c>
      <c r="HX67" s="1">
        <v>5687</v>
      </c>
      <c r="HY67">
        <v>0</v>
      </c>
      <c r="HZ67" s="1">
        <v>5687</v>
      </c>
      <c r="IA67" s="1">
        <v>14633</v>
      </c>
      <c r="IB67" s="1">
        <v>8332</v>
      </c>
      <c r="IC67" s="1">
        <v>34082</v>
      </c>
      <c r="ID67" s="1">
        <v>137257</v>
      </c>
      <c r="IE67" s="1">
        <v>137257</v>
      </c>
      <c r="IF67" s="1">
        <v>142944</v>
      </c>
      <c r="IG67" s="1">
        <v>43602</v>
      </c>
      <c r="IH67">
        <v>-1</v>
      </c>
      <c r="IL67" s="3">
        <v>3.8399999999999997E-2</v>
      </c>
      <c r="IM67" s="3">
        <v>6.9999999999999999E-4</v>
      </c>
      <c r="IN67" s="3">
        <v>0.28570000000000001</v>
      </c>
      <c r="IO67" s="3">
        <v>0</v>
      </c>
      <c r="IP67" s="3">
        <v>0.26769999999999999</v>
      </c>
      <c r="IQ67" s="3">
        <v>4.0000000000000002E-4</v>
      </c>
      <c r="IR67" s="3">
        <v>0.64790000000000003</v>
      </c>
      <c r="IS67" s="3">
        <v>3.8800000000000001E-2</v>
      </c>
      <c r="IT67" s="3">
        <v>0.31769999999999998</v>
      </c>
      <c r="IU67" s="1">
        <v>17619</v>
      </c>
      <c r="IV67" s="1">
        <v>5093</v>
      </c>
      <c r="IW67" s="1">
        <v>22712</v>
      </c>
      <c r="IX67" s="3">
        <v>0.50480000000000003</v>
      </c>
      <c r="IY67" s="1">
        <v>221282</v>
      </c>
      <c r="JA67">
        <v>270</v>
      </c>
      <c r="JB67">
        <v>14</v>
      </c>
      <c r="JC67">
        <v>226</v>
      </c>
      <c r="JD67">
        <v>80</v>
      </c>
      <c r="JE67">
        <v>7</v>
      </c>
      <c r="JF67">
        <v>406</v>
      </c>
      <c r="JG67">
        <v>350</v>
      </c>
      <c r="JH67">
        <v>21</v>
      </c>
      <c r="JI67">
        <v>632</v>
      </c>
      <c r="JJ67" s="1">
        <v>1003</v>
      </c>
      <c r="JK67">
        <v>510</v>
      </c>
      <c r="JL67">
        <v>493</v>
      </c>
      <c r="JM67" s="1">
        <v>2919</v>
      </c>
      <c r="JN67">
        <v>158</v>
      </c>
      <c r="JO67" s="1">
        <v>5806</v>
      </c>
      <c r="JP67" s="1">
        <v>1689</v>
      </c>
      <c r="JQ67">
        <v>729</v>
      </c>
      <c r="JR67" s="1">
        <v>7580</v>
      </c>
      <c r="JS67" s="1">
        <v>4608</v>
      </c>
      <c r="JT67">
        <v>887</v>
      </c>
      <c r="JU67" s="1">
        <v>13386</v>
      </c>
      <c r="JV67" s="1">
        <v>18881</v>
      </c>
      <c r="JW67" s="1">
        <v>8883</v>
      </c>
      <c r="JX67" s="1">
        <v>9998</v>
      </c>
      <c r="JY67">
        <v>18.82</v>
      </c>
      <c r="JZ67">
        <v>13.17</v>
      </c>
      <c r="KA67">
        <v>21.18</v>
      </c>
      <c r="KB67">
        <v>0.24</v>
      </c>
      <c r="KC67">
        <v>0.71</v>
      </c>
      <c r="KD67">
        <v>2</v>
      </c>
      <c r="KE67">
        <v>10</v>
      </c>
      <c r="KF67">
        <v>20</v>
      </c>
      <c r="KG67">
        <v>62</v>
      </c>
      <c r="KN67" s="1">
        <v>18792</v>
      </c>
      <c r="KO67" s="1">
        <v>5820</v>
      </c>
      <c r="KP67">
        <v>973</v>
      </c>
      <c r="KR67">
        <v>637</v>
      </c>
      <c r="KS67" s="1">
        <v>5522</v>
      </c>
      <c r="KT67">
        <v>35</v>
      </c>
      <c r="KU67">
        <v>151</v>
      </c>
      <c r="KV67">
        <v>20</v>
      </c>
      <c r="KW67">
        <v>51</v>
      </c>
      <c r="KX67" s="1">
        <v>40845</v>
      </c>
      <c r="KZ67" s="1">
        <v>21432</v>
      </c>
      <c r="LA67" s="1">
        <v>30814</v>
      </c>
      <c r="LD67" t="s">
        <v>1183</v>
      </c>
      <c r="LE67" t="s">
        <v>379</v>
      </c>
      <c r="LF67" t="s">
        <v>1184</v>
      </c>
      <c r="LG67" t="s">
        <v>373</v>
      </c>
      <c r="LH67">
        <v>27944</v>
      </c>
      <c r="LI67">
        <v>1306</v>
      </c>
      <c r="LJ67" t="s">
        <v>1184</v>
      </c>
      <c r="LK67" t="s">
        <v>373</v>
      </c>
      <c r="LL67">
        <v>27944</v>
      </c>
      <c r="LM67">
        <v>1306</v>
      </c>
      <c r="LN67" t="s">
        <v>1185</v>
      </c>
      <c r="LO67">
        <v>2524265319</v>
      </c>
      <c r="LP67">
        <v>2524261556</v>
      </c>
      <c r="LQ67" s="1">
        <v>31639</v>
      </c>
      <c r="LR67">
        <v>15.65</v>
      </c>
      <c r="LT67" s="1">
        <v>9334</v>
      </c>
      <c r="LU67">
        <v>208</v>
      </c>
      <c r="LX67">
        <v>3</v>
      </c>
      <c r="LY67" t="s">
        <v>1186</v>
      </c>
      <c r="LZ67">
        <v>0</v>
      </c>
      <c r="MA67" t="s">
        <v>408</v>
      </c>
      <c r="MB67">
        <v>13.8</v>
      </c>
      <c r="MC67">
        <v>21.32</v>
      </c>
      <c r="ME67" s="574">
        <v>7.82</v>
      </c>
      <c r="MF67" s="574">
        <v>5.51</v>
      </c>
      <c r="MG67" s="574">
        <v>0.56000000000000005</v>
      </c>
      <c r="MH67" s="574">
        <v>47.25</v>
      </c>
      <c r="MI67" s="574">
        <v>33.270000000000003</v>
      </c>
      <c r="MJ67" s="574">
        <v>3.39</v>
      </c>
      <c r="MK67" s="574">
        <v>4.8499999999999996</v>
      </c>
      <c r="ML67" s="574">
        <v>3.42</v>
      </c>
      <c r="MM67" s="574">
        <v>0.35</v>
      </c>
      <c r="MN67" s="574">
        <v>57.11</v>
      </c>
      <c r="MO67" s="574">
        <v>40.21</v>
      </c>
      <c r="MP67" s="574">
        <v>4.0999999999999996</v>
      </c>
      <c r="MQ67" s="574">
        <v>56.84</v>
      </c>
      <c r="MR67" s="574">
        <v>40.03</v>
      </c>
      <c r="MS67" s="574">
        <v>4.08</v>
      </c>
      <c r="MT67" s="574">
        <v>24.61</v>
      </c>
      <c r="MU67" s="574">
        <v>17.329999999999998</v>
      </c>
      <c r="MV67" s="574">
        <v>1.77</v>
      </c>
      <c r="MW67" s="1">
        <v>2259</v>
      </c>
      <c r="MX67" s="1">
        <v>5369</v>
      </c>
      <c r="MY67" s="1">
        <v>4290</v>
      </c>
      <c r="MZ67" s="1">
        <v>26596</v>
      </c>
      <c r="NA67" s="1">
        <v>63223</v>
      </c>
      <c r="NB67" s="1">
        <v>50521</v>
      </c>
      <c r="NC67" s="1">
        <v>31337</v>
      </c>
      <c r="ND67" s="1">
        <v>39216</v>
      </c>
      <c r="NE67">
        <v>0.73</v>
      </c>
      <c r="NF67" s="1">
        <v>16497</v>
      </c>
      <c r="NG67">
        <v>7.93</v>
      </c>
      <c r="NH67">
        <v>3.05</v>
      </c>
      <c r="NI67">
        <v>4.92</v>
      </c>
      <c r="NJ67">
        <v>1.54</v>
      </c>
      <c r="NK67">
        <v>6.65</v>
      </c>
      <c r="NL67">
        <v>0.41770000000000002</v>
      </c>
      <c r="NM67">
        <v>0.96899999999999997</v>
      </c>
      <c r="NN67">
        <v>0.5</v>
      </c>
      <c r="NO67">
        <v>0.42</v>
      </c>
      <c r="NP67">
        <v>0</v>
      </c>
      <c r="NQ67">
        <v>0</v>
      </c>
      <c r="NR67">
        <v>0.91</v>
      </c>
      <c r="NS67">
        <v>0.1</v>
      </c>
      <c r="NT67">
        <v>0.3</v>
      </c>
      <c r="NU67" s="574">
        <v>16.8</v>
      </c>
      <c r="NV67">
        <v>4.1950000000000003</v>
      </c>
      <c r="NW67">
        <v>0</v>
      </c>
      <c r="NX67">
        <v>3.0000000000000001E-3</v>
      </c>
      <c r="NY67">
        <v>1.123</v>
      </c>
      <c r="NZ67">
        <v>2E-3</v>
      </c>
      <c r="OA67">
        <v>0.15409999999999999</v>
      </c>
      <c r="OB67">
        <v>0.36630000000000001</v>
      </c>
      <c r="OC67">
        <v>6.2080000000000002</v>
      </c>
      <c r="OD67">
        <v>2.718</v>
      </c>
      <c r="OE67">
        <v>8.7599999999999997E-2</v>
      </c>
      <c r="OF67" s="2">
        <v>2224.5070000000001</v>
      </c>
      <c r="OG67">
        <v>3.3460000000000001</v>
      </c>
      <c r="OH67" s="574">
        <v>5.34</v>
      </c>
      <c r="OI67">
        <v>323</v>
      </c>
      <c r="OJ67">
        <v>319</v>
      </c>
      <c r="OK67" s="574">
        <v>23.85</v>
      </c>
      <c r="OL67" s="574">
        <v>1.71</v>
      </c>
      <c r="OM67" s="574">
        <v>1.49</v>
      </c>
      <c r="ON67">
        <v>0.18490000000000001</v>
      </c>
      <c r="OO67">
        <v>7.7799999999999994E-2</v>
      </c>
      <c r="OP67">
        <v>0.17349999999999999</v>
      </c>
      <c r="OQ67" s="574">
        <v>7.93</v>
      </c>
      <c r="OR67" s="574">
        <v>13.8</v>
      </c>
      <c r="OS67" s="574">
        <v>0.03</v>
      </c>
      <c r="OT67" s="574">
        <v>2.64</v>
      </c>
      <c r="OU67" s="574">
        <v>24.4</v>
      </c>
      <c r="OV67">
        <v>1</v>
      </c>
      <c r="OW67">
        <v>3</v>
      </c>
      <c r="OX67">
        <v>0.62</v>
      </c>
      <c r="OY67" s="1">
        <v>2640</v>
      </c>
      <c r="OZ67">
        <v>23.71</v>
      </c>
      <c r="PA67" s="1">
        <v>4255</v>
      </c>
      <c r="PB67">
        <v>2.0099999999999998</v>
      </c>
      <c r="PC67">
        <v>14.71</v>
      </c>
      <c r="PD67">
        <v>0.08</v>
      </c>
      <c r="PE67">
        <v>361</v>
      </c>
      <c r="PF67">
        <v>1.38</v>
      </c>
      <c r="PG67" s="574">
        <v>0.35</v>
      </c>
      <c r="PH67">
        <v>0.85</v>
      </c>
      <c r="PI67">
        <v>20.74</v>
      </c>
      <c r="PJ67">
        <v>6.04</v>
      </c>
      <c r="PK67" s="574">
        <v>4.8499999999999996</v>
      </c>
      <c r="PL67">
        <v>35.9</v>
      </c>
      <c r="PM67" s="4">
        <v>90831</v>
      </c>
      <c r="PN67" s="4">
        <v>70572</v>
      </c>
      <c r="PO67">
        <v>6.0600000000000001E-2</v>
      </c>
      <c r="PP67">
        <v>0.44269999999999998</v>
      </c>
      <c r="PQ67">
        <v>3.7600000000000001E-2</v>
      </c>
      <c r="PR67">
        <v>2.5499999999999998E-2</v>
      </c>
      <c r="PS67">
        <v>0.18629999999999999</v>
      </c>
      <c r="PT67">
        <v>1.5800000000000002E-2</v>
      </c>
      <c r="PU67" s="3">
        <v>0.79910000000000003</v>
      </c>
      <c r="PV67" s="3">
        <v>0.52639999999999998</v>
      </c>
      <c r="PW67" s="3">
        <v>0.47360000000000002</v>
      </c>
      <c r="PX67" s="3">
        <v>0.223</v>
      </c>
      <c r="PY67" s="3">
        <v>0.77700000000000002</v>
      </c>
      <c r="PZ67" s="3">
        <v>7.1800000000000003E-2</v>
      </c>
      <c r="QA67" s="3">
        <v>1.1000000000000001E-3</v>
      </c>
      <c r="QB67" s="3">
        <v>0.15709999999999999</v>
      </c>
      <c r="QC67" s="3">
        <v>8.2000000000000007E-3</v>
      </c>
      <c r="QD67" s="3">
        <v>0.224</v>
      </c>
      <c r="QE67" s="3">
        <v>6.25E-2</v>
      </c>
      <c r="QF67" s="3">
        <v>0.54710000000000003</v>
      </c>
      <c r="QG67" s="3">
        <v>0.70420000000000005</v>
      </c>
      <c r="QH67" s="3">
        <v>1.1000000000000001E-3</v>
      </c>
      <c r="QI67" s="3">
        <v>0.56559999999999999</v>
      </c>
      <c r="QJ67" s="3">
        <v>0.1084</v>
      </c>
      <c r="QK67" s="3">
        <v>0.32490000000000002</v>
      </c>
      <c r="QL67" s="4">
        <v>20260</v>
      </c>
      <c r="QM67">
        <v>9.74</v>
      </c>
      <c r="QN67" s="1">
        <v>10273</v>
      </c>
      <c r="QO67" s="1">
        <v>12856</v>
      </c>
      <c r="QP67" s="1">
        <v>5408</v>
      </c>
      <c r="QQ67" s="3">
        <v>0.87060000000000004</v>
      </c>
      <c r="QR67" s="3">
        <v>1.4800000000000001E-2</v>
      </c>
      <c r="QS67" s="3">
        <v>0.11459999999999999</v>
      </c>
      <c r="QT67" s="3">
        <v>0.42070000000000002</v>
      </c>
      <c r="QU67">
        <v>0.23</v>
      </c>
      <c r="QV67">
        <v>0.81</v>
      </c>
      <c r="QW67">
        <v>0.18</v>
      </c>
      <c r="QX67">
        <v>120</v>
      </c>
      <c r="QY67">
        <v>2.0499999999999998</v>
      </c>
      <c r="QZ67">
        <v>16</v>
      </c>
      <c r="RA67">
        <v>1.78</v>
      </c>
      <c r="RB67">
        <v>0.13</v>
      </c>
      <c r="RC67">
        <v>0.13</v>
      </c>
    </row>
    <row r="68" spans="1:471" x14ac:dyDescent="0.25">
      <c r="A68" t="s">
        <v>1187</v>
      </c>
      <c r="B68">
        <v>11690</v>
      </c>
      <c r="C68" t="s">
        <v>1754</v>
      </c>
      <c r="D68" t="s">
        <v>1754</v>
      </c>
      <c r="E68" t="s">
        <v>1754</v>
      </c>
      <c r="F68" t="s">
        <v>1755</v>
      </c>
      <c r="G68" t="s">
        <v>1755</v>
      </c>
      <c r="H68" t="s">
        <v>1188</v>
      </c>
      <c r="I68" t="s">
        <v>342</v>
      </c>
      <c r="J68" t="s">
        <v>343</v>
      </c>
      <c r="K68" t="s">
        <v>344</v>
      </c>
      <c r="L68" t="s">
        <v>345</v>
      </c>
      <c r="M68" t="s">
        <v>346</v>
      </c>
      <c r="N68" t="s">
        <v>347</v>
      </c>
      <c r="O68" s="1">
        <v>20828</v>
      </c>
      <c r="P68" t="s">
        <v>348</v>
      </c>
      <c r="Q68">
        <v>183</v>
      </c>
      <c r="R68">
        <v>42</v>
      </c>
      <c r="S68">
        <v>31</v>
      </c>
      <c r="T68">
        <v>16</v>
      </c>
      <c r="U68">
        <v>726</v>
      </c>
      <c r="V68">
        <v>101</v>
      </c>
      <c r="W68" s="1">
        <v>8051</v>
      </c>
      <c r="X68" s="1">
        <v>1301</v>
      </c>
      <c r="Y68" s="1">
        <v>70248</v>
      </c>
      <c r="Z68" s="1">
        <v>33715</v>
      </c>
      <c r="AC68" t="s">
        <v>1189</v>
      </c>
      <c r="AD68" t="s">
        <v>622</v>
      </c>
      <c r="AE68">
        <v>28722</v>
      </c>
      <c r="AF68">
        <v>8643</v>
      </c>
      <c r="AG68" t="s">
        <v>1189</v>
      </c>
      <c r="AH68" t="s">
        <v>622</v>
      </c>
      <c r="AI68">
        <v>28722</v>
      </c>
      <c r="AJ68">
        <v>2</v>
      </c>
      <c r="AK68" t="s">
        <v>1190</v>
      </c>
      <c r="AM68" t="s">
        <v>0</v>
      </c>
      <c r="AN68" t="s">
        <v>1191</v>
      </c>
      <c r="AO68" t="s">
        <v>1192</v>
      </c>
      <c r="AP68">
        <v>8288948721</v>
      </c>
      <c r="AQ68" t="s">
        <v>1194</v>
      </c>
      <c r="AR68" t="s">
        <v>1195</v>
      </c>
      <c r="AS68" t="s">
        <v>1192</v>
      </c>
      <c r="AT68" t="s">
        <v>376</v>
      </c>
      <c r="AU68" t="s">
        <v>1193</v>
      </c>
      <c r="AW68" t="s">
        <v>1195</v>
      </c>
      <c r="AX68" t="s">
        <v>1196</v>
      </c>
      <c r="AY68">
        <v>0</v>
      </c>
      <c r="AZ68">
        <v>0</v>
      </c>
      <c r="BA68">
        <v>0</v>
      </c>
      <c r="BB68" s="573">
        <v>42186</v>
      </c>
      <c r="BC68" s="573">
        <v>42551</v>
      </c>
      <c r="BD68">
        <v>1</v>
      </c>
      <c r="BE68">
        <v>1</v>
      </c>
      <c r="BF68">
        <v>0</v>
      </c>
      <c r="BG68">
        <v>1</v>
      </c>
      <c r="BH68">
        <v>3</v>
      </c>
      <c r="BJ68" s="1">
        <v>5350</v>
      </c>
      <c r="BK68">
        <v>3</v>
      </c>
      <c r="BL68">
        <v>0</v>
      </c>
      <c r="BM68">
        <v>3</v>
      </c>
      <c r="BN68">
        <v>7.75</v>
      </c>
      <c r="BO68">
        <v>10.75</v>
      </c>
      <c r="BP68" s="3">
        <v>0.27910000000000001</v>
      </c>
      <c r="BQ68" s="1">
        <v>1877</v>
      </c>
      <c r="BR68" s="4">
        <v>56292</v>
      </c>
      <c r="DW68" s="4">
        <v>0</v>
      </c>
      <c r="DX68" s="4">
        <v>465436</v>
      </c>
      <c r="DY68" s="4">
        <v>465436</v>
      </c>
      <c r="DZ68" s="4">
        <v>78255</v>
      </c>
      <c r="EA68" s="4">
        <v>0</v>
      </c>
      <c r="EB68" s="4">
        <v>78255</v>
      </c>
      <c r="EC68" s="4">
        <v>21377</v>
      </c>
      <c r="ED68" s="4">
        <v>0</v>
      </c>
      <c r="EE68" s="4">
        <v>21377</v>
      </c>
      <c r="EF68" s="4">
        <v>17394</v>
      </c>
      <c r="EG68" s="4">
        <v>582462</v>
      </c>
      <c r="EH68" s="4">
        <v>296391</v>
      </c>
      <c r="EI68" s="4">
        <v>84497</v>
      </c>
      <c r="EJ68" s="4">
        <v>380888</v>
      </c>
      <c r="EK68" s="4">
        <v>44896</v>
      </c>
      <c r="EL68" s="4">
        <v>5294</v>
      </c>
      <c r="EM68" s="4">
        <v>16442</v>
      </c>
      <c r="EN68" s="4">
        <v>66632</v>
      </c>
      <c r="EO68" s="4">
        <v>122463</v>
      </c>
      <c r="EP68" s="4">
        <v>569983</v>
      </c>
      <c r="EQ68" s="4">
        <v>12479</v>
      </c>
      <c r="ER68" s="3">
        <v>2.1399999999999999E-2</v>
      </c>
      <c r="ES68" s="4">
        <v>52488</v>
      </c>
      <c r="ET68" s="4">
        <v>0</v>
      </c>
      <c r="EU68" s="4">
        <v>0</v>
      </c>
      <c r="EV68" s="4">
        <v>0</v>
      </c>
      <c r="EW68" s="4">
        <v>52488</v>
      </c>
      <c r="EX68" s="4">
        <v>52488</v>
      </c>
      <c r="EY68" s="1">
        <v>26038</v>
      </c>
      <c r="EZ68" s="1">
        <v>130907</v>
      </c>
      <c r="FA68" s="1">
        <v>15573</v>
      </c>
      <c r="FB68" s="1">
        <v>1895</v>
      </c>
      <c r="FC68" s="1">
        <v>8236</v>
      </c>
      <c r="FD68" s="1">
        <v>14162</v>
      </c>
      <c r="FE68">
        <v>497</v>
      </c>
      <c r="FF68" s="1">
        <v>3095</v>
      </c>
      <c r="FG68" s="1">
        <v>29735</v>
      </c>
      <c r="FH68" s="1">
        <v>2392</v>
      </c>
      <c r="FI68" s="1">
        <v>11331</v>
      </c>
      <c r="FJ68" s="1">
        <v>43458</v>
      </c>
      <c r="FK68">
        <v>0</v>
      </c>
      <c r="FL68">
        <v>139</v>
      </c>
      <c r="FN68" s="1">
        <v>43458</v>
      </c>
      <c r="FO68" s="1">
        <v>3013</v>
      </c>
      <c r="FP68" s="1">
        <v>6720</v>
      </c>
      <c r="FQ68">
        <v>87</v>
      </c>
      <c r="FR68">
        <v>1</v>
      </c>
      <c r="FS68">
        <v>74</v>
      </c>
      <c r="FT68">
        <v>75</v>
      </c>
      <c r="FU68" s="1">
        <v>26725</v>
      </c>
      <c r="FV68" s="1">
        <v>2022</v>
      </c>
      <c r="FW68">
        <v>0</v>
      </c>
      <c r="GG68" s="1">
        <v>34298</v>
      </c>
      <c r="GH68" s="1">
        <v>13913</v>
      </c>
      <c r="GI68">
        <v>370</v>
      </c>
      <c r="GJ68">
        <v>87</v>
      </c>
      <c r="GK68">
        <v>0</v>
      </c>
      <c r="GL68">
        <v>0</v>
      </c>
      <c r="GM68">
        <v>0</v>
      </c>
      <c r="GN68">
        <v>0</v>
      </c>
      <c r="GO68" s="1">
        <v>61023</v>
      </c>
      <c r="GP68" s="1">
        <v>15935</v>
      </c>
      <c r="GQ68">
        <v>370</v>
      </c>
      <c r="GR68">
        <v>87</v>
      </c>
      <c r="GS68">
        <v>45</v>
      </c>
      <c r="GU68" s="1">
        <v>37932</v>
      </c>
      <c r="GV68" s="1">
        <v>3525</v>
      </c>
      <c r="GW68" s="1">
        <v>21488</v>
      </c>
      <c r="GX68" s="1">
        <v>18057</v>
      </c>
      <c r="GY68">
        <v>312</v>
      </c>
      <c r="GZ68" s="1">
        <v>4452</v>
      </c>
      <c r="HA68" s="1">
        <v>55989</v>
      </c>
      <c r="HB68" s="1">
        <v>3837</v>
      </c>
      <c r="HC68" s="1">
        <v>25940</v>
      </c>
      <c r="HD68" s="1">
        <v>85766</v>
      </c>
      <c r="HE68" s="1">
        <v>1031</v>
      </c>
      <c r="HF68" s="1">
        <v>86797</v>
      </c>
      <c r="HG68" s="1">
        <v>6648</v>
      </c>
      <c r="HH68" s="1">
        <v>55275</v>
      </c>
      <c r="HI68">
        <v>0</v>
      </c>
      <c r="HJ68">
        <v>0</v>
      </c>
      <c r="HK68" s="1">
        <v>61923</v>
      </c>
      <c r="HL68" s="1">
        <v>148720</v>
      </c>
      <c r="HM68">
        <v>51</v>
      </c>
      <c r="HN68" s="1">
        <v>5481</v>
      </c>
      <c r="HO68" s="1">
        <v>5532</v>
      </c>
      <c r="HP68">
        <v>2</v>
      </c>
      <c r="HQ68" s="1">
        <v>3447</v>
      </c>
      <c r="HR68" s="1">
        <v>3449</v>
      </c>
      <c r="HS68">
        <v>0</v>
      </c>
      <c r="HT68">
        <v>47</v>
      </c>
      <c r="HU68">
        <v>47</v>
      </c>
      <c r="HV68">
        <v>85</v>
      </c>
      <c r="HW68" s="1">
        <v>9113</v>
      </c>
      <c r="HX68" s="1">
        <v>5802</v>
      </c>
      <c r="HY68">
        <v>0</v>
      </c>
      <c r="HZ68" s="1">
        <v>5802</v>
      </c>
      <c r="IA68" s="1">
        <v>14915</v>
      </c>
      <c r="IB68" s="1">
        <v>10097</v>
      </c>
      <c r="IC68" s="1">
        <v>65419</v>
      </c>
      <c r="ID68" s="1">
        <v>157833</v>
      </c>
      <c r="IE68" s="1">
        <v>157833</v>
      </c>
      <c r="IF68" s="1">
        <v>163635</v>
      </c>
      <c r="IG68" s="1">
        <v>43852</v>
      </c>
      <c r="IH68">
        <v>79</v>
      </c>
      <c r="IK68">
        <v>1</v>
      </c>
      <c r="IL68" s="3">
        <v>5.4199999999999998E-2</v>
      </c>
      <c r="IM68" s="3">
        <v>1.1000000000000001E-3</v>
      </c>
      <c r="IN68" s="3">
        <v>0.59140000000000004</v>
      </c>
      <c r="IO68" s="3">
        <v>0</v>
      </c>
      <c r="IP68" s="3">
        <v>0.4662</v>
      </c>
      <c r="IQ68" s="3">
        <v>5.9999999999999995E-4</v>
      </c>
      <c r="IR68" s="3">
        <v>0.33200000000000002</v>
      </c>
      <c r="IS68" s="3">
        <v>0.1447</v>
      </c>
      <c r="IT68" s="3">
        <v>0.27779999999999999</v>
      </c>
      <c r="IU68" s="1">
        <v>6873</v>
      </c>
      <c r="IV68">
        <v>917</v>
      </c>
      <c r="IW68" s="1">
        <v>7790</v>
      </c>
      <c r="IX68" s="3">
        <v>0.374</v>
      </c>
      <c r="IY68" s="1">
        <v>95954</v>
      </c>
      <c r="JA68">
        <v>46</v>
      </c>
      <c r="JB68">
        <v>94</v>
      </c>
      <c r="JC68">
        <v>167</v>
      </c>
      <c r="JD68">
        <v>7</v>
      </c>
      <c r="JE68">
        <v>1</v>
      </c>
      <c r="JF68">
        <v>77</v>
      </c>
      <c r="JG68">
        <v>53</v>
      </c>
      <c r="JH68">
        <v>95</v>
      </c>
      <c r="JI68">
        <v>244</v>
      </c>
      <c r="JJ68">
        <v>392</v>
      </c>
      <c r="JK68">
        <v>307</v>
      </c>
      <c r="JL68">
        <v>85</v>
      </c>
      <c r="JM68">
        <v>998</v>
      </c>
      <c r="JN68">
        <v>820</v>
      </c>
      <c r="JO68" s="1">
        <v>2313</v>
      </c>
      <c r="JP68">
        <v>124</v>
      </c>
      <c r="JQ68">
        <v>150</v>
      </c>
      <c r="JR68" s="1">
        <v>1215</v>
      </c>
      <c r="JS68" s="1">
        <v>1122</v>
      </c>
      <c r="JT68">
        <v>970</v>
      </c>
      <c r="JU68" s="1">
        <v>3528</v>
      </c>
      <c r="JV68" s="1">
        <v>5620</v>
      </c>
      <c r="JW68" s="1">
        <v>4131</v>
      </c>
      <c r="JX68" s="1">
        <v>1489</v>
      </c>
      <c r="JY68">
        <v>14.34</v>
      </c>
      <c r="JZ68">
        <v>21.17</v>
      </c>
      <c r="KA68">
        <v>14.46</v>
      </c>
      <c r="KB68">
        <v>0.2</v>
      </c>
      <c r="KC68">
        <v>0.63</v>
      </c>
      <c r="KF68">
        <v>4</v>
      </c>
      <c r="KG68">
        <v>26</v>
      </c>
      <c r="KN68" s="1">
        <v>9450</v>
      </c>
      <c r="KO68" s="1">
        <v>6225</v>
      </c>
      <c r="KP68">
        <v>680</v>
      </c>
      <c r="KR68">
        <v>279</v>
      </c>
      <c r="KS68" s="1">
        <v>4416</v>
      </c>
      <c r="KT68" s="1">
        <v>3515</v>
      </c>
      <c r="KU68" s="1">
        <v>4250</v>
      </c>
      <c r="KV68">
        <v>18</v>
      </c>
      <c r="KW68">
        <v>47</v>
      </c>
      <c r="KX68" s="1">
        <v>24899</v>
      </c>
      <c r="KZ68" s="1">
        <v>77417</v>
      </c>
      <c r="LD68" t="s">
        <v>1190</v>
      </c>
      <c r="LE68" t="s">
        <v>379</v>
      </c>
      <c r="LF68" t="s">
        <v>1189</v>
      </c>
      <c r="LG68" t="s">
        <v>622</v>
      </c>
      <c r="LH68">
        <v>28722</v>
      </c>
      <c r="LI68">
        <v>8643</v>
      </c>
      <c r="LJ68" t="s">
        <v>1189</v>
      </c>
      <c r="LK68" t="s">
        <v>622</v>
      </c>
      <c r="LL68">
        <v>28722</v>
      </c>
      <c r="LM68">
        <v>8643</v>
      </c>
      <c r="LN68" t="s">
        <v>1191</v>
      </c>
      <c r="LO68">
        <v>8288948721</v>
      </c>
      <c r="LQ68" s="1">
        <v>24370</v>
      </c>
      <c r="LR68">
        <v>10.75</v>
      </c>
      <c r="LT68" s="1">
        <v>5350</v>
      </c>
      <c r="LU68">
        <v>103</v>
      </c>
      <c r="LX68">
        <v>2</v>
      </c>
      <c r="LY68" t="s">
        <v>1197</v>
      </c>
      <c r="LZ68">
        <v>0</v>
      </c>
      <c r="MA68" t="s">
        <v>363</v>
      </c>
      <c r="MB68">
        <v>45.19</v>
      </c>
      <c r="MC68">
        <v>10.039999999999999</v>
      </c>
      <c r="ME68" s="574">
        <v>3.61</v>
      </c>
      <c r="MF68" s="574">
        <v>2.41</v>
      </c>
      <c r="MG68" s="574">
        <v>0.42</v>
      </c>
      <c r="MH68" s="574">
        <v>73.17</v>
      </c>
      <c r="MI68" s="574">
        <v>48.89</v>
      </c>
      <c r="MJ68" s="574">
        <v>8.5500000000000007</v>
      </c>
      <c r="MK68" s="574">
        <v>5.94</v>
      </c>
      <c r="ML68" s="574">
        <v>3.97</v>
      </c>
      <c r="MM68" s="574">
        <v>0.69</v>
      </c>
      <c r="MN68" s="574">
        <v>60.32</v>
      </c>
      <c r="MO68" s="574">
        <v>40.31</v>
      </c>
      <c r="MP68" s="574">
        <v>7.05</v>
      </c>
      <c r="MQ68" s="574">
        <v>101.42</v>
      </c>
      <c r="MR68" s="574">
        <v>67.77</v>
      </c>
      <c r="MS68" s="574">
        <v>11.86</v>
      </c>
      <c r="MT68" s="574">
        <v>13</v>
      </c>
      <c r="MU68" s="574">
        <v>8.69</v>
      </c>
      <c r="MV68" s="574">
        <v>1.52</v>
      </c>
      <c r="MW68">
        <v>879</v>
      </c>
      <c r="MX68" s="1">
        <v>3150</v>
      </c>
      <c r="MY68" s="1">
        <v>3150</v>
      </c>
      <c r="MZ68" s="1">
        <v>8926</v>
      </c>
      <c r="NA68" s="1">
        <v>31985</v>
      </c>
      <c r="NB68" s="1">
        <v>31985</v>
      </c>
      <c r="NC68" s="1">
        <v>52611</v>
      </c>
      <c r="ND68" s="1">
        <v>52611</v>
      </c>
      <c r="NE68">
        <v>1.21</v>
      </c>
      <c r="NF68" s="1">
        <v>14682</v>
      </c>
      <c r="NG68">
        <v>7.06</v>
      </c>
      <c r="NH68">
        <v>7.5780000000000003</v>
      </c>
      <c r="NI68">
        <v>4.6100000000000003</v>
      </c>
      <c r="NJ68">
        <v>451.22</v>
      </c>
      <c r="NK68">
        <v>545.57000000000005</v>
      </c>
      <c r="NL68">
        <v>0.45369999999999999</v>
      </c>
      <c r="NM68">
        <v>2.1053999999999999</v>
      </c>
      <c r="NN68">
        <v>0.37</v>
      </c>
      <c r="NO68">
        <v>0.27</v>
      </c>
      <c r="NP68">
        <v>0.17</v>
      </c>
      <c r="NQ68">
        <v>0.2</v>
      </c>
      <c r="NR68">
        <v>1.2</v>
      </c>
      <c r="NS68">
        <v>0.05</v>
      </c>
      <c r="NT68">
        <v>0.17</v>
      </c>
      <c r="NU68" s="574">
        <v>18.29</v>
      </c>
      <c r="NV68">
        <v>6.2850000000000001</v>
      </c>
      <c r="NW68">
        <v>0</v>
      </c>
      <c r="NX68">
        <v>7.0000000000000001E-3</v>
      </c>
      <c r="NY68">
        <v>2.93</v>
      </c>
      <c r="NZ68">
        <v>4.0000000000000001E-3</v>
      </c>
      <c r="OA68">
        <v>0.3851</v>
      </c>
      <c r="OB68">
        <v>1.38</v>
      </c>
      <c r="OC68">
        <v>17.843</v>
      </c>
      <c r="OD68">
        <v>2.0870000000000002</v>
      </c>
      <c r="OE68">
        <v>0.37209999999999999</v>
      </c>
      <c r="OF68" s="2">
        <v>7833.5039999999999</v>
      </c>
      <c r="OG68">
        <v>9.6280000000000001</v>
      </c>
      <c r="OH68" s="574">
        <v>5.88</v>
      </c>
      <c r="OI68" s="1">
        <v>2432</v>
      </c>
      <c r="OJ68">
        <v>910</v>
      </c>
      <c r="OK68" s="574">
        <v>27.37</v>
      </c>
      <c r="OL68" s="574">
        <v>3.2</v>
      </c>
      <c r="OM68" s="574">
        <v>2.16</v>
      </c>
      <c r="ON68">
        <v>0.5161</v>
      </c>
      <c r="OO68">
        <v>0.14399999999999999</v>
      </c>
      <c r="OP68">
        <v>0.99490000000000001</v>
      </c>
      <c r="OQ68" s="574">
        <v>3.76</v>
      </c>
      <c r="OR68" s="574">
        <v>22.35</v>
      </c>
      <c r="OS68" s="574">
        <v>1.03</v>
      </c>
      <c r="OT68" s="574">
        <v>0.84</v>
      </c>
      <c r="OU68" s="574">
        <v>27.97</v>
      </c>
      <c r="OV68">
        <v>68</v>
      </c>
      <c r="OW68">
        <v>82</v>
      </c>
      <c r="OX68">
        <v>1.64</v>
      </c>
      <c r="OY68" s="1">
        <v>3035</v>
      </c>
      <c r="OZ68">
        <v>17.940000000000001</v>
      </c>
      <c r="PA68" s="1">
        <v>1845</v>
      </c>
      <c r="PB68">
        <v>1.77</v>
      </c>
      <c r="PC68">
        <v>29.5</v>
      </c>
      <c r="PD68">
        <v>0.1</v>
      </c>
      <c r="PE68">
        <v>182</v>
      </c>
      <c r="PF68">
        <v>0.83</v>
      </c>
      <c r="PG68" s="574">
        <v>0.69</v>
      </c>
      <c r="PH68">
        <v>1.36</v>
      </c>
      <c r="PI68">
        <v>25.69</v>
      </c>
      <c r="PJ68">
        <v>20.260000000000002</v>
      </c>
      <c r="PK68" s="574">
        <v>5.94</v>
      </c>
      <c r="PL68">
        <v>34.29</v>
      </c>
      <c r="PM68" s="4">
        <v>35431</v>
      </c>
      <c r="PN68" s="4">
        <v>27571</v>
      </c>
      <c r="PO68">
        <v>6.8099999999999994E-2</v>
      </c>
      <c r="PP68">
        <v>1.1375999999999999</v>
      </c>
      <c r="PQ68">
        <v>0.112</v>
      </c>
      <c r="PR68">
        <v>1.9E-2</v>
      </c>
      <c r="PS68">
        <v>0.3175</v>
      </c>
      <c r="PT68">
        <v>3.1300000000000001E-2</v>
      </c>
      <c r="PU68" s="3">
        <v>1</v>
      </c>
      <c r="PV68" s="3">
        <v>0.27910000000000001</v>
      </c>
      <c r="PW68" s="3">
        <v>0.72089999999999999</v>
      </c>
      <c r="PX68" s="3">
        <v>0.2218</v>
      </c>
      <c r="PY68" s="3">
        <v>0.7782</v>
      </c>
      <c r="PZ68" s="3">
        <v>0.1169</v>
      </c>
      <c r="QA68" s="3">
        <v>9.2999999999999992E-3</v>
      </c>
      <c r="QB68" s="3">
        <v>0.1482</v>
      </c>
      <c r="QC68" s="3">
        <v>2.8799999999999999E-2</v>
      </c>
      <c r="QD68" s="3">
        <v>0.21490000000000001</v>
      </c>
      <c r="QE68" s="3">
        <v>7.8799999999999995E-2</v>
      </c>
      <c r="QF68" s="3">
        <v>0.52</v>
      </c>
      <c r="QG68" s="3">
        <v>0.66820000000000002</v>
      </c>
      <c r="QH68" s="3">
        <v>3.6700000000000003E-2</v>
      </c>
      <c r="QI68" s="3">
        <v>0.79910000000000003</v>
      </c>
      <c r="QJ68" s="3">
        <v>2.9899999999999999E-2</v>
      </c>
      <c r="QK68" s="3">
        <v>0.13439999999999999</v>
      </c>
      <c r="QL68" s="4">
        <v>7860</v>
      </c>
      <c r="QM68">
        <v>12.32</v>
      </c>
      <c r="QN68" s="1">
        <v>6943</v>
      </c>
      <c r="QO68" s="1">
        <v>6943</v>
      </c>
      <c r="QP68" s="1">
        <v>1937</v>
      </c>
      <c r="QQ68" s="3">
        <v>0.67379999999999995</v>
      </c>
      <c r="QR68" s="3">
        <v>7.9500000000000001E-2</v>
      </c>
      <c r="QS68" s="3">
        <v>0.24679999999999999</v>
      </c>
      <c r="QT68" s="3">
        <v>0.27910000000000001</v>
      </c>
      <c r="QU68">
        <v>0.53</v>
      </c>
      <c r="QV68">
        <v>1.87</v>
      </c>
      <c r="QW68">
        <v>0.41</v>
      </c>
      <c r="QX68">
        <v>30</v>
      </c>
      <c r="QY68">
        <v>3.52</v>
      </c>
      <c r="QZ68">
        <v>10</v>
      </c>
      <c r="RA68">
        <v>2.37</v>
      </c>
      <c r="RB68">
        <v>0.28000000000000003</v>
      </c>
      <c r="RC68">
        <v>0.27</v>
      </c>
    </row>
    <row r="69" spans="1:471" x14ac:dyDescent="0.25">
      <c r="A69" t="s">
        <v>1198</v>
      </c>
      <c r="B69">
        <v>11680</v>
      </c>
      <c r="C69" t="s">
        <v>1754</v>
      </c>
      <c r="D69" t="s">
        <v>1754</v>
      </c>
      <c r="E69" t="s">
        <v>1754</v>
      </c>
      <c r="F69" t="s">
        <v>1755</v>
      </c>
      <c r="G69" t="s">
        <v>1755</v>
      </c>
      <c r="H69" t="s">
        <v>1199</v>
      </c>
      <c r="I69" t="s">
        <v>342</v>
      </c>
      <c r="J69" t="s">
        <v>1148</v>
      </c>
      <c r="K69" t="s">
        <v>344</v>
      </c>
      <c r="L69" t="s">
        <v>345</v>
      </c>
      <c r="M69" t="s">
        <v>346</v>
      </c>
      <c r="N69" t="s">
        <v>347</v>
      </c>
      <c r="O69" s="1">
        <v>165785</v>
      </c>
      <c r="P69" t="s">
        <v>348</v>
      </c>
      <c r="Q69">
        <v>415</v>
      </c>
      <c r="R69">
        <v>83</v>
      </c>
      <c r="S69">
        <v>85</v>
      </c>
      <c r="T69">
        <v>52</v>
      </c>
      <c r="U69" s="1">
        <v>3915</v>
      </c>
      <c r="V69" s="1">
        <v>1199</v>
      </c>
      <c r="W69" s="1">
        <v>33159</v>
      </c>
      <c r="X69" s="1">
        <v>6110</v>
      </c>
      <c r="Y69" s="1">
        <v>175760</v>
      </c>
      <c r="Z69" s="1">
        <v>78850</v>
      </c>
      <c r="AC69" t="s">
        <v>1200</v>
      </c>
      <c r="AD69" t="s">
        <v>1201</v>
      </c>
      <c r="AE69">
        <v>27577</v>
      </c>
      <c r="AF69">
        <v>3919</v>
      </c>
      <c r="AG69" t="s">
        <v>1200</v>
      </c>
      <c r="AH69" t="s">
        <v>1201</v>
      </c>
      <c r="AI69">
        <v>27577</v>
      </c>
      <c r="AJ69">
        <v>3</v>
      </c>
      <c r="AK69" t="s">
        <v>1202</v>
      </c>
      <c r="AM69" t="s">
        <v>0</v>
      </c>
      <c r="AN69" t="s">
        <v>956</v>
      </c>
      <c r="AO69" t="s">
        <v>1203</v>
      </c>
      <c r="AP69">
        <v>9199348146</v>
      </c>
      <c r="AQ69" t="s">
        <v>1205</v>
      </c>
      <c r="AR69" t="s">
        <v>1206</v>
      </c>
      <c r="AS69" t="s">
        <v>1203</v>
      </c>
      <c r="AT69" t="s">
        <v>1</v>
      </c>
      <c r="AU69" t="s">
        <v>1204</v>
      </c>
      <c r="AV69" t="s">
        <v>1205</v>
      </c>
      <c r="AW69" t="s">
        <v>1206</v>
      </c>
      <c r="AX69" t="s">
        <v>1207</v>
      </c>
      <c r="AY69">
        <v>0</v>
      </c>
      <c r="AZ69">
        <v>0</v>
      </c>
      <c r="BA69">
        <v>0</v>
      </c>
      <c r="BB69" s="573">
        <v>42186</v>
      </c>
      <c r="BC69" s="573">
        <v>42551</v>
      </c>
      <c r="BD69">
        <v>1</v>
      </c>
      <c r="BE69">
        <v>5</v>
      </c>
      <c r="BF69">
        <v>0</v>
      </c>
      <c r="BG69">
        <v>1</v>
      </c>
      <c r="BH69">
        <v>7</v>
      </c>
      <c r="BJ69" s="1">
        <v>13834</v>
      </c>
      <c r="BK69">
        <v>5</v>
      </c>
      <c r="BL69">
        <v>1</v>
      </c>
      <c r="BM69">
        <v>6</v>
      </c>
      <c r="BN69">
        <v>18.05</v>
      </c>
      <c r="BO69">
        <v>24.05</v>
      </c>
      <c r="BP69" s="3">
        <v>0.2079</v>
      </c>
      <c r="BQ69" s="1">
        <v>1439</v>
      </c>
      <c r="BR69" s="4">
        <v>62412</v>
      </c>
      <c r="DW69" s="4">
        <v>660209</v>
      </c>
      <c r="DX69" s="4">
        <v>441000</v>
      </c>
      <c r="DY69" s="4">
        <v>1101209</v>
      </c>
      <c r="DZ69" s="4">
        <v>189876</v>
      </c>
      <c r="EA69" s="4">
        <v>0</v>
      </c>
      <c r="EB69" s="4">
        <v>189876</v>
      </c>
      <c r="EC69" s="4">
        <v>94983</v>
      </c>
      <c r="ED69" s="4">
        <v>0</v>
      </c>
      <c r="EE69" s="4">
        <v>94983</v>
      </c>
      <c r="EF69" s="4">
        <v>52593</v>
      </c>
      <c r="EG69" s="4">
        <v>1438661</v>
      </c>
      <c r="EH69" s="4">
        <v>725231</v>
      </c>
      <c r="EI69" s="4">
        <v>284213</v>
      </c>
      <c r="EJ69" s="4">
        <v>1009444</v>
      </c>
      <c r="EK69" s="4">
        <v>70900</v>
      </c>
      <c r="EL69" s="4">
        <v>5769</v>
      </c>
      <c r="EM69" s="4">
        <v>12331</v>
      </c>
      <c r="EN69" s="4">
        <v>89000</v>
      </c>
      <c r="EO69" s="4">
        <v>309275</v>
      </c>
      <c r="EP69" s="4">
        <v>1407719</v>
      </c>
      <c r="EQ69" s="4">
        <v>30942</v>
      </c>
      <c r="ER69" s="3">
        <v>2.1499999999999998E-2</v>
      </c>
      <c r="ES69" s="4">
        <v>0</v>
      </c>
      <c r="ET69" s="4">
        <v>0</v>
      </c>
      <c r="EU69" s="4">
        <v>0</v>
      </c>
      <c r="EV69" s="4">
        <v>0</v>
      </c>
      <c r="EW69" s="4">
        <v>0</v>
      </c>
      <c r="EX69" s="4">
        <v>0</v>
      </c>
      <c r="EY69" s="1">
        <v>19420</v>
      </c>
      <c r="EZ69" s="1">
        <v>287168</v>
      </c>
      <c r="FA69" s="1">
        <v>76097</v>
      </c>
      <c r="FB69" s="1">
        <v>8066</v>
      </c>
      <c r="FC69" s="1">
        <v>51829</v>
      </c>
      <c r="FD69" s="1">
        <v>70329</v>
      </c>
      <c r="FE69" s="1">
        <v>3114</v>
      </c>
      <c r="FF69" s="1">
        <v>28821</v>
      </c>
      <c r="FG69" s="1">
        <v>146426</v>
      </c>
      <c r="FH69" s="1">
        <v>11180</v>
      </c>
      <c r="FI69" s="1">
        <v>80650</v>
      </c>
      <c r="FJ69" s="1">
        <v>238256</v>
      </c>
      <c r="FK69" s="1">
        <v>2028</v>
      </c>
      <c r="FL69">
        <v>65</v>
      </c>
      <c r="FN69" s="1">
        <v>238256</v>
      </c>
      <c r="FO69" s="1">
        <v>9321</v>
      </c>
      <c r="FP69" s="1">
        <v>7979</v>
      </c>
      <c r="FQ69">
        <v>24</v>
      </c>
      <c r="FR69">
        <v>0</v>
      </c>
      <c r="FS69">
        <v>74</v>
      </c>
      <c r="FT69">
        <v>74</v>
      </c>
      <c r="FU69" s="1">
        <v>26725</v>
      </c>
      <c r="FV69" s="1">
        <v>2022</v>
      </c>
      <c r="FW69">
        <v>0</v>
      </c>
      <c r="GK69">
        <v>576</v>
      </c>
      <c r="GL69">
        <v>98</v>
      </c>
      <c r="GM69">
        <v>0</v>
      </c>
      <c r="GN69">
        <v>0</v>
      </c>
      <c r="GO69" s="1">
        <v>27301</v>
      </c>
      <c r="GP69" s="1">
        <v>2120</v>
      </c>
      <c r="GQ69">
        <v>0</v>
      </c>
      <c r="GR69">
        <v>0</v>
      </c>
      <c r="GS69">
        <v>20</v>
      </c>
      <c r="GU69" s="1">
        <v>85872</v>
      </c>
      <c r="GV69" s="1">
        <v>11778</v>
      </c>
      <c r="GW69" s="1">
        <v>90569</v>
      </c>
      <c r="GX69" s="1">
        <v>25170</v>
      </c>
      <c r="GY69" s="1">
        <v>6533</v>
      </c>
      <c r="GZ69" s="1">
        <v>19851</v>
      </c>
      <c r="HA69" s="1">
        <v>111042</v>
      </c>
      <c r="HB69" s="1">
        <v>18311</v>
      </c>
      <c r="HC69" s="1">
        <v>110420</v>
      </c>
      <c r="HD69" s="1">
        <v>239773</v>
      </c>
      <c r="HE69">
        <v>0</v>
      </c>
      <c r="HF69" s="1">
        <v>242009</v>
      </c>
      <c r="HG69" s="1">
        <v>13162</v>
      </c>
      <c r="HH69" s="1">
        <v>15068</v>
      </c>
      <c r="HI69" s="1">
        <v>2236</v>
      </c>
      <c r="HJ69">
        <v>1</v>
      </c>
      <c r="HK69" s="1">
        <v>28231</v>
      </c>
      <c r="HL69" s="1">
        <v>270240</v>
      </c>
      <c r="HM69">
        <v>103</v>
      </c>
      <c r="HN69" s="1">
        <v>5401</v>
      </c>
      <c r="HO69" s="1">
        <v>5504</v>
      </c>
      <c r="HP69">
        <v>250</v>
      </c>
      <c r="HQ69">
        <v>696</v>
      </c>
      <c r="HR69">
        <v>946</v>
      </c>
      <c r="HS69">
        <v>0</v>
      </c>
      <c r="HT69">
        <v>0</v>
      </c>
      <c r="HU69">
        <v>0</v>
      </c>
      <c r="HV69">
        <v>0</v>
      </c>
      <c r="HW69" s="1">
        <v>6450</v>
      </c>
      <c r="HX69" s="1">
        <v>34929</v>
      </c>
      <c r="HY69">
        <v>0</v>
      </c>
      <c r="HZ69" s="1">
        <v>34929</v>
      </c>
      <c r="IA69" s="1">
        <v>41379</v>
      </c>
      <c r="IB69" s="1">
        <v>14108</v>
      </c>
      <c r="IC69" s="1">
        <v>29176</v>
      </c>
      <c r="ID69" s="1">
        <v>276690</v>
      </c>
      <c r="IE69" s="1">
        <v>276690</v>
      </c>
      <c r="IF69" s="1">
        <v>311619</v>
      </c>
      <c r="IG69" s="1">
        <v>111606</v>
      </c>
      <c r="IH69">
        <v>0</v>
      </c>
      <c r="IL69" s="3">
        <v>2.7799999999999998E-2</v>
      </c>
      <c r="IM69" s="3">
        <v>2.0000000000000001E-4</v>
      </c>
      <c r="IN69" s="3">
        <v>0.10249999999999999</v>
      </c>
      <c r="IO69" s="3">
        <v>0</v>
      </c>
      <c r="IP69" s="3">
        <v>9.5100000000000004E-2</v>
      </c>
      <c r="IQ69" s="3">
        <v>2.9999999999999997E-4</v>
      </c>
      <c r="IR69" s="3">
        <v>0.82969999999999999</v>
      </c>
      <c r="IS69" s="3">
        <v>3.9800000000000002E-2</v>
      </c>
      <c r="IT69" s="3">
        <v>0.40339999999999998</v>
      </c>
      <c r="IU69" s="1">
        <v>37240</v>
      </c>
      <c r="IV69" s="1">
        <v>10755</v>
      </c>
      <c r="IW69" s="1">
        <v>47995</v>
      </c>
      <c r="IX69" s="3">
        <v>0.28949999999999998</v>
      </c>
      <c r="IY69" s="1">
        <v>223426</v>
      </c>
      <c r="JA69">
        <v>71</v>
      </c>
      <c r="JB69">
        <v>36</v>
      </c>
      <c r="JC69">
        <v>491</v>
      </c>
      <c r="JD69">
        <v>16</v>
      </c>
      <c r="JE69">
        <v>0</v>
      </c>
      <c r="JF69">
        <v>109</v>
      </c>
      <c r="JG69">
        <v>87</v>
      </c>
      <c r="JH69">
        <v>36</v>
      </c>
      <c r="JI69">
        <v>600</v>
      </c>
      <c r="JJ69">
        <v>723</v>
      </c>
      <c r="JK69">
        <v>598</v>
      </c>
      <c r="JL69">
        <v>125</v>
      </c>
      <c r="JM69">
        <v>899</v>
      </c>
      <c r="JN69">
        <v>408</v>
      </c>
      <c r="JO69" s="1">
        <v>12798</v>
      </c>
      <c r="JP69">
        <v>415</v>
      </c>
      <c r="JQ69">
        <v>0</v>
      </c>
      <c r="JR69" s="1">
        <v>1497</v>
      </c>
      <c r="JS69" s="1">
        <v>1314</v>
      </c>
      <c r="JT69">
        <v>408</v>
      </c>
      <c r="JU69" s="1">
        <v>14295</v>
      </c>
      <c r="JV69" s="1">
        <v>16017</v>
      </c>
      <c r="JW69" s="1">
        <v>14105</v>
      </c>
      <c r="JX69" s="1">
        <v>1912</v>
      </c>
      <c r="JY69">
        <v>22.15</v>
      </c>
      <c r="JZ69">
        <v>15.1</v>
      </c>
      <c r="KA69">
        <v>23.83</v>
      </c>
      <c r="KB69">
        <v>0.08</v>
      </c>
      <c r="KC69">
        <v>0.89</v>
      </c>
      <c r="KD69">
        <v>0</v>
      </c>
      <c r="KE69">
        <v>0</v>
      </c>
      <c r="KF69">
        <v>49</v>
      </c>
      <c r="KG69">
        <v>137</v>
      </c>
      <c r="KN69" s="1">
        <v>138181</v>
      </c>
      <c r="KO69" s="1">
        <v>21574</v>
      </c>
      <c r="KP69" s="1">
        <v>3203</v>
      </c>
      <c r="KR69">
        <v>281</v>
      </c>
      <c r="KS69" s="1">
        <v>6009</v>
      </c>
      <c r="KT69">
        <v>0</v>
      </c>
      <c r="KU69">
        <v>69</v>
      </c>
      <c r="KV69">
        <v>25</v>
      </c>
      <c r="KW69">
        <v>48</v>
      </c>
      <c r="KX69" s="1">
        <v>55851</v>
      </c>
      <c r="KZ69" s="1">
        <v>35152</v>
      </c>
      <c r="LA69" s="1">
        <v>31924</v>
      </c>
      <c r="LD69" t="s">
        <v>1208</v>
      </c>
      <c r="LE69" t="s">
        <v>379</v>
      </c>
      <c r="LF69" t="s">
        <v>1200</v>
      </c>
      <c r="LG69" t="s">
        <v>1201</v>
      </c>
      <c r="LH69">
        <v>27577</v>
      </c>
      <c r="LI69">
        <v>3919</v>
      </c>
      <c r="LJ69" t="s">
        <v>1200</v>
      </c>
      <c r="LK69" t="s">
        <v>1201</v>
      </c>
      <c r="LL69">
        <v>27577</v>
      </c>
      <c r="LM69">
        <v>3919</v>
      </c>
      <c r="LN69" t="s">
        <v>956</v>
      </c>
      <c r="LO69">
        <v>9199348146</v>
      </c>
      <c r="LP69">
        <v>9199348084</v>
      </c>
      <c r="LQ69" s="1">
        <v>62827</v>
      </c>
      <c r="LR69">
        <v>24.9</v>
      </c>
      <c r="LT69" s="1">
        <v>13418</v>
      </c>
      <c r="LU69">
        <v>362</v>
      </c>
      <c r="LX69">
        <v>2</v>
      </c>
      <c r="LY69" t="s">
        <v>1209</v>
      </c>
      <c r="LZ69">
        <v>0</v>
      </c>
      <c r="MA69" t="s">
        <v>363</v>
      </c>
      <c r="MB69">
        <v>10</v>
      </c>
      <c r="MC69">
        <v>100</v>
      </c>
      <c r="ME69" s="574">
        <v>5.09</v>
      </c>
      <c r="MF69" s="574">
        <v>3.65</v>
      </c>
      <c r="MG69" s="574">
        <v>0.32</v>
      </c>
      <c r="MH69" s="574">
        <v>29.33</v>
      </c>
      <c r="MI69" s="574">
        <v>21.03</v>
      </c>
      <c r="MJ69" s="574">
        <v>1.85</v>
      </c>
      <c r="MK69" s="574">
        <v>6.3</v>
      </c>
      <c r="ML69" s="574">
        <v>4.5199999999999996</v>
      </c>
      <c r="MM69" s="574">
        <v>0.4</v>
      </c>
      <c r="MN69" s="574">
        <v>10.19</v>
      </c>
      <c r="MO69" s="574">
        <v>7.31</v>
      </c>
      <c r="MP69" s="574">
        <v>0.64</v>
      </c>
      <c r="MQ69" s="574">
        <v>87.89</v>
      </c>
      <c r="MR69" s="574">
        <v>63.02</v>
      </c>
      <c r="MS69" s="574">
        <v>5.56</v>
      </c>
      <c r="MT69" s="574">
        <v>12.61</v>
      </c>
      <c r="MU69" s="574">
        <v>9.0399999999999991</v>
      </c>
      <c r="MV69" s="574">
        <v>0.8</v>
      </c>
      <c r="MW69" s="1">
        <v>5746</v>
      </c>
      <c r="MX69" s="1">
        <v>27636</v>
      </c>
      <c r="MY69" s="1">
        <v>23030</v>
      </c>
      <c r="MZ69" s="1">
        <v>9290</v>
      </c>
      <c r="NA69" s="1">
        <v>44685</v>
      </c>
      <c r="NB69" s="1">
        <v>37238</v>
      </c>
      <c r="NC69" s="1">
        <v>46115</v>
      </c>
      <c r="ND69" s="1">
        <v>55338</v>
      </c>
      <c r="NE69">
        <v>0.96</v>
      </c>
      <c r="NF69" s="1">
        <v>11505</v>
      </c>
      <c r="NG69">
        <v>5.53</v>
      </c>
      <c r="NH69">
        <v>1.669</v>
      </c>
      <c r="NI69">
        <v>1.35</v>
      </c>
      <c r="NJ69">
        <v>0</v>
      </c>
      <c r="NK69">
        <v>1.44</v>
      </c>
      <c r="NL69">
        <v>0.83350000000000002</v>
      </c>
      <c r="NM69">
        <v>0.67320000000000002</v>
      </c>
      <c r="NN69">
        <v>0.28999999999999998</v>
      </c>
      <c r="NO69">
        <v>0.1</v>
      </c>
      <c r="NP69">
        <v>0</v>
      </c>
      <c r="NQ69">
        <v>0</v>
      </c>
      <c r="NR69">
        <v>0.34</v>
      </c>
      <c r="NS69">
        <v>0.01</v>
      </c>
      <c r="NT69">
        <v>0.09</v>
      </c>
      <c r="NU69" s="574">
        <v>6.09</v>
      </c>
      <c r="NV69">
        <v>1.732</v>
      </c>
      <c r="NW69">
        <v>0</v>
      </c>
      <c r="NX69">
        <v>0</v>
      </c>
      <c r="NY69">
        <v>0.16500000000000001</v>
      </c>
      <c r="NZ69">
        <v>0</v>
      </c>
      <c r="OA69">
        <v>0.1042</v>
      </c>
      <c r="OB69">
        <v>0.50109999999999999</v>
      </c>
      <c r="OC69">
        <v>1.3540000000000001</v>
      </c>
      <c r="OD69">
        <v>1.4370000000000001</v>
      </c>
      <c r="OE69">
        <v>0.1089</v>
      </c>
      <c r="OF69">
        <v>568.83000000000004</v>
      </c>
      <c r="OG69">
        <v>1.542</v>
      </c>
      <c r="OH69" s="574">
        <v>1.87</v>
      </c>
      <c r="OI69">
        <v>238</v>
      </c>
      <c r="OJ69">
        <v>166</v>
      </c>
      <c r="OK69" s="574">
        <v>8.49</v>
      </c>
      <c r="OL69" s="574">
        <v>0.54</v>
      </c>
      <c r="OM69" s="574">
        <v>0.43</v>
      </c>
      <c r="ON69">
        <v>0.14510000000000001</v>
      </c>
      <c r="OO69">
        <v>3.0200000000000001E-2</v>
      </c>
      <c r="OP69">
        <v>0.37609999999999999</v>
      </c>
      <c r="OQ69" s="574">
        <v>1.1499999999999999</v>
      </c>
      <c r="OR69" s="574">
        <v>6.64</v>
      </c>
      <c r="OS69" s="574">
        <v>0.56999999999999995</v>
      </c>
      <c r="OT69" s="574">
        <v>0.32</v>
      </c>
      <c r="OU69" s="574">
        <v>8.68</v>
      </c>
      <c r="OV69">
        <v>0</v>
      </c>
      <c r="OW69">
        <v>1</v>
      </c>
      <c r="OX69">
        <v>1.24</v>
      </c>
      <c r="OY69" s="1">
        <v>5321</v>
      </c>
      <c r="OZ69">
        <v>16.149999999999999</v>
      </c>
      <c r="PA69" s="1">
        <v>4297</v>
      </c>
      <c r="PB69">
        <v>9.99</v>
      </c>
      <c r="PC69">
        <v>20</v>
      </c>
      <c r="PD69">
        <v>0.62</v>
      </c>
      <c r="PE69" s="1">
        <v>2657</v>
      </c>
      <c r="PF69">
        <v>1.04</v>
      </c>
      <c r="PG69" s="574">
        <v>0.4</v>
      </c>
      <c r="PH69">
        <v>1.29</v>
      </c>
      <c r="PI69">
        <v>8.34</v>
      </c>
      <c r="PJ69">
        <v>5.76</v>
      </c>
      <c r="PK69" s="574">
        <v>6.3</v>
      </c>
      <c r="PL69">
        <v>38.01</v>
      </c>
      <c r="PM69" s="4">
        <v>41973</v>
      </c>
      <c r="PN69" s="4">
        <v>30155</v>
      </c>
      <c r="PO69">
        <v>8.6900000000000005E-2</v>
      </c>
      <c r="PP69">
        <v>0.1741</v>
      </c>
      <c r="PQ69">
        <v>0.1076</v>
      </c>
      <c r="PR69">
        <v>1.8100000000000002E-2</v>
      </c>
      <c r="PS69">
        <v>3.6200000000000003E-2</v>
      </c>
      <c r="PT69">
        <v>2.24E-2</v>
      </c>
      <c r="PU69" s="3">
        <v>0.83330000000000004</v>
      </c>
      <c r="PV69" s="3">
        <v>0.2495</v>
      </c>
      <c r="PW69" s="3">
        <v>0.75049999999999994</v>
      </c>
      <c r="PX69" s="3">
        <v>0.28160000000000002</v>
      </c>
      <c r="PY69" s="3">
        <v>0.71840000000000004</v>
      </c>
      <c r="PZ69" s="3">
        <v>6.3200000000000006E-2</v>
      </c>
      <c r="QA69" s="3">
        <v>4.1000000000000003E-3</v>
      </c>
      <c r="QB69" s="3">
        <v>0.2019</v>
      </c>
      <c r="QC69" s="3">
        <v>8.8000000000000005E-3</v>
      </c>
      <c r="QD69" s="3">
        <v>0.21970000000000001</v>
      </c>
      <c r="QE69" s="3">
        <v>5.04E-2</v>
      </c>
      <c r="QF69" s="3">
        <v>0.51519999999999999</v>
      </c>
      <c r="QG69" s="3">
        <v>0.71709999999999996</v>
      </c>
      <c r="QH69" s="3">
        <v>6.6000000000000003E-2</v>
      </c>
      <c r="QI69" s="3">
        <v>0.76539999999999997</v>
      </c>
      <c r="QJ69" s="3">
        <v>3.6600000000000001E-2</v>
      </c>
      <c r="QK69" s="3">
        <v>0.13200000000000001</v>
      </c>
      <c r="QL69" s="4">
        <v>11818</v>
      </c>
      <c r="QM69">
        <v>4.66</v>
      </c>
      <c r="QN69" s="1">
        <v>27631</v>
      </c>
      <c r="QO69" s="1">
        <v>33157</v>
      </c>
      <c r="QP69" s="1">
        <v>6893</v>
      </c>
      <c r="QQ69" s="3">
        <v>0.79659999999999997</v>
      </c>
      <c r="QR69" s="3">
        <v>6.4799999999999996E-2</v>
      </c>
      <c r="QS69" s="3">
        <v>0.1386</v>
      </c>
      <c r="QT69" s="3">
        <v>0.2079</v>
      </c>
      <c r="QU69">
        <v>0.38</v>
      </c>
      <c r="QV69">
        <v>0.97</v>
      </c>
      <c r="QW69">
        <v>0.27</v>
      </c>
      <c r="QX69">
        <v>48</v>
      </c>
      <c r="QY69">
        <v>3.9</v>
      </c>
      <c r="QZ69">
        <v>22</v>
      </c>
      <c r="RA69">
        <v>3.11</v>
      </c>
      <c r="RB69">
        <v>0.2</v>
      </c>
      <c r="RC69">
        <v>0.19</v>
      </c>
    </row>
    <row r="70" spans="1:471" x14ac:dyDescent="0.25">
      <c r="A70" t="s">
        <v>1210</v>
      </c>
      <c r="B70">
        <v>11691</v>
      </c>
      <c r="C70" t="s">
        <v>1754</v>
      </c>
      <c r="D70" t="s">
        <v>1754</v>
      </c>
      <c r="E70" t="s">
        <v>1754</v>
      </c>
      <c r="F70" t="s">
        <v>1755</v>
      </c>
      <c r="G70" t="s">
        <v>1755</v>
      </c>
      <c r="H70" t="s">
        <v>1211</v>
      </c>
      <c r="I70" t="s">
        <v>342</v>
      </c>
      <c r="J70" t="s">
        <v>343</v>
      </c>
      <c r="K70" t="s">
        <v>344</v>
      </c>
      <c r="L70" t="s">
        <v>345</v>
      </c>
      <c r="M70" t="s">
        <v>457</v>
      </c>
      <c r="N70" t="s">
        <v>347</v>
      </c>
      <c r="O70" s="1">
        <v>142943</v>
      </c>
      <c r="P70" t="s">
        <v>348</v>
      </c>
      <c r="Q70" s="1">
        <v>1958</v>
      </c>
      <c r="R70">
        <v>177</v>
      </c>
      <c r="S70">
        <v>187</v>
      </c>
      <c r="T70">
        <v>25</v>
      </c>
      <c r="U70" s="1">
        <v>8599</v>
      </c>
      <c r="V70">
        <v>179</v>
      </c>
      <c r="W70" s="1">
        <v>50172</v>
      </c>
      <c r="X70" s="1">
        <v>7265</v>
      </c>
      <c r="Y70" s="1">
        <v>560972</v>
      </c>
      <c r="Z70" s="1">
        <v>217438</v>
      </c>
      <c r="AC70" t="s">
        <v>1212</v>
      </c>
      <c r="AD70" t="s">
        <v>1213</v>
      </c>
      <c r="AE70">
        <v>27203</v>
      </c>
      <c r="AF70">
        <v>5557</v>
      </c>
      <c r="AG70" t="s">
        <v>1212</v>
      </c>
      <c r="AH70" t="s">
        <v>1213</v>
      </c>
      <c r="AI70">
        <v>27203</v>
      </c>
      <c r="AJ70">
        <v>2</v>
      </c>
      <c r="AK70" t="s">
        <v>1214</v>
      </c>
      <c r="AM70" t="s">
        <v>0</v>
      </c>
      <c r="AN70" t="s">
        <v>1215</v>
      </c>
      <c r="AO70" t="s">
        <v>1216</v>
      </c>
      <c r="AP70">
        <v>3363186806</v>
      </c>
      <c r="AQ70" t="s">
        <v>1217</v>
      </c>
      <c r="AR70" t="s">
        <v>1218</v>
      </c>
      <c r="AS70" t="s">
        <v>1934</v>
      </c>
      <c r="AT70" t="s">
        <v>1219</v>
      </c>
      <c r="AU70" t="s">
        <v>1220</v>
      </c>
      <c r="AV70" t="s">
        <v>1217</v>
      </c>
      <c r="AW70" t="s">
        <v>1221</v>
      </c>
      <c r="AX70" t="s">
        <v>1222</v>
      </c>
      <c r="AY70">
        <v>0</v>
      </c>
      <c r="AZ70">
        <v>0</v>
      </c>
      <c r="BA70">
        <v>0</v>
      </c>
      <c r="BB70" s="573">
        <v>42186</v>
      </c>
      <c r="BC70" s="573">
        <v>42551</v>
      </c>
      <c r="BD70">
        <v>1</v>
      </c>
      <c r="BE70">
        <v>6</v>
      </c>
      <c r="BF70">
        <v>0</v>
      </c>
      <c r="BG70">
        <v>3</v>
      </c>
      <c r="BH70">
        <v>10</v>
      </c>
      <c r="BJ70" s="1">
        <v>16406</v>
      </c>
      <c r="BK70">
        <v>12</v>
      </c>
      <c r="BL70">
        <v>1</v>
      </c>
      <c r="BM70">
        <v>13</v>
      </c>
      <c r="BN70">
        <v>30.15</v>
      </c>
      <c r="BO70">
        <v>43.15</v>
      </c>
      <c r="BP70" s="3">
        <v>0.27810000000000001</v>
      </c>
      <c r="BQ70" s="1">
        <v>1154</v>
      </c>
      <c r="BR70" s="4">
        <v>73011</v>
      </c>
      <c r="DW70" s="4">
        <v>704312</v>
      </c>
      <c r="DX70" s="4">
        <v>1748751</v>
      </c>
      <c r="DY70" s="4">
        <v>2453063</v>
      </c>
      <c r="DZ70" s="4">
        <v>184846</v>
      </c>
      <c r="EA70" s="4">
        <v>0</v>
      </c>
      <c r="EB70" s="4">
        <v>184846</v>
      </c>
      <c r="EC70" s="4">
        <v>0</v>
      </c>
      <c r="ED70" s="4">
        <v>0</v>
      </c>
      <c r="EE70" s="4">
        <v>0</v>
      </c>
      <c r="EF70" s="4">
        <v>137838</v>
      </c>
      <c r="EG70" s="4">
        <v>2775747</v>
      </c>
      <c r="EH70" s="4">
        <v>1486802</v>
      </c>
      <c r="EI70" s="4">
        <v>467569</v>
      </c>
      <c r="EJ70" s="4">
        <v>1954371</v>
      </c>
      <c r="EK70" s="4">
        <v>148461</v>
      </c>
      <c r="EL70" s="4">
        <v>42815</v>
      </c>
      <c r="EM70" s="4">
        <v>33641</v>
      </c>
      <c r="EN70" s="4">
        <v>224917</v>
      </c>
      <c r="EO70" s="4">
        <v>567968</v>
      </c>
      <c r="EP70" s="4">
        <v>2747256</v>
      </c>
      <c r="EQ70" s="4">
        <v>28491</v>
      </c>
      <c r="ER70" s="3">
        <v>1.03E-2</v>
      </c>
      <c r="ES70" s="4">
        <v>129335</v>
      </c>
      <c r="ET70" s="4">
        <v>0</v>
      </c>
      <c r="EU70" s="4">
        <v>0</v>
      </c>
      <c r="EV70" s="4">
        <v>0</v>
      </c>
      <c r="EW70" s="4">
        <v>129335</v>
      </c>
      <c r="EX70" s="4">
        <v>129335</v>
      </c>
      <c r="EY70" s="1">
        <v>39187</v>
      </c>
      <c r="EZ70" s="1">
        <v>321761</v>
      </c>
      <c r="FA70" s="1">
        <v>72835</v>
      </c>
      <c r="FB70" s="1">
        <v>11384</v>
      </c>
      <c r="FC70" s="1">
        <v>62478</v>
      </c>
      <c r="FD70" s="1">
        <v>78562</v>
      </c>
      <c r="FE70" s="1">
        <v>3415</v>
      </c>
      <c r="FF70" s="1">
        <v>21234</v>
      </c>
      <c r="FG70" s="1">
        <v>151397</v>
      </c>
      <c r="FH70" s="1">
        <v>14799</v>
      </c>
      <c r="FI70" s="1">
        <v>83712</v>
      </c>
      <c r="FJ70" s="1">
        <v>249908</v>
      </c>
      <c r="FK70">
        <v>0</v>
      </c>
      <c r="FL70">
        <v>295</v>
      </c>
      <c r="FN70" s="1">
        <v>249908</v>
      </c>
      <c r="FO70" s="1">
        <v>6872</v>
      </c>
      <c r="FP70" s="1">
        <v>21766</v>
      </c>
      <c r="FQ70" s="1">
        <v>1463</v>
      </c>
      <c r="FR70">
        <v>6</v>
      </c>
      <c r="FS70">
        <v>74</v>
      </c>
      <c r="FT70">
        <v>80</v>
      </c>
      <c r="FU70" s="1">
        <v>26725</v>
      </c>
      <c r="FV70" s="1">
        <v>2022</v>
      </c>
      <c r="FW70">
        <v>0</v>
      </c>
      <c r="GK70" s="1">
        <v>4042</v>
      </c>
      <c r="GL70" s="1">
        <v>8527</v>
      </c>
      <c r="GM70">
        <v>0</v>
      </c>
      <c r="GN70">
        <v>61</v>
      </c>
      <c r="GO70" s="1">
        <v>30767</v>
      </c>
      <c r="GP70" s="1">
        <v>10549</v>
      </c>
      <c r="GQ70">
        <v>0</v>
      </c>
      <c r="GR70">
        <v>61</v>
      </c>
      <c r="GS70">
        <v>84</v>
      </c>
      <c r="GU70" s="1">
        <v>141129</v>
      </c>
      <c r="GV70" s="1">
        <v>21339</v>
      </c>
      <c r="GW70" s="1">
        <v>127744</v>
      </c>
      <c r="GX70" s="1">
        <v>50793</v>
      </c>
      <c r="GY70" s="1">
        <v>1933</v>
      </c>
      <c r="GZ70" s="1">
        <v>28029</v>
      </c>
      <c r="HA70" s="1">
        <v>191922</v>
      </c>
      <c r="HB70" s="1">
        <v>23272</v>
      </c>
      <c r="HC70" s="1">
        <v>155773</v>
      </c>
      <c r="HD70" s="1">
        <v>370967</v>
      </c>
      <c r="HE70" s="1">
        <v>1711</v>
      </c>
      <c r="HF70" s="1">
        <v>372678</v>
      </c>
      <c r="HG70" s="1">
        <v>12480</v>
      </c>
      <c r="HH70" s="1">
        <v>143134</v>
      </c>
      <c r="HI70">
        <v>0</v>
      </c>
      <c r="HJ70">
        <v>0</v>
      </c>
      <c r="HK70" s="1">
        <v>155614</v>
      </c>
      <c r="HL70" s="1">
        <v>528292</v>
      </c>
      <c r="HM70">
        <v>230</v>
      </c>
      <c r="HN70" s="1">
        <v>18402</v>
      </c>
      <c r="HO70" s="1">
        <v>18632</v>
      </c>
      <c r="HP70" s="1">
        <v>1001</v>
      </c>
      <c r="HQ70" s="1">
        <v>5472</v>
      </c>
      <c r="HR70" s="1">
        <v>6473</v>
      </c>
      <c r="HS70">
        <v>0</v>
      </c>
      <c r="HT70">
        <v>0</v>
      </c>
      <c r="HU70">
        <v>0</v>
      </c>
      <c r="HV70" s="1">
        <v>1822</v>
      </c>
      <c r="HW70" s="1">
        <v>26927</v>
      </c>
      <c r="HX70" s="1">
        <v>21448</v>
      </c>
      <c r="HY70" s="1">
        <v>30155</v>
      </c>
      <c r="HZ70" s="1">
        <v>51603</v>
      </c>
      <c r="IA70" s="1">
        <v>78530</v>
      </c>
      <c r="IB70" s="1">
        <v>18953</v>
      </c>
      <c r="IC70" s="1">
        <v>162087</v>
      </c>
      <c r="ID70" s="1">
        <v>555219</v>
      </c>
      <c r="IE70" s="1">
        <v>555219</v>
      </c>
      <c r="IF70" s="1">
        <v>606822</v>
      </c>
      <c r="IG70" s="1">
        <v>179045</v>
      </c>
      <c r="IH70">
        <v>-1</v>
      </c>
      <c r="IL70" s="3">
        <v>6.7599999999999993E-2</v>
      </c>
      <c r="IM70" s="3">
        <v>8.9999999999999998E-4</v>
      </c>
      <c r="IN70" s="3">
        <v>0.12859999999999999</v>
      </c>
      <c r="IO70" s="3">
        <v>0</v>
      </c>
      <c r="IP70" s="3">
        <v>9.5600000000000004E-2</v>
      </c>
      <c r="IQ70" s="3">
        <v>2.0000000000000001E-4</v>
      </c>
      <c r="IR70" s="3">
        <v>0.77669999999999995</v>
      </c>
      <c r="IS70" s="3">
        <v>5.4100000000000002E-2</v>
      </c>
      <c r="IT70" s="3">
        <v>0.32250000000000001</v>
      </c>
      <c r="IU70" s="1">
        <v>89196</v>
      </c>
      <c r="IV70" s="1">
        <v>26920</v>
      </c>
      <c r="IW70" s="1">
        <v>116116</v>
      </c>
      <c r="IX70" s="3">
        <v>0.81230000000000002</v>
      </c>
      <c r="IY70" s="1">
        <v>533842</v>
      </c>
      <c r="JA70">
        <v>174</v>
      </c>
      <c r="JB70">
        <v>81</v>
      </c>
      <c r="JC70" s="1">
        <v>1044</v>
      </c>
      <c r="JD70">
        <v>42</v>
      </c>
      <c r="JE70">
        <v>8</v>
      </c>
      <c r="JF70">
        <v>493</v>
      </c>
      <c r="JG70">
        <v>216</v>
      </c>
      <c r="JH70">
        <v>89</v>
      </c>
      <c r="JI70" s="1">
        <v>1537</v>
      </c>
      <c r="JJ70" s="1">
        <v>1842</v>
      </c>
      <c r="JK70" s="1">
        <v>1299</v>
      </c>
      <c r="JL70">
        <v>543</v>
      </c>
      <c r="JM70" s="1">
        <v>2275</v>
      </c>
      <c r="JN70">
        <v>655</v>
      </c>
      <c r="JO70" s="1">
        <v>23383</v>
      </c>
      <c r="JP70" s="1">
        <v>1398</v>
      </c>
      <c r="JQ70">
        <v>76</v>
      </c>
      <c r="JR70" s="1">
        <v>16498</v>
      </c>
      <c r="JS70" s="1">
        <v>3673</v>
      </c>
      <c r="JT70">
        <v>731</v>
      </c>
      <c r="JU70" s="1">
        <v>39881</v>
      </c>
      <c r="JV70" s="1">
        <v>44285</v>
      </c>
      <c r="JW70" s="1">
        <v>26313</v>
      </c>
      <c r="JX70" s="1">
        <v>17972</v>
      </c>
      <c r="JY70">
        <v>24.04</v>
      </c>
      <c r="JZ70">
        <v>17</v>
      </c>
      <c r="KA70">
        <v>25.95</v>
      </c>
      <c r="KB70">
        <v>0.08</v>
      </c>
      <c r="KC70">
        <v>0.9</v>
      </c>
      <c r="KD70">
        <v>6</v>
      </c>
      <c r="KE70">
        <v>11</v>
      </c>
      <c r="KF70">
        <v>48</v>
      </c>
      <c r="KG70">
        <v>380</v>
      </c>
      <c r="KN70" s="1">
        <v>109591</v>
      </c>
      <c r="KO70" s="1">
        <v>39940</v>
      </c>
      <c r="KP70" s="1">
        <v>7086</v>
      </c>
      <c r="KR70" s="1">
        <v>1491</v>
      </c>
      <c r="KS70" s="1">
        <v>7460</v>
      </c>
      <c r="KT70">
        <v>111</v>
      </c>
      <c r="KU70">
        <v>140</v>
      </c>
      <c r="KV70">
        <v>79</v>
      </c>
      <c r="KW70">
        <v>146</v>
      </c>
      <c r="KX70" s="1">
        <v>102145</v>
      </c>
      <c r="KZ70" s="1">
        <v>137283</v>
      </c>
      <c r="LA70" s="1">
        <v>27132</v>
      </c>
      <c r="LD70" t="s">
        <v>1214</v>
      </c>
      <c r="LE70" t="s">
        <v>361</v>
      </c>
      <c r="LF70" t="s">
        <v>1212</v>
      </c>
      <c r="LG70" t="s">
        <v>1213</v>
      </c>
      <c r="LH70">
        <v>27203</v>
      </c>
      <c r="LI70">
        <v>5557</v>
      </c>
      <c r="LJ70" t="s">
        <v>1212</v>
      </c>
      <c r="LK70" t="s">
        <v>1213</v>
      </c>
      <c r="LL70">
        <v>27203</v>
      </c>
      <c r="LM70">
        <v>5557</v>
      </c>
      <c r="LN70" t="s">
        <v>1215</v>
      </c>
      <c r="LO70">
        <v>3363186800</v>
      </c>
      <c r="LP70">
        <v>3363186823</v>
      </c>
      <c r="LQ70" s="1">
        <v>66712</v>
      </c>
      <c r="LR70">
        <v>43.15</v>
      </c>
      <c r="LT70" s="1">
        <v>16406</v>
      </c>
      <c r="LU70">
        <v>364</v>
      </c>
      <c r="LX70">
        <v>2</v>
      </c>
      <c r="LY70" t="s">
        <v>1223</v>
      </c>
      <c r="LZ70">
        <v>0</v>
      </c>
      <c r="MA70" t="s">
        <v>363</v>
      </c>
      <c r="MB70">
        <v>50</v>
      </c>
      <c r="MC70">
        <v>5</v>
      </c>
      <c r="ME70" s="574">
        <v>4.95</v>
      </c>
      <c r="MF70" s="574">
        <v>3.52</v>
      </c>
      <c r="MG70" s="574">
        <v>0.41</v>
      </c>
      <c r="MH70" s="574">
        <v>23.66</v>
      </c>
      <c r="MI70" s="574">
        <v>16.829999999999998</v>
      </c>
      <c r="MJ70" s="574">
        <v>1.94</v>
      </c>
      <c r="MK70" s="574">
        <v>5.15</v>
      </c>
      <c r="ML70" s="574">
        <v>3.66</v>
      </c>
      <c r="MM70" s="574">
        <v>0.42</v>
      </c>
      <c r="MN70" s="574">
        <v>25.07</v>
      </c>
      <c r="MO70" s="574">
        <v>17.829999999999998</v>
      </c>
      <c r="MP70" s="574">
        <v>2.0499999999999998</v>
      </c>
      <c r="MQ70" s="574">
        <v>62.04</v>
      </c>
      <c r="MR70" s="574">
        <v>44.13</v>
      </c>
      <c r="MS70" s="574">
        <v>5.08</v>
      </c>
      <c r="MT70" s="574">
        <v>15.34</v>
      </c>
      <c r="MU70" s="574">
        <v>10.92</v>
      </c>
      <c r="MV70" s="574">
        <v>1.26</v>
      </c>
      <c r="MW70" s="1">
        <v>2540</v>
      </c>
      <c r="MX70" s="1">
        <v>9133</v>
      </c>
      <c r="MY70" s="1">
        <v>8430</v>
      </c>
      <c r="MZ70" s="1">
        <v>12372</v>
      </c>
      <c r="NA70" s="1">
        <v>44487</v>
      </c>
      <c r="NB70" s="1">
        <v>41065</v>
      </c>
      <c r="NC70" s="1">
        <v>42709</v>
      </c>
      <c r="ND70" s="1">
        <v>46268</v>
      </c>
      <c r="NE70">
        <v>1.73</v>
      </c>
      <c r="NF70" s="1">
        <v>12867</v>
      </c>
      <c r="NG70">
        <v>6.19</v>
      </c>
      <c r="NH70">
        <v>3.8839999999999999</v>
      </c>
      <c r="NI70">
        <v>3.73</v>
      </c>
      <c r="NJ70">
        <v>0.96</v>
      </c>
      <c r="NK70">
        <v>1.21</v>
      </c>
      <c r="NL70">
        <v>0.76670000000000005</v>
      </c>
      <c r="NM70">
        <v>1.2525999999999999</v>
      </c>
      <c r="NN70">
        <v>0.81</v>
      </c>
      <c r="NO70">
        <v>0.31</v>
      </c>
      <c r="NP70">
        <v>0</v>
      </c>
      <c r="NQ70">
        <v>0</v>
      </c>
      <c r="NR70">
        <v>0.71</v>
      </c>
      <c r="NS70">
        <v>0.03</v>
      </c>
      <c r="NT70">
        <v>0.28000000000000003</v>
      </c>
      <c r="NU70" s="574">
        <v>13.67</v>
      </c>
      <c r="NV70">
        <v>2.2509999999999999</v>
      </c>
      <c r="NW70">
        <v>0</v>
      </c>
      <c r="NX70">
        <v>2E-3</v>
      </c>
      <c r="NY70">
        <v>0.215</v>
      </c>
      <c r="NZ70">
        <v>1E-3</v>
      </c>
      <c r="OA70">
        <v>0.1033</v>
      </c>
      <c r="OB70">
        <v>0.37159999999999999</v>
      </c>
      <c r="OC70">
        <v>2.5409999999999999</v>
      </c>
      <c r="OD70">
        <v>1.748</v>
      </c>
      <c r="OE70">
        <v>0.2109</v>
      </c>
      <c r="OF70">
        <v>264.96800000000002</v>
      </c>
      <c r="OG70">
        <v>0.68899999999999995</v>
      </c>
      <c r="OH70" s="574">
        <v>3.97</v>
      </c>
      <c r="OI70">
        <v>150</v>
      </c>
      <c r="OJ70">
        <v>187</v>
      </c>
      <c r="OK70" s="574">
        <v>19.22</v>
      </c>
      <c r="OL70" s="574">
        <v>1.57</v>
      </c>
      <c r="OM70" s="574">
        <v>1.04</v>
      </c>
      <c r="ON70">
        <v>0.3019</v>
      </c>
      <c r="OO70">
        <v>8.4000000000000005E-2</v>
      </c>
      <c r="OP70">
        <v>0.25969999999999999</v>
      </c>
      <c r="OQ70" s="574">
        <v>1.29</v>
      </c>
      <c r="OR70" s="574">
        <v>17.16</v>
      </c>
      <c r="OS70" s="574">
        <v>0</v>
      </c>
      <c r="OT70" s="574">
        <v>0.96</v>
      </c>
      <c r="OU70" s="574">
        <v>19.420000000000002</v>
      </c>
      <c r="OV70">
        <v>2</v>
      </c>
      <c r="OW70">
        <v>3</v>
      </c>
      <c r="OX70">
        <v>1.04</v>
      </c>
      <c r="OY70" s="1">
        <v>10677</v>
      </c>
      <c r="OZ70">
        <v>32.54</v>
      </c>
      <c r="PA70" s="1">
        <v>10266</v>
      </c>
      <c r="PB70">
        <v>6.68</v>
      </c>
      <c r="PC70">
        <v>33.840000000000003</v>
      </c>
      <c r="PD70">
        <v>0.21</v>
      </c>
      <c r="PE70" s="1">
        <v>2108</v>
      </c>
      <c r="PF70">
        <v>0.57999999999999996</v>
      </c>
      <c r="PG70" s="574">
        <v>0.42</v>
      </c>
      <c r="PH70">
        <v>0.6</v>
      </c>
      <c r="PI70">
        <v>11.48</v>
      </c>
      <c r="PJ70">
        <v>4.78</v>
      </c>
      <c r="PK70" s="574">
        <v>5.15</v>
      </c>
      <c r="PL70">
        <v>31.55</v>
      </c>
      <c r="PM70" s="4">
        <v>45292</v>
      </c>
      <c r="PN70" s="4">
        <v>34457</v>
      </c>
      <c r="PO70">
        <v>7.7700000000000005E-2</v>
      </c>
      <c r="PP70">
        <v>0.39369999999999999</v>
      </c>
      <c r="PQ70">
        <v>8.0799999999999997E-2</v>
      </c>
      <c r="PR70">
        <v>2.1600000000000001E-2</v>
      </c>
      <c r="PS70">
        <v>0.1095</v>
      </c>
      <c r="PT70">
        <v>2.2499999999999999E-2</v>
      </c>
      <c r="PU70" s="3">
        <v>0.92310000000000003</v>
      </c>
      <c r="PV70" s="3">
        <v>0.30130000000000001</v>
      </c>
      <c r="PW70" s="3">
        <v>0.69869999999999999</v>
      </c>
      <c r="PX70" s="3">
        <v>0.2392</v>
      </c>
      <c r="PY70" s="3">
        <v>0.76080000000000003</v>
      </c>
      <c r="PZ70" s="3">
        <v>8.1900000000000001E-2</v>
      </c>
      <c r="QA70" s="3">
        <v>1.5599999999999999E-2</v>
      </c>
      <c r="QB70" s="3">
        <v>0.17019999999999999</v>
      </c>
      <c r="QC70" s="3">
        <v>1.2200000000000001E-2</v>
      </c>
      <c r="QD70" s="3">
        <v>0.20669999999999999</v>
      </c>
      <c r="QE70" s="3">
        <v>5.3999999999999999E-2</v>
      </c>
      <c r="QF70" s="3">
        <v>0.54120000000000001</v>
      </c>
      <c r="QG70" s="3">
        <v>0.71140000000000003</v>
      </c>
      <c r="QH70" s="3">
        <v>0</v>
      </c>
      <c r="QI70" s="3">
        <v>0.88370000000000004</v>
      </c>
      <c r="QJ70" s="3">
        <v>4.9700000000000001E-2</v>
      </c>
      <c r="QK70" s="3">
        <v>6.6600000000000006E-2</v>
      </c>
      <c r="QL70" s="4">
        <v>10836</v>
      </c>
      <c r="QM70">
        <v>4.5999999999999996</v>
      </c>
      <c r="QN70" s="1">
        <v>10996</v>
      </c>
      <c r="QO70" s="1">
        <v>11912</v>
      </c>
      <c r="QP70" s="1">
        <v>3313</v>
      </c>
      <c r="QQ70" s="3">
        <v>0.66010000000000002</v>
      </c>
      <c r="QR70" s="3">
        <v>0.19040000000000001</v>
      </c>
      <c r="QS70" s="3">
        <v>0.14960000000000001</v>
      </c>
      <c r="QT70" s="3">
        <v>0.27810000000000001</v>
      </c>
      <c r="QU70">
        <v>0.37</v>
      </c>
      <c r="QV70">
        <v>1.19</v>
      </c>
      <c r="QW70">
        <v>0.28000000000000003</v>
      </c>
      <c r="QX70">
        <v>13</v>
      </c>
      <c r="QY70">
        <v>3.74</v>
      </c>
      <c r="QZ70">
        <v>17</v>
      </c>
      <c r="RA70">
        <v>2.4700000000000002</v>
      </c>
      <c r="RB70">
        <v>0.2</v>
      </c>
      <c r="RC70">
        <v>0.2</v>
      </c>
    </row>
    <row r="71" spans="1:471" x14ac:dyDescent="0.25">
      <c r="A71" t="s">
        <v>1224</v>
      </c>
      <c r="B71">
        <v>101785</v>
      </c>
      <c r="C71" t="s">
        <v>1754</v>
      </c>
      <c r="D71" t="s">
        <v>1754</v>
      </c>
      <c r="E71" t="s">
        <v>1754</v>
      </c>
      <c r="F71" t="s">
        <v>1755</v>
      </c>
      <c r="G71" t="s">
        <v>1755</v>
      </c>
      <c r="H71" t="s">
        <v>1225</v>
      </c>
      <c r="I71" t="s">
        <v>1226</v>
      </c>
      <c r="J71" t="s">
        <v>559</v>
      </c>
      <c r="K71" t="s">
        <v>533</v>
      </c>
      <c r="L71" t="s">
        <v>345</v>
      </c>
      <c r="M71" t="s">
        <v>560</v>
      </c>
      <c r="N71" t="s">
        <v>347</v>
      </c>
      <c r="O71" s="1">
        <v>15186</v>
      </c>
      <c r="P71" t="s">
        <v>472</v>
      </c>
      <c r="Q71">
        <v>44</v>
      </c>
      <c r="R71">
        <v>9</v>
      </c>
      <c r="S71">
        <v>26</v>
      </c>
      <c r="T71">
        <v>5</v>
      </c>
      <c r="U71" s="1">
        <v>1072</v>
      </c>
      <c r="V71">
        <v>30</v>
      </c>
      <c r="W71" s="1">
        <v>1851</v>
      </c>
      <c r="X71">
        <v>295</v>
      </c>
      <c r="Y71" s="1">
        <v>10175</v>
      </c>
      <c r="Z71" s="1">
        <v>1590</v>
      </c>
      <c r="AC71" t="s">
        <v>1227</v>
      </c>
      <c r="AD71" t="s">
        <v>1228</v>
      </c>
      <c r="AE71">
        <v>27870</v>
      </c>
      <c r="AF71">
        <v>1917</v>
      </c>
      <c r="AG71" t="s">
        <v>1227</v>
      </c>
      <c r="AH71" t="s">
        <v>1228</v>
      </c>
      <c r="AI71">
        <v>27870</v>
      </c>
      <c r="AJ71">
        <v>1</v>
      </c>
      <c r="AK71" t="s">
        <v>1229</v>
      </c>
      <c r="AM71" t="s">
        <v>564</v>
      </c>
      <c r="AN71" t="s">
        <v>860</v>
      </c>
      <c r="AO71" t="s">
        <v>1230</v>
      </c>
      <c r="AP71">
        <v>2525332890</v>
      </c>
      <c r="AR71" t="s">
        <v>1232</v>
      </c>
      <c r="AS71" t="s">
        <v>1230</v>
      </c>
      <c r="AT71" t="s">
        <v>1233</v>
      </c>
      <c r="AU71" t="s">
        <v>1231</v>
      </c>
      <c r="AW71" t="s">
        <v>1232</v>
      </c>
      <c r="AX71" t="s">
        <v>1234</v>
      </c>
      <c r="AY71">
        <v>0</v>
      </c>
      <c r="AZ71">
        <v>0</v>
      </c>
      <c r="BA71">
        <v>0</v>
      </c>
      <c r="BB71" s="573">
        <v>42186</v>
      </c>
      <c r="BC71" s="573">
        <v>42551</v>
      </c>
      <c r="BD71">
        <v>1</v>
      </c>
      <c r="BE71">
        <v>0</v>
      </c>
      <c r="BF71">
        <v>0</v>
      </c>
      <c r="BG71">
        <v>0</v>
      </c>
      <c r="BH71">
        <v>1</v>
      </c>
      <c r="BJ71" s="1">
        <v>2346</v>
      </c>
      <c r="BK71">
        <v>1</v>
      </c>
      <c r="BL71">
        <v>0</v>
      </c>
      <c r="BM71">
        <v>1</v>
      </c>
      <c r="BN71">
        <v>3.94</v>
      </c>
      <c r="BO71">
        <v>4.9400000000000004</v>
      </c>
      <c r="BP71" s="3">
        <v>0.2024</v>
      </c>
      <c r="BQ71">
        <v>943</v>
      </c>
      <c r="BR71" s="4">
        <v>47003</v>
      </c>
      <c r="DW71" s="4">
        <v>264242</v>
      </c>
      <c r="DX71" s="4">
        <v>0</v>
      </c>
      <c r="DY71" s="4">
        <v>264242</v>
      </c>
      <c r="DZ71" s="4">
        <v>13959</v>
      </c>
      <c r="EA71" s="4">
        <v>0</v>
      </c>
      <c r="EB71" s="4">
        <v>13959</v>
      </c>
      <c r="EC71" s="4">
        <v>3128</v>
      </c>
      <c r="ED71" s="4">
        <v>0</v>
      </c>
      <c r="EE71" s="4">
        <v>3128</v>
      </c>
      <c r="EF71" s="4">
        <v>1781</v>
      </c>
      <c r="EG71" s="4">
        <v>283110</v>
      </c>
      <c r="EH71" s="4">
        <v>150042</v>
      </c>
      <c r="EI71" s="4">
        <v>48767</v>
      </c>
      <c r="EJ71" s="4">
        <v>198809</v>
      </c>
      <c r="EK71" s="4">
        <v>19994</v>
      </c>
      <c r="EL71" s="4">
        <v>300</v>
      </c>
      <c r="EM71" s="4">
        <v>9378</v>
      </c>
      <c r="EN71" s="4">
        <v>29672</v>
      </c>
      <c r="EO71" s="4">
        <v>50313</v>
      </c>
      <c r="EP71" s="4">
        <v>278794</v>
      </c>
      <c r="EQ71" s="4">
        <v>4316</v>
      </c>
      <c r="ER71" s="3">
        <v>1.52E-2</v>
      </c>
      <c r="ES71" s="4">
        <v>12552</v>
      </c>
      <c r="ET71" s="4">
        <v>0</v>
      </c>
      <c r="EU71" s="4">
        <v>0</v>
      </c>
      <c r="EV71" s="4">
        <v>0</v>
      </c>
      <c r="EW71" s="4">
        <v>12552</v>
      </c>
      <c r="EX71" s="4">
        <v>12552</v>
      </c>
      <c r="EY71" s="1">
        <v>5139</v>
      </c>
      <c r="EZ71" s="1">
        <v>68801</v>
      </c>
      <c r="FA71" s="1">
        <v>11247</v>
      </c>
      <c r="FB71" s="1">
        <v>2513</v>
      </c>
      <c r="FC71" s="1">
        <v>9046</v>
      </c>
      <c r="FD71" s="1">
        <v>8616</v>
      </c>
      <c r="FE71">
        <v>681</v>
      </c>
      <c r="FF71" s="1">
        <v>4166</v>
      </c>
      <c r="FG71" s="1">
        <v>19863</v>
      </c>
      <c r="FH71" s="1">
        <v>3194</v>
      </c>
      <c r="FI71" s="1">
        <v>13212</v>
      </c>
      <c r="FJ71" s="1">
        <v>36269</v>
      </c>
      <c r="FK71">
        <v>166</v>
      </c>
      <c r="FL71">
        <v>43</v>
      </c>
      <c r="FN71" s="1">
        <v>36269</v>
      </c>
      <c r="FO71">
        <v>950</v>
      </c>
      <c r="FP71" s="1">
        <v>2167</v>
      </c>
      <c r="FQ71">
        <v>5</v>
      </c>
      <c r="FR71">
        <v>0</v>
      </c>
      <c r="FS71">
        <v>74</v>
      </c>
      <c r="FT71">
        <v>74</v>
      </c>
      <c r="FU71" s="1">
        <v>26725</v>
      </c>
      <c r="FV71" s="1">
        <v>2022</v>
      </c>
      <c r="FW71">
        <v>0</v>
      </c>
      <c r="GK71">
        <v>380</v>
      </c>
      <c r="GL71">
        <v>0</v>
      </c>
      <c r="GM71">
        <v>0</v>
      </c>
      <c r="GN71">
        <v>0</v>
      </c>
      <c r="GO71" s="1">
        <v>27105</v>
      </c>
      <c r="GP71" s="1">
        <v>2022</v>
      </c>
      <c r="GQ71">
        <v>0</v>
      </c>
      <c r="GR71">
        <v>0</v>
      </c>
      <c r="GS71">
        <v>15</v>
      </c>
      <c r="GU71" s="1">
        <v>12629</v>
      </c>
      <c r="GV71" s="1">
        <v>1403</v>
      </c>
      <c r="GW71" s="1">
        <v>7361</v>
      </c>
      <c r="GX71" s="1">
        <v>2106</v>
      </c>
      <c r="GY71">
        <v>199</v>
      </c>
      <c r="GZ71" s="1">
        <v>1068</v>
      </c>
      <c r="HA71" s="1">
        <v>14735</v>
      </c>
      <c r="HB71" s="1">
        <v>1602</v>
      </c>
      <c r="HC71" s="1">
        <v>8429</v>
      </c>
      <c r="HD71" s="1">
        <v>24766</v>
      </c>
      <c r="HE71">
        <v>350</v>
      </c>
      <c r="HF71" s="1">
        <v>25216</v>
      </c>
      <c r="HG71">
        <v>926</v>
      </c>
      <c r="HH71" s="1">
        <v>3838</v>
      </c>
      <c r="HI71">
        <v>100</v>
      </c>
      <c r="HJ71">
        <v>53</v>
      </c>
      <c r="HK71" s="1">
        <v>4817</v>
      </c>
      <c r="HL71" s="1">
        <v>30033</v>
      </c>
      <c r="HM71">
        <v>22</v>
      </c>
      <c r="HN71">
        <v>10</v>
      </c>
      <c r="HO71">
        <v>32</v>
      </c>
      <c r="HP71">
        <v>55</v>
      </c>
      <c r="HQ71">
        <v>0</v>
      </c>
      <c r="HR71">
        <v>55</v>
      </c>
      <c r="HS71">
        <v>0</v>
      </c>
      <c r="HT71">
        <v>0</v>
      </c>
      <c r="HU71">
        <v>0</v>
      </c>
      <c r="HV71">
        <v>0</v>
      </c>
      <c r="HW71">
        <v>87</v>
      </c>
      <c r="HX71">
        <v>732</v>
      </c>
      <c r="HY71">
        <v>0</v>
      </c>
      <c r="HZ71">
        <v>732</v>
      </c>
      <c r="IA71">
        <v>819</v>
      </c>
      <c r="IB71">
        <v>981</v>
      </c>
      <c r="IC71" s="1">
        <v>4819</v>
      </c>
      <c r="ID71" s="1">
        <v>30120</v>
      </c>
      <c r="IE71" s="1">
        <v>30120</v>
      </c>
      <c r="IF71" s="1">
        <v>30852</v>
      </c>
      <c r="IG71" s="1">
        <v>10031</v>
      </c>
      <c r="IH71">
        <v>53</v>
      </c>
      <c r="IK71">
        <v>1</v>
      </c>
      <c r="IL71" s="3">
        <v>3.15E-2</v>
      </c>
      <c r="IM71" s="3">
        <v>5.9999999999999995E-4</v>
      </c>
      <c r="IN71" s="3">
        <v>0.4234</v>
      </c>
      <c r="IO71" s="3">
        <v>0</v>
      </c>
      <c r="IP71" s="3">
        <v>0.39400000000000002</v>
      </c>
      <c r="IQ71" s="3">
        <v>1.1000000000000001E-3</v>
      </c>
      <c r="IR71" s="3">
        <v>0.5272</v>
      </c>
      <c r="IS71" s="3">
        <v>4.3200000000000002E-2</v>
      </c>
      <c r="IT71" s="3">
        <v>0.33300000000000002</v>
      </c>
      <c r="IU71" s="1">
        <v>7273</v>
      </c>
      <c r="IV71">
        <v>853</v>
      </c>
      <c r="IW71" s="1">
        <v>8126</v>
      </c>
      <c r="IX71" s="3">
        <v>0.53510000000000002</v>
      </c>
      <c r="IY71" s="1">
        <v>29998</v>
      </c>
      <c r="JA71">
        <v>87</v>
      </c>
      <c r="JB71">
        <v>28</v>
      </c>
      <c r="JC71">
        <v>63</v>
      </c>
      <c r="JD71">
        <v>19</v>
      </c>
      <c r="JE71">
        <v>1</v>
      </c>
      <c r="JF71">
        <v>11</v>
      </c>
      <c r="JG71">
        <v>106</v>
      </c>
      <c r="JH71">
        <v>29</v>
      </c>
      <c r="JI71">
        <v>74</v>
      </c>
      <c r="JJ71">
        <v>209</v>
      </c>
      <c r="JK71">
        <v>178</v>
      </c>
      <c r="JL71">
        <v>31</v>
      </c>
      <c r="JM71">
        <v>837</v>
      </c>
      <c r="JN71">
        <v>319</v>
      </c>
      <c r="JO71" s="1">
        <v>2285</v>
      </c>
      <c r="JP71">
        <v>411</v>
      </c>
      <c r="JQ71">
        <v>2</v>
      </c>
      <c r="JR71">
        <v>351</v>
      </c>
      <c r="JS71" s="1">
        <v>1248</v>
      </c>
      <c r="JT71">
        <v>321</v>
      </c>
      <c r="JU71" s="1">
        <v>2636</v>
      </c>
      <c r="JV71" s="1">
        <v>4205</v>
      </c>
      <c r="JW71" s="1">
        <v>3441</v>
      </c>
      <c r="JX71">
        <v>764</v>
      </c>
      <c r="JY71">
        <v>20.12</v>
      </c>
      <c r="JZ71">
        <v>11.77</v>
      </c>
      <c r="KA71">
        <v>35.619999999999997</v>
      </c>
      <c r="KB71">
        <v>0.3</v>
      </c>
      <c r="KC71">
        <v>0.63</v>
      </c>
      <c r="KD71">
        <v>0</v>
      </c>
      <c r="KE71">
        <v>0</v>
      </c>
      <c r="KF71">
        <v>1</v>
      </c>
      <c r="KG71">
        <v>4</v>
      </c>
      <c r="KN71" s="1">
        <v>19243</v>
      </c>
      <c r="KO71" s="1">
        <v>4563</v>
      </c>
      <c r="KP71">
        <v>447</v>
      </c>
      <c r="KR71">
        <v>35</v>
      </c>
      <c r="KS71">
        <v>320</v>
      </c>
      <c r="KT71">
        <v>20</v>
      </c>
      <c r="KU71">
        <v>15</v>
      </c>
      <c r="KV71">
        <v>8</v>
      </c>
      <c r="KW71">
        <v>13</v>
      </c>
      <c r="KX71" s="1">
        <v>6172</v>
      </c>
      <c r="KZ71" s="1">
        <v>34955</v>
      </c>
      <c r="LD71" t="s">
        <v>1229</v>
      </c>
      <c r="LE71" t="s">
        <v>361</v>
      </c>
      <c r="LF71" t="s">
        <v>1227</v>
      </c>
      <c r="LG71" t="s">
        <v>1228</v>
      </c>
      <c r="LH71">
        <v>27870</v>
      </c>
      <c r="LI71">
        <v>1917</v>
      </c>
      <c r="LJ71" t="s">
        <v>1227</v>
      </c>
      <c r="LK71" t="s">
        <v>1228</v>
      </c>
      <c r="LL71">
        <v>27870</v>
      </c>
      <c r="LM71">
        <v>1917</v>
      </c>
      <c r="LN71" t="s">
        <v>860</v>
      </c>
      <c r="LO71">
        <v>2525332890</v>
      </c>
      <c r="LQ71" s="1">
        <v>7550</v>
      </c>
      <c r="LR71">
        <v>4.9400000000000004</v>
      </c>
      <c r="LT71" s="1">
        <v>2346</v>
      </c>
      <c r="LU71">
        <v>50</v>
      </c>
      <c r="LX71">
        <v>2</v>
      </c>
      <c r="LY71" t="s">
        <v>1235</v>
      </c>
      <c r="LZ71">
        <v>0</v>
      </c>
      <c r="MA71" t="s">
        <v>363</v>
      </c>
      <c r="MB71">
        <v>62.92</v>
      </c>
      <c r="MC71">
        <v>4.3099999999999996</v>
      </c>
      <c r="ME71" s="574">
        <v>9.26</v>
      </c>
      <c r="MF71" s="574">
        <v>6.6</v>
      </c>
      <c r="MG71" s="574">
        <v>0.99</v>
      </c>
      <c r="MH71" s="574">
        <v>34.31</v>
      </c>
      <c r="MI71" s="574">
        <v>24.47</v>
      </c>
      <c r="MJ71" s="574">
        <v>3.65</v>
      </c>
      <c r="MK71" s="574">
        <v>9.2899999999999991</v>
      </c>
      <c r="ML71" s="574">
        <v>6.63</v>
      </c>
      <c r="MM71" s="574">
        <v>0.99</v>
      </c>
      <c r="MN71" s="574">
        <v>14.49</v>
      </c>
      <c r="MO71" s="574">
        <v>10.33</v>
      </c>
      <c r="MP71" s="574">
        <v>1.54</v>
      </c>
      <c r="MQ71" s="574">
        <v>66.3</v>
      </c>
      <c r="MR71" s="574">
        <v>47.28</v>
      </c>
      <c r="MS71" s="574">
        <v>7.06</v>
      </c>
      <c r="MT71" s="574">
        <v>27.79</v>
      </c>
      <c r="MU71" s="574">
        <v>19.82</v>
      </c>
      <c r="MV71" s="574">
        <v>2.96</v>
      </c>
      <c r="MW71" s="1">
        <v>3895</v>
      </c>
      <c r="MX71" s="1">
        <v>19243</v>
      </c>
      <c r="MY71" s="1">
        <v>19243</v>
      </c>
      <c r="MZ71" s="1">
        <v>6072</v>
      </c>
      <c r="NA71" s="1">
        <v>29998</v>
      </c>
      <c r="NB71" s="1">
        <v>29998</v>
      </c>
      <c r="NC71" s="1">
        <v>30120</v>
      </c>
      <c r="ND71" s="1">
        <v>30120</v>
      </c>
      <c r="NE71">
        <v>0.44</v>
      </c>
      <c r="NF71" s="1">
        <v>6097</v>
      </c>
      <c r="NG71">
        <v>2.93</v>
      </c>
      <c r="NH71">
        <v>1.9830000000000001</v>
      </c>
      <c r="NI71">
        <v>1.98</v>
      </c>
      <c r="NJ71">
        <v>2.46</v>
      </c>
      <c r="NK71">
        <v>1.85</v>
      </c>
      <c r="NL71">
        <v>1.2672000000000001</v>
      </c>
      <c r="NM71">
        <v>0.66049999999999998</v>
      </c>
      <c r="NN71">
        <v>0.54</v>
      </c>
      <c r="NO71">
        <v>0.28000000000000003</v>
      </c>
      <c r="NP71">
        <v>0</v>
      </c>
      <c r="NQ71">
        <v>0</v>
      </c>
      <c r="NR71">
        <v>0.41</v>
      </c>
      <c r="NS71">
        <v>0.08</v>
      </c>
      <c r="NT71">
        <v>0.17</v>
      </c>
      <c r="NU71" s="574">
        <v>13.09</v>
      </c>
      <c r="NV71">
        <v>4.5309999999999997</v>
      </c>
      <c r="NW71">
        <v>0</v>
      </c>
      <c r="NX71">
        <v>3.0000000000000001E-3</v>
      </c>
      <c r="NY71">
        <v>1.7849999999999999</v>
      </c>
      <c r="NZ71">
        <v>5.0000000000000001E-3</v>
      </c>
      <c r="OA71">
        <v>0.1231</v>
      </c>
      <c r="OB71">
        <v>0.6079</v>
      </c>
      <c r="OC71">
        <v>5.2919999999999998</v>
      </c>
      <c r="OD71">
        <v>2.3879999999999999</v>
      </c>
      <c r="OE71">
        <v>0.25950000000000001</v>
      </c>
      <c r="OF71" s="2">
        <v>3335.5889999999999</v>
      </c>
      <c r="OG71">
        <v>9.1069999999999993</v>
      </c>
      <c r="OH71" s="574">
        <v>3.31</v>
      </c>
      <c r="OI71">
        <v>366</v>
      </c>
      <c r="OJ71">
        <v>267</v>
      </c>
      <c r="OK71" s="574">
        <v>18.36</v>
      </c>
      <c r="OL71" s="574">
        <v>1.95</v>
      </c>
      <c r="OM71" s="574">
        <v>1.32</v>
      </c>
      <c r="ON71">
        <v>0.32529999999999998</v>
      </c>
      <c r="OO71">
        <v>6.59E-2</v>
      </c>
      <c r="OP71">
        <v>0.4849</v>
      </c>
      <c r="OQ71" s="574">
        <v>0.92</v>
      </c>
      <c r="OR71" s="574">
        <v>17.399999999999999</v>
      </c>
      <c r="OS71" s="574">
        <v>0.21</v>
      </c>
      <c r="OT71" s="574">
        <v>0.12</v>
      </c>
      <c r="OU71" s="574">
        <v>18.64</v>
      </c>
      <c r="OV71">
        <v>0</v>
      </c>
      <c r="OW71">
        <v>0</v>
      </c>
      <c r="OX71">
        <v>1</v>
      </c>
      <c r="OY71">
        <v>579</v>
      </c>
      <c r="OZ71">
        <v>12.79</v>
      </c>
      <c r="PA71">
        <v>577</v>
      </c>
      <c r="PB71">
        <v>8.1999999999999993</v>
      </c>
      <c r="PC71">
        <v>12.84</v>
      </c>
      <c r="PD71">
        <v>0.64</v>
      </c>
      <c r="PE71">
        <v>370</v>
      </c>
      <c r="PF71">
        <v>2.2799999999999998</v>
      </c>
      <c r="PG71" s="574">
        <v>0.99</v>
      </c>
      <c r="PH71">
        <v>2.29</v>
      </c>
      <c r="PI71">
        <v>15.45</v>
      </c>
      <c r="PJ71">
        <v>3.71</v>
      </c>
      <c r="PK71" s="574">
        <v>9.2899999999999991</v>
      </c>
      <c r="PL71">
        <v>45.12</v>
      </c>
      <c r="PM71" s="4">
        <v>40245</v>
      </c>
      <c r="PN71" s="4">
        <v>30373</v>
      </c>
      <c r="PO71">
        <v>0.16400000000000001</v>
      </c>
      <c r="PP71">
        <v>0.25669999999999998</v>
      </c>
      <c r="PQ71">
        <v>0.16470000000000001</v>
      </c>
      <c r="PR71">
        <v>3.32E-2</v>
      </c>
      <c r="PS71">
        <v>5.1999999999999998E-2</v>
      </c>
      <c r="PT71">
        <v>3.3300000000000003E-2</v>
      </c>
      <c r="PU71" s="3">
        <v>1</v>
      </c>
      <c r="PV71" s="3">
        <v>0.2024</v>
      </c>
      <c r="PW71" s="3">
        <v>0.79759999999999998</v>
      </c>
      <c r="PX71" s="3">
        <v>0.24529999999999999</v>
      </c>
      <c r="PY71" s="3">
        <v>0.75470000000000004</v>
      </c>
      <c r="PZ71" s="3">
        <v>0.10639999999999999</v>
      </c>
      <c r="QA71" s="3">
        <v>1.1000000000000001E-3</v>
      </c>
      <c r="QB71" s="3">
        <v>0.1749</v>
      </c>
      <c r="QC71" s="3">
        <v>3.3599999999999998E-2</v>
      </c>
      <c r="QD71" s="3">
        <v>0.18049999999999999</v>
      </c>
      <c r="QE71" s="3">
        <v>7.17E-2</v>
      </c>
      <c r="QF71" s="3">
        <v>0.53820000000000001</v>
      </c>
      <c r="QG71" s="3">
        <v>0.71309999999999996</v>
      </c>
      <c r="QH71" s="3">
        <v>1.0999999999999999E-2</v>
      </c>
      <c r="QI71" s="3">
        <v>0.93340000000000001</v>
      </c>
      <c r="QJ71" s="3">
        <v>6.3E-3</v>
      </c>
      <c r="QK71" s="3">
        <v>4.9299999999999997E-2</v>
      </c>
      <c r="QL71" s="4">
        <v>9872</v>
      </c>
      <c r="QM71">
        <v>3.69</v>
      </c>
      <c r="QN71" s="1">
        <v>15186</v>
      </c>
      <c r="QO71" s="1">
        <v>15186</v>
      </c>
      <c r="QP71" s="1">
        <v>3074</v>
      </c>
      <c r="QQ71" s="3">
        <v>0.67379999999999995</v>
      </c>
      <c r="QR71" s="3">
        <v>1.01E-2</v>
      </c>
      <c r="QS71" s="3">
        <v>0.31609999999999999</v>
      </c>
      <c r="QT71" s="3">
        <v>0.2024</v>
      </c>
      <c r="QU71">
        <v>0.2</v>
      </c>
      <c r="QV71">
        <v>0.62</v>
      </c>
      <c r="QW71">
        <v>0.15</v>
      </c>
      <c r="QX71">
        <v>100</v>
      </c>
      <c r="QY71">
        <v>1.51</v>
      </c>
      <c r="QZ71">
        <v>3</v>
      </c>
      <c r="RA71">
        <v>1.02</v>
      </c>
      <c r="RB71">
        <v>0.11</v>
      </c>
      <c r="RC71">
        <v>0.11</v>
      </c>
    </row>
    <row r="72" spans="1:471" x14ac:dyDescent="0.25">
      <c r="A72" t="s">
        <v>1236</v>
      </c>
      <c r="B72">
        <v>11692</v>
      </c>
      <c r="C72" t="s">
        <v>1754</v>
      </c>
      <c r="D72" t="s">
        <v>1754</v>
      </c>
      <c r="E72" t="s">
        <v>1754</v>
      </c>
      <c r="F72" t="s">
        <v>1755</v>
      </c>
      <c r="G72" t="s">
        <v>1755</v>
      </c>
      <c r="H72" t="s">
        <v>1237</v>
      </c>
      <c r="I72" t="s">
        <v>342</v>
      </c>
      <c r="J72" t="s">
        <v>994</v>
      </c>
      <c r="K72" t="s">
        <v>344</v>
      </c>
      <c r="L72" t="s">
        <v>345</v>
      </c>
      <c r="M72" t="s">
        <v>346</v>
      </c>
      <c r="N72" t="s">
        <v>347</v>
      </c>
      <c r="O72" s="1">
        <v>133375</v>
      </c>
      <c r="P72" t="s">
        <v>348</v>
      </c>
      <c r="Q72">
        <v>226</v>
      </c>
      <c r="R72">
        <v>46</v>
      </c>
      <c r="S72">
        <v>38</v>
      </c>
      <c r="T72">
        <v>0</v>
      </c>
      <c r="U72">
        <v>541</v>
      </c>
      <c r="V72">
        <v>-1</v>
      </c>
      <c r="W72" s="1">
        <v>11253</v>
      </c>
      <c r="X72" s="1">
        <v>2140</v>
      </c>
      <c r="AC72" t="s">
        <v>1238</v>
      </c>
      <c r="AD72" t="s">
        <v>1239</v>
      </c>
      <c r="AE72">
        <v>28359</v>
      </c>
      <c r="AF72">
        <v>988</v>
      </c>
      <c r="AG72" t="s">
        <v>1240</v>
      </c>
      <c r="AH72" t="s">
        <v>1239</v>
      </c>
      <c r="AI72">
        <v>28358</v>
      </c>
      <c r="AJ72">
        <v>1</v>
      </c>
      <c r="AK72" t="s">
        <v>1241</v>
      </c>
      <c r="AM72" t="s">
        <v>0</v>
      </c>
      <c r="AN72" t="s">
        <v>1242</v>
      </c>
      <c r="AO72" t="s">
        <v>1243</v>
      </c>
      <c r="AP72">
        <v>9107384859</v>
      </c>
      <c r="AQ72" t="s">
        <v>1245</v>
      </c>
      <c r="AR72" t="s">
        <v>1246</v>
      </c>
      <c r="AS72" t="s">
        <v>1243</v>
      </c>
      <c r="AT72" t="s">
        <v>376</v>
      </c>
      <c r="AU72" t="s">
        <v>1244</v>
      </c>
      <c r="AV72" t="s">
        <v>1245</v>
      </c>
      <c r="AW72" t="s">
        <v>1246</v>
      </c>
      <c r="AX72" t="s">
        <v>1247</v>
      </c>
      <c r="AY72">
        <v>0</v>
      </c>
      <c r="AZ72">
        <v>0</v>
      </c>
      <c r="BA72">
        <v>0</v>
      </c>
      <c r="BB72" s="573">
        <v>42186</v>
      </c>
      <c r="BC72" s="573">
        <v>42551</v>
      </c>
      <c r="BD72">
        <v>1</v>
      </c>
      <c r="BE72">
        <v>6</v>
      </c>
      <c r="BF72">
        <v>1</v>
      </c>
      <c r="BG72">
        <v>1</v>
      </c>
      <c r="BH72">
        <v>9</v>
      </c>
      <c r="BJ72" s="1">
        <v>13216</v>
      </c>
      <c r="BK72">
        <v>4</v>
      </c>
      <c r="BL72">
        <v>0</v>
      </c>
      <c r="BM72">
        <v>4</v>
      </c>
      <c r="BN72">
        <v>14</v>
      </c>
      <c r="BO72">
        <v>18</v>
      </c>
      <c r="BP72" s="3">
        <v>0.22220000000000001</v>
      </c>
      <c r="BQ72">
        <v>0</v>
      </c>
      <c r="BR72" s="4">
        <v>63623</v>
      </c>
      <c r="DW72" s="4">
        <v>322327</v>
      </c>
      <c r="DX72" s="4">
        <v>540000</v>
      </c>
      <c r="DY72" s="4">
        <v>862327</v>
      </c>
      <c r="DZ72" s="4">
        <v>215012</v>
      </c>
      <c r="EA72" s="4">
        <v>0</v>
      </c>
      <c r="EB72" s="4">
        <v>215012</v>
      </c>
      <c r="EC72" s="4">
        <v>45818</v>
      </c>
      <c r="ED72" s="4">
        <v>5382</v>
      </c>
      <c r="EE72" s="4">
        <v>51200</v>
      </c>
      <c r="EF72" s="4">
        <v>134579</v>
      </c>
      <c r="EG72" s="4">
        <v>1263118</v>
      </c>
      <c r="EH72" s="4">
        <v>584836</v>
      </c>
      <c r="EI72" s="4">
        <v>219494</v>
      </c>
      <c r="EJ72" s="4">
        <v>804330</v>
      </c>
      <c r="EK72" s="4">
        <v>117211</v>
      </c>
      <c r="EL72" s="4">
        <v>2305</v>
      </c>
      <c r="EM72" s="4">
        <v>12491</v>
      </c>
      <c r="EN72" s="4">
        <v>132007</v>
      </c>
      <c r="EO72" s="4">
        <v>259313</v>
      </c>
      <c r="EP72" s="4">
        <v>1195650</v>
      </c>
      <c r="EQ72" s="4">
        <v>67468</v>
      </c>
      <c r="ER72" s="3">
        <v>5.3400000000000003E-2</v>
      </c>
      <c r="ES72" s="4">
        <v>5727</v>
      </c>
      <c r="ET72" s="4">
        <v>0</v>
      </c>
      <c r="EU72" s="4">
        <v>0</v>
      </c>
      <c r="EV72" s="4">
        <v>0</v>
      </c>
      <c r="EW72" s="4">
        <v>5727</v>
      </c>
      <c r="EX72" s="4">
        <v>0</v>
      </c>
      <c r="EY72" s="1">
        <v>7355</v>
      </c>
      <c r="EZ72" s="1">
        <v>160925</v>
      </c>
      <c r="FA72" s="1">
        <v>46994</v>
      </c>
      <c r="FB72" s="1">
        <v>4682</v>
      </c>
      <c r="FC72" s="1">
        <v>21985</v>
      </c>
      <c r="FD72" s="1">
        <v>40930</v>
      </c>
      <c r="FE72">
        <v>225</v>
      </c>
      <c r="FF72" s="1">
        <v>11896</v>
      </c>
      <c r="FG72" s="1">
        <v>87924</v>
      </c>
      <c r="FH72" s="1">
        <v>4907</v>
      </c>
      <c r="FI72" s="1">
        <v>33881</v>
      </c>
      <c r="FJ72" s="1">
        <v>126712</v>
      </c>
      <c r="FK72">
        <v>0</v>
      </c>
      <c r="FL72">
        <v>58</v>
      </c>
      <c r="FN72" s="1">
        <v>126712</v>
      </c>
      <c r="FO72">
        <v>505</v>
      </c>
      <c r="FP72" s="1">
        <v>4828</v>
      </c>
      <c r="FQ72">
        <v>0</v>
      </c>
      <c r="FR72">
        <v>1</v>
      </c>
      <c r="FS72">
        <v>74</v>
      </c>
      <c r="FT72">
        <v>75</v>
      </c>
      <c r="FU72" s="1">
        <v>26725</v>
      </c>
      <c r="FV72" s="1">
        <v>2022</v>
      </c>
      <c r="FW72">
        <v>0</v>
      </c>
      <c r="GK72">
        <v>0</v>
      </c>
      <c r="GL72">
        <v>0</v>
      </c>
      <c r="GM72">
        <v>0</v>
      </c>
      <c r="GN72">
        <v>0</v>
      </c>
      <c r="GO72" s="1">
        <v>26725</v>
      </c>
      <c r="GP72" s="1">
        <v>2022</v>
      </c>
      <c r="GQ72">
        <v>0</v>
      </c>
      <c r="GR72">
        <v>0</v>
      </c>
      <c r="GS72">
        <v>8</v>
      </c>
      <c r="GU72" s="1">
        <v>44461</v>
      </c>
      <c r="GV72" s="1">
        <v>6225</v>
      </c>
      <c r="GW72" s="1">
        <v>44894</v>
      </c>
      <c r="GX72" s="1">
        <v>11922</v>
      </c>
      <c r="GY72">
        <v>162</v>
      </c>
      <c r="GZ72" s="1">
        <v>5837</v>
      </c>
      <c r="HA72" s="1">
        <v>56383</v>
      </c>
      <c r="HB72" s="1">
        <v>6387</v>
      </c>
      <c r="HC72" s="1">
        <v>50731</v>
      </c>
      <c r="HD72" s="1">
        <v>113501</v>
      </c>
      <c r="HE72">
        <v>0</v>
      </c>
      <c r="HF72" s="1">
        <v>113501</v>
      </c>
      <c r="HG72">
        <v>987</v>
      </c>
      <c r="HH72" s="1">
        <v>21200</v>
      </c>
      <c r="HI72">
        <v>0</v>
      </c>
      <c r="HJ72">
        <v>0</v>
      </c>
      <c r="HK72" s="1">
        <v>22187</v>
      </c>
      <c r="HL72" s="1">
        <v>135688</v>
      </c>
      <c r="HM72">
        <v>37</v>
      </c>
      <c r="HN72">
        <v>0</v>
      </c>
      <c r="HO72">
        <v>37</v>
      </c>
      <c r="HP72">
        <v>171</v>
      </c>
      <c r="HQ72">
        <v>0</v>
      </c>
      <c r="HR72">
        <v>171</v>
      </c>
      <c r="HS72">
        <v>0</v>
      </c>
      <c r="HT72">
        <v>0</v>
      </c>
      <c r="HU72">
        <v>0</v>
      </c>
      <c r="HV72">
        <v>0</v>
      </c>
      <c r="HW72">
        <v>208</v>
      </c>
      <c r="HX72">
        <v>677</v>
      </c>
      <c r="HY72">
        <v>0</v>
      </c>
      <c r="HZ72">
        <v>677</v>
      </c>
      <c r="IA72">
        <v>885</v>
      </c>
      <c r="IB72" s="1">
        <v>1158</v>
      </c>
      <c r="IC72" s="1">
        <v>22358</v>
      </c>
      <c r="ID72" s="1">
        <v>135896</v>
      </c>
      <c r="IE72" s="1">
        <v>135896</v>
      </c>
      <c r="IF72" s="1">
        <v>136573</v>
      </c>
      <c r="IG72" s="1">
        <v>61811</v>
      </c>
      <c r="IH72">
        <v>250</v>
      </c>
      <c r="IK72">
        <v>1</v>
      </c>
      <c r="IL72" s="3">
        <v>0.03</v>
      </c>
      <c r="IM72" s="3">
        <v>4.0000000000000002E-4</v>
      </c>
      <c r="IN72" s="3">
        <v>0.17860000000000001</v>
      </c>
      <c r="IO72" s="3">
        <v>0</v>
      </c>
      <c r="IP72" s="3">
        <v>0.1661</v>
      </c>
      <c r="IQ72" s="3">
        <v>5.0000000000000001E-4</v>
      </c>
      <c r="IR72" s="3">
        <v>0.78739999999999999</v>
      </c>
      <c r="IS72" s="3">
        <v>1.5699999999999999E-2</v>
      </c>
      <c r="IT72" s="3">
        <v>0.45479999999999998</v>
      </c>
      <c r="IU72" s="1">
        <v>16388</v>
      </c>
      <c r="IV72" s="1">
        <v>4976</v>
      </c>
      <c r="IW72" s="1">
        <v>21364</v>
      </c>
      <c r="IX72" s="3">
        <v>0.16020000000000001</v>
      </c>
      <c r="IY72" s="1">
        <v>183986</v>
      </c>
      <c r="JA72">
        <v>97</v>
      </c>
      <c r="JB72">
        <v>21</v>
      </c>
      <c r="JC72">
        <v>232</v>
      </c>
      <c r="JD72">
        <v>0</v>
      </c>
      <c r="JE72">
        <v>1</v>
      </c>
      <c r="JF72">
        <v>68</v>
      </c>
      <c r="JG72">
        <v>97</v>
      </c>
      <c r="JH72">
        <v>22</v>
      </c>
      <c r="JI72">
        <v>300</v>
      </c>
      <c r="JJ72">
        <v>419</v>
      </c>
      <c r="JK72">
        <v>350</v>
      </c>
      <c r="JL72">
        <v>69</v>
      </c>
      <c r="JM72" s="1">
        <v>1053</v>
      </c>
      <c r="JN72">
        <v>46</v>
      </c>
      <c r="JO72" s="1">
        <v>4393</v>
      </c>
      <c r="JP72">
        <v>0</v>
      </c>
      <c r="JQ72">
        <v>65</v>
      </c>
      <c r="JR72" s="1">
        <v>8633</v>
      </c>
      <c r="JS72" s="1">
        <v>1053</v>
      </c>
      <c r="JT72">
        <v>111</v>
      </c>
      <c r="JU72" s="1">
        <v>13026</v>
      </c>
      <c r="JV72" s="1">
        <v>14190</v>
      </c>
      <c r="JW72" s="1">
        <v>5492</v>
      </c>
      <c r="JX72" s="1">
        <v>8698</v>
      </c>
      <c r="JY72">
        <v>33.869999999999997</v>
      </c>
      <c r="JZ72">
        <v>10.86</v>
      </c>
      <c r="KA72">
        <v>43.42</v>
      </c>
      <c r="KB72">
        <v>7.0000000000000007E-2</v>
      </c>
      <c r="KC72">
        <v>0.92</v>
      </c>
      <c r="KD72">
        <v>4</v>
      </c>
      <c r="KE72">
        <v>3</v>
      </c>
      <c r="KF72">
        <v>30</v>
      </c>
      <c r="KG72">
        <v>169</v>
      </c>
      <c r="KN72" s="1">
        <v>29315</v>
      </c>
      <c r="KO72" s="1">
        <v>39379</v>
      </c>
      <c r="KP72" s="1">
        <v>11568</v>
      </c>
      <c r="KR72">
        <v>130</v>
      </c>
      <c r="KS72" s="1">
        <v>4079</v>
      </c>
      <c r="KT72">
        <v>36</v>
      </c>
      <c r="KU72">
        <v>241</v>
      </c>
      <c r="KV72">
        <v>19</v>
      </c>
      <c r="KW72">
        <v>53</v>
      </c>
      <c r="KX72" s="1">
        <v>53048</v>
      </c>
      <c r="KZ72" s="1">
        <v>1751</v>
      </c>
      <c r="LD72" t="s">
        <v>1241</v>
      </c>
      <c r="LE72" t="s">
        <v>469</v>
      </c>
      <c r="LF72" t="s">
        <v>1238</v>
      </c>
      <c r="LG72" t="s">
        <v>1239</v>
      </c>
      <c r="LH72">
        <v>28359</v>
      </c>
      <c r="LI72">
        <v>988</v>
      </c>
      <c r="LJ72" t="s">
        <v>1240</v>
      </c>
      <c r="LK72" t="s">
        <v>1239</v>
      </c>
      <c r="LL72">
        <v>28358</v>
      </c>
      <c r="LM72">
        <v>1111</v>
      </c>
      <c r="LN72" t="s">
        <v>1242</v>
      </c>
      <c r="LO72">
        <v>9107384859</v>
      </c>
      <c r="LP72">
        <v>9107398321</v>
      </c>
      <c r="LQ72" s="1">
        <v>38108</v>
      </c>
      <c r="LR72">
        <v>19.14</v>
      </c>
      <c r="LT72" s="1">
        <v>13216</v>
      </c>
      <c r="LU72">
        <v>412</v>
      </c>
      <c r="LX72">
        <v>2</v>
      </c>
      <c r="LY72" t="s">
        <v>1248</v>
      </c>
      <c r="LZ72">
        <v>0</v>
      </c>
      <c r="MA72" t="s">
        <v>363</v>
      </c>
      <c r="MB72">
        <v>35</v>
      </c>
      <c r="MC72">
        <v>5</v>
      </c>
      <c r="ME72" s="574">
        <v>8.8000000000000007</v>
      </c>
      <c r="MF72" s="574">
        <v>5.92</v>
      </c>
      <c r="MG72" s="574">
        <v>0.97</v>
      </c>
      <c r="MH72" s="574">
        <v>55.97</v>
      </c>
      <c r="MI72" s="574">
        <v>37.65</v>
      </c>
      <c r="MJ72" s="574">
        <v>6.18</v>
      </c>
      <c r="MK72" s="574">
        <v>6.5</v>
      </c>
      <c r="ML72" s="574">
        <v>4.37</v>
      </c>
      <c r="MM72" s="574">
        <v>0.72</v>
      </c>
      <c r="MN72" s="574">
        <v>40.79</v>
      </c>
      <c r="MO72" s="574">
        <v>27.44</v>
      </c>
      <c r="MP72" s="574">
        <v>4.5</v>
      </c>
      <c r="MQ72" s="574">
        <v>84.26</v>
      </c>
      <c r="MR72" s="574">
        <v>56.68</v>
      </c>
      <c r="MS72" s="574">
        <v>9.3000000000000007</v>
      </c>
      <c r="MT72" s="574">
        <v>19.34</v>
      </c>
      <c r="MU72" s="574">
        <v>13.01</v>
      </c>
      <c r="MV72" s="574">
        <v>2.14</v>
      </c>
      <c r="MW72" s="1">
        <v>1629</v>
      </c>
      <c r="MX72" s="1">
        <v>7329</v>
      </c>
      <c r="MY72" s="1">
        <v>7329</v>
      </c>
      <c r="MZ72" s="1">
        <v>10221</v>
      </c>
      <c r="NA72" s="1">
        <v>45997</v>
      </c>
      <c r="NB72" s="1">
        <v>45997</v>
      </c>
      <c r="NC72" s="1">
        <v>33974</v>
      </c>
      <c r="ND72" s="1">
        <v>33974</v>
      </c>
      <c r="NE72">
        <v>0.84</v>
      </c>
      <c r="NF72" s="1">
        <v>7550</v>
      </c>
      <c r="NG72">
        <v>3.63</v>
      </c>
      <c r="NH72">
        <v>1.0189999999999999</v>
      </c>
      <c r="NI72">
        <v>1.38</v>
      </c>
      <c r="NJ72">
        <v>1.69</v>
      </c>
      <c r="NK72">
        <v>11.28</v>
      </c>
      <c r="NL72">
        <v>0.2198</v>
      </c>
      <c r="NM72">
        <v>0.46339999999999998</v>
      </c>
      <c r="NN72">
        <v>0.16</v>
      </c>
      <c r="NO72">
        <v>0.11</v>
      </c>
      <c r="NP72">
        <v>0</v>
      </c>
      <c r="NQ72">
        <v>0</v>
      </c>
      <c r="NR72">
        <v>0.4</v>
      </c>
      <c r="NS72">
        <v>0.01</v>
      </c>
      <c r="NT72">
        <v>0.1</v>
      </c>
      <c r="NU72" s="574">
        <v>6.03</v>
      </c>
      <c r="NV72">
        <v>1.2070000000000001</v>
      </c>
      <c r="NW72">
        <v>0</v>
      </c>
      <c r="NX72">
        <v>0</v>
      </c>
      <c r="NY72">
        <v>0.2</v>
      </c>
      <c r="NZ72">
        <v>1E-3</v>
      </c>
      <c r="OA72">
        <v>0.18720000000000001</v>
      </c>
      <c r="OB72">
        <v>0.84250000000000003</v>
      </c>
      <c r="OC72">
        <v>2.7149999999999999</v>
      </c>
      <c r="OD72">
        <v>0.95</v>
      </c>
      <c r="OE72">
        <v>0.105</v>
      </c>
      <c r="OF72" s="2">
        <v>1250.9359999999999</v>
      </c>
      <c r="OG72">
        <v>3.5110000000000001</v>
      </c>
      <c r="OH72" s="574">
        <v>1.94</v>
      </c>
      <c r="OI72">
        <v>118</v>
      </c>
      <c r="OJ72">
        <v>226</v>
      </c>
      <c r="OK72" s="574">
        <v>8.9600000000000009</v>
      </c>
      <c r="OL72" s="574">
        <v>0.99</v>
      </c>
      <c r="OM72" s="574">
        <v>0.88</v>
      </c>
      <c r="ON72">
        <v>0.13500000000000001</v>
      </c>
      <c r="OO72">
        <v>0.03</v>
      </c>
      <c r="OP72">
        <v>0.65529999999999999</v>
      </c>
      <c r="OQ72" s="574">
        <v>1.61</v>
      </c>
      <c r="OR72" s="574">
        <v>6.47</v>
      </c>
      <c r="OS72" s="574">
        <v>0.38</v>
      </c>
      <c r="OT72" s="574">
        <v>1.01</v>
      </c>
      <c r="OU72" s="574">
        <v>9.4700000000000006</v>
      </c>
      <c r="OV72">
        <v>1</v>
      </c>
      <c r="OW72">
        <v>5</v>
      </c>
      <c r="OX72">
        <v>0.74</v>
      </c>
      <c r="OY72" s="1">
        <v>2613</v>
      </c>
      <c r="OZ72">
        <v>13.92</v>
      </c>
      <c r="PA72" s="1">
        <v>3538</v>
      </c>
      <c r="PB72">
        <v>2.2200000000000002</v>
      </c>
      <c r="PC72">
        <v>10.28</v>
      </c>
      <c r="PD72">
        <v>0.16</v>
      </c>
      <c r="PE72">
        <v>564</v>
      </c>
      <c r="PF72">
        <v>1.18</v>
      </c>
      <c r="PG72" s="574">
        <v>0.72</v>
      </c>
      <c r="PH72">
        <v>0.87</v>
      </c>
      <c r="PI72">
        <v>9.91</v>
      </c>
      <c r="PJ72">
        <v>6.36</v>
      </c>
      <c r="PK72" s="574">
        <v>6.5</v>
      </c>
      <c r="PL72">
        <v>28.24</v>
      </c>
      <c r="PM72" s="4">
        <v>44685</v>
      </c>
      <c r="PN72" s="4">
        <v>32491</v>
      </c>
      <c r="PO72">
        <v>0.13250000000000001</v>
      </c>
      <c r="PP72">
        <v>0.61399999999999999</v>
      </c>
      <c r="PQ72">
        <v>9.7799999999999998E-2</v>
      </c>
      <c r="PR72">
        <v>2.9399999999999999E-2</v>
      </c>
      <c r="PS72">
        <v>0.13650000000000001</v>
      </c>
      <c r="PT72">
        <v>2.1700000000000001E-2</v>
      </c>
      <c r="PU72" s="3">
        <v>1</v>
      </c>
      <c r="PV72" s="3">
        <v>0.22220000000000001</v>
      </c>
      <c r="PW72" s="3">
        <v>0.77780000000000005</v>
      </c>
      <c r="PX72" s="3">
        <v>0.27289999999999998</v>
      </c>
      <c r="PY72" s="3">
        <v>0.72709999999999997</v>
      </c>
      <c r="PZ72" s="3">
        <v>0.1104</v>
      </c>
      <c r="QA72" s="3">
        <v>1.9E-3</v>
      </c>
      <c r="QB72" s="3">
        <v>0.18360000000000001</v>
      </c>
      <c r="QC72" s="3">
        <v>1.04E-2</v>
      </c>
      <c r="QD72" s="3">
        <v>0.21690000000000001</v>
      </c>
      <c r="QE72" s="3">
        <v>9.8000000000000004E-2</v>
      </c>
      <c r="QF72" s="3">
        <v>0.48909999999999998</v>
      </c>
      <c r="QG72" s="3">
        <v>0.67269999999999996</v>
      </c>
      <c r="QH72" s="3">
        <v>4.0500000000000001E-2</v>
      </c>
      <c r="QI72" s="3">
        <v>0.68269999999999997</v>
      </c>
      <c r="QJ72" s="3">
        <v>0.1065</v>
      </c>
      <c r="QK72" s="3">
        <v>0.17019999999999999</v>
      </c>
      <c r="QL72" s="4">
        <v>12194</v>
      </c>
      <c r="QM72">
        <v>8.61</v>
      </c>
      <c r="QN72" s="1">
        <v>33344</v>
      </c>
      <c r="QO72" s="1">
        <v>33344</v>
      </c>
      <c r="QP72" s="1">
        <v>7410</v>
      </c>
      <c r="QQ72" s="3">
        <v>0.88790000000000002</v>
      </c>
      <c r="QR72" s="3">
        <v>1.7500000000000002E-2</v>
      </c>
      <c r="QS72" s="3">
        <v>9.4600000000000004E-2</v>
      </c>
      <c r="QT72" s="3">
        <v>0.22220000000000001</v>
      </c>
      <c r="QU72">
        <v>0.23</v>
      </c>
      <c r="QV72">
        <v>0.62</v>
      </c>
      <c r="QW72">
        <v>0.17</v>
      </c>
      <c r="QX72">
        <v>59</v>
      </c>
      <c r="QY72">
        <v>1.1599999999999999</v>
      </c>
      <c r="QZ72">
        <v>11</v>
      </c>
      <c r="RA72">
        <v>1.03</v>
      </c>
      <c r="RB72">
        <v>0.11</v>
      </c>
      <c r="RC72">
        <v>0.11</v>
      </c>
    </row>
    <row r="73" spans="1:471" x14ac:dyDescent="0.25">
      <c r="A73" t="s">
        <v>1249</v>
      </c>
      <c r="B73">
        <v>11693</v>
      </c>
      <c r="C73" t="s">
        <v>1754</v>
      </c>
      <c r="D73" t="s">
        <v>1754</v>
      </c>
      <c r="E73" t="s">
        <v>1754</v>
      </c>
      <c r="F73" t="s">
        <v>1755</v>
      </c>
      <c r="G73" t="s">
        <v>1755</v>
      </c>
      <c r="H73" t="s">
        <v>1250</v>
      </c>
      <c r="I73" t="s">
        <v>342</v>
      </c>
      <c r="J73" t="s">
        <v>343</v>
      </c>
      <c r="K73" t="s">
        <v>395</v>
      </c>
      <c r="L73" t="s">
        <v>345</v>
      </c>
      <c r="M73" t="s">
        <v>346</v>
      </c>
      <c r="N73" t="s">
        <v>347</v>
      </c>
      <c r="O73" s="1">
        <v>92084</v>
      </c>
      <c r="P73" t="s">
        <v>472</v>
      </c>
      <c r="Q73">
        <v>792</v>
      </c>
      <c r="R73">
        <v>26</v>
      </c>
      <c r="S73">
        <v>121</v>
      </c>
      <c r="T73">
        <v>11</v>
      </c>
      <c r="U73" s="1">
        <v>3318</v>
      </c>
      <c r="V73">
        <v>74</v>
      </c>
      <c r="W73" s="1">
        <v>23064</v>
      </c>
      <c r="X73" s="1">
        <v>4648</v>
      </c>
      <c r="Y73" s="1">
        <v>94538</v>
      </c>
      <c r="AC73" t="s">
        <v>1251</v>
      </c>
      <c r="AD73" t="s">
        <v>1252</v>
      </c>
      <c r="AE73">
        <v>27288</v>
      </c>
      <c r="AF73">
        <v>4997</v>
      </c>
      <c r="AG73" t="s">
        <v>1251</v>
      </c>
      <c r="AH73" t="s">
        <v>1252</v>
      </c>
      <c r="AI73">
        <v>27288</v>
      </c>
      <c r="AJ73">
        <v>2</v>
      </c>
      <c r="AK73" t="s">
        <v>1253</v>
      </c>
      <c r="AM73" t="s">
        <v>0</v>
      </c>
      <c r="AN73" t="s">
        <v>1254</v>
      </c>
      <c r="AO73" t="s">
        <v>1255</v>
      </c>
      <c r="AP73">
        <v>3366271106</v>
      </c>
      <c r="AQ73" t="s">
        <v>1257</v>
      </c>
      <c r="AR73" t="s">
        <v>1935</v>
      </c>
      <c r="AS73" t="s">
        <v>1258</v>
      </c>
      <c r="AT73" t="s">
        <v>1259</v>
      </c>
      <c r="AU73" t="s">
        <v>1256</v>
      </c>
      <c r="AV73" t="s">
        <v>1257</v>
      </c>
      <c r="AW73" t="s">
        <v>1260</v>
      </c>
      <c r="AX73" t="s">
        <v>1261</v>
      </c>
      <c r="AY73">
        <v>0</v>
      </c>
      <c r="AZ73">
        <v>0</v>
      </c>
      <c r="BA73">
        <v>0</v>
      </c>
      <c r="BB73" s="573">
        <v>42186</v>
      </c>
      <c r="BC73" s="573">
        <v>42551</v>
      </c>
      <c r="BD73">
        <v>0</v>
      </c>
      <c r="BE73">
        <v>4</v>
      </c>
      <c r="BF73">
        <v>1</v>
      </c>
      <c r="BG73">
        <v>1</v>
      </c>
      <c r="BH73">
        <v>6</v>
      </c>
      <c r="BJ73" s="1">
        <v>12324</v>
      </c>
      <c r="BK73">
        <v>8</v>
      </c>
      <c r="BL73">
        <v>0</v>
      </c>
      <c r="BM73">
        <v>8</v>
      </c>
      <c r="BN73">
        <v>21.24</v>
      </c>
      <c r="BO73">
        <v>29.24</v>
      </c>
      <c r="BP73" s="3">
        <v>0.27360000000000001</v>
      </c>
      <c r="BQ73">
        <v>0</v>
      </c>
      <c r="BR73" s="4">
        <v>63065</v>
      </c>
      <c r="DW73" s="4">
        <v>2600</v>
      </c>
      <c r="DX73" s="4">
        <v>1513332</v>
      </c>
      <c r="DY73" s="4">
        <v>1515932</v>
      </c>
      <c r="DZ73" s="4">
        <v>139876</v>
      </c>
      <c r="EA73" s="4">
        <v>0</v>
      </c>
      <c r="EB73" s="4">
        <v>139876</v>
      </c>
      <c r="EC73" s="4">
        <v>7645</v>
      </c>
      <c r="ED73" s="4">
        <v>0</v>
      </c>
      <c r="EE73" s="4">
        <v>7645</v>
      </c>
      <c r="EF73" s="4">
        <v>147849</v>
      </c>
      <c r="EG73" s="4">
        <v>1811302</v>
      </c>
      <c r="EH73" s="4">
        <v>949625</v>
      </c>
      <c r="EI73" s="4">
        <v>336199</v>
      </c>
      <c r="EJ73" s="4">
        <v>1285824</v>
      </c>
      <c r="EK73" s="4">
        <v>178296</v>
      </c>
      <c r="EL73" s="4">
        <v>20833</v>
      </c>
      <c r="EM73" s="4">
        <v>10544</v>
      </c>
      <c r="EN73" s="4">
        <v>209673</v>
      </c>
      <c r="EO73" s="4">
        <v>315805</v>
      </c>
      <c r="EP73" s="4">
        <v>1811302</v>
      </c>
      <c r="EQ73" s="4">
        <v>0</v>
      </c>
      <c r="ER73" s="3">
        <v>0</v>
      </c>
      <c r="ES73" s="4">
        <v>56555</v>
      </c>
      <c r="ET73" s="4">
        <v>0</v>
      </c>
      <c r="EU73" s="4">
        <v>3752</v>
      </c>
      <c r="EV73" s="4">
        <v>0</v>
      </c>
      <c r="EW73" s="4">
        <v>60307</v>
      </c>
      <c r="EX73" s="4">
        <v>60307</v>
      </c>
      <c r="EY73" s="1">
        <v>22162</v>
      </c>
      <c r="EZ73" s="1">
        <v>306355</v>
      </c>
      <c r="FA73" s="1">
        <v>88191</v>
      </c>
      <c r="FB73" s="1">
        <v>8182</v>
      </c>
      <c r="FC73" s="1">
        <v>42154</v>
      </c>
      <c r="FD73" s="1">
        <v>84912</v>
      </c>
      <c r="FE73">
        <v>466</v>
      </c>
      <c r="FF73" s="1">
        <v>26378</v>
      </c>
      <c r="FG73" s="1">
        <v>173103</v>
      </c>
      <c r="FH73" s="1">
        <v>8648</v>
      </c>
      <c r="FI73" s="1">
        <v>68532</v>
      </c>
      <c r="FJ73" s="1">
        <v>250283</v>
      </c>
      <c r="FK73" s="1">
        <v>5528</v>
      </c>
      <c r="FL73">
        <v>199</v>
      </c>
      <c r="FN73" s="1">
        <v>250283</v>
      </c>
      <c r="FO73" s="1">
        <v>8070</v>
      </c>
      <c r="FP73" s="1">
        <v>12070</v>
      </c>
      <c r="FQ73">
        <v>641</v>
      </c>
      <c r="FR73">
        <v>3</v>
      </c>
      <c r="FS73">
        <v>74</v>
      </c>
      <c r="FT73">
        <v>77</v>
      </c>
      <c r="FU73" s="1">
        <v>26725</v>
      </c>
      <c r="FV73" s="1">
        <v>2022</v>
      </c>
      <c r="FW73">
        <v>0</v>
      </c>
      <c r="GK73">
        <v>705</v>
      </c>
      <c r="GL73">
        <v>0</v>
      </c>
      <c r="GM73">
        <v>0</v>
      </c>
      <c r="GN73">
        <v>35</v>
      </c>
      <c r="GO73" s="1">
        <v>27430</v>
      </c>
      <c r="GP73" s="1">
        <v>2022</v>
      </c>
      <c r="GQ73">
        <v>0</v>
      </c>
      <c r="GR73">
        <v>35</v>
      </c>
      <c r="GS73">
        <v>2</v>
      </c>
      <c r="GU73" s="1">
        <v>143957</v>
      </c>
      <c r="GV73" s="1">
        <v>13056</v>
      </c>
      <c r="GW73" s="1">
        <v>60861</v>
      </c>
      <c r="GX73" s="1">
        <v>27805</v>
      </c>
      <c r="GY73">
        <v>596</v>
      </c>
      <c r="GZ73" s="1">
        <v>15248</v>
      </c>
      <c r="HA73" s="1">
        <v>171762</v>
      </c>
      <c r="HB73" s="1">
        <v>13652</v>
      </c>
      <c r="HC73" s="1">
        <v>76109</v>
      </c>
      <c r="HD73" s="1">
        <v>261523</v>
      </c>
      <c r="HE73" s="1">
        <v>4216</v>
      </c>
      <c r="HF73" s="1">
        <v>268284</v>
      </c>
      <c r="HG73" s="1">
        <v>11840</v>
      </c>
      <c r="HH73" s="1">
        <v>62274</v>
      </c>
      <c r="HI73" s="1">
        <v>2545</v>
      </c>
      <c r="HJ73">
        <v>198</v>
      </c>
      <c r="HK73" s="1">
        <v>74312</v>
      </c>
      <c r="HL73" s="1">
        <v>342596</v>
      </c>
      <c r="HM73">
        <v>63</v>
      </c>
      <c r="HN73" s="1">
        <v>2356</v>
      </c>
      <c r="HO73" s="1">
        <v>2419</v>
      </c>
      <c r="HP73">
        <v>73</v>
      </c>
      <c r="HQ73">
        <v>0</v>
      </c>
      <c r="HR73">
        <v>73</v>
      </c>
      <c r="HS73">
        <v>0</v>
      </c>
      <c r="HT73">
        <v>0</v>
      </c>
      <c r="HU73">
        <v>0</v>
      </c>
      <c r="HV73">
        <v>529</v>
      </c>
      <c r="HW73" s="1">
        <v>3021</v>
      </c>
      <c r="HX73" s="1">
        <v>4601</v>
      </c>
      <c r="HY73" s="1">
        <v>50906</v>
      </c>
      <c r="HZ73" s="1">
        <v>55507</v>
      </c>
      <c r="IA73" s="1">
        <v>58528</v>
      </c>
      <c r="IB73" s="1">
        <v>11913</v>
      </c>
      <c r="IC73" s="1">
        <v>74187</v>
      </c>
      <c r="ID73" s="1">
        <v>345617</v>
      </c>
      <c r="IE73" s="1">
        <v>345617</v>
      </c>
      <c r="IF73" s="1">
        <v>401124</v>
      </c>
      <c r="IG73" s="1">
        <v>89761</v>
      </c>
      <c r="IH73" s="1">
        <v>1784</v>
      </c>
      <c r="IK73">
        <v>1</v>
      </c>
      <c r="IL73" s="3">
        <v>3.9399999999999998E-2</v>
      </c>
      <c r="IM73" s="3">
        <v>5.9999999999999995E-4</v>
      </c>
      <c r="IN73" s="3">
        <v>9.6299999999999997E-2</v>
      </c>
      <c r="IO73" s="3">
        <v>0</v>
      </c>
      <c r="IP73" s="3">
        <v>8.9499999999999996E-2</v>
      </c>
      <c r="IQ73" s="3">
        <v>2.9999999999999997E-4</v>
      </c>
      <c r="IR73" s="3">
        <v>0.81699999999999995</v>
      </c>
      <c r="IS73" s="3">
        <v>3.2899999999999999E-2</v>
      </c>
      <c r="IT73" s="3">
        <v>0.25969999999999999</v>
      </c>
      <c r="IU73" s="1">
        <v>37422</v>
      </c>
      <c r="IV73" s="1">
        <v>9886</v>
      </c>
      <c r="IW73" s="1">
        <v>47308</v>
      </c>
      <c r="IX73" s="3">
        <v>0.51370000000000005</v>
      </c>
      <c r="IY73" s="1">
        <v>436519</v>
      </c>
      <c r="JA73">
        <v>299</v>
      </c>
      <c r="JB73">
        <v>123</v>
      </c>
      <c r="JC73">
        <v>502</v>
      </c>
      <c r="JD73">
        <v>48</v>
      </c>
      <c r="JE73">
        <v>0</v>
      </c>
      <c r="JF73">
        <v>43</v>
      </c>
      <c r="JG73">
        <v>347</v>
      </c>
      <c r="JH73">
        <v>123</v>
      </c>
      <c r="JI73">
        <v>545</v>
      </c>
      <c r="JJ73" s="1">
        <v>1015</v>
      </c>
      <c r="JK73">
        <v>924</v>
      </c>
      <c r="JL73">
        <v>91</v>
      </c>
      <c r="JM73" s="1">
        <v>3414</v>
      </c>
      <c r="JN73">
        <v>948</v>
      </c>
      <c r="JO73" s="1">
        <v>9445</v>
      </c>
      <c r="JP73" s="1">
        <v>1145</v>
      </c>
      <c r="JQ73">
        <v>0</v>
      </c>
      <c r="JR73" s="1">
        <v>1085</v>
      </c>
      <c r="JS73" s="1">
        <v>4559</v>
      </c>
      <c r="JT73">
        <v>948</v>
      </c>
      <c r="JU73" s="1">
        <v>10530</v>
      </c>
      <c r="JV73" s="1">
        <v>16037</v>
      </c>
      <c r="JW73" s="1">
        <v>13807</v>
      </c>
      <c r="JX73" s="1">
        <v>2230</v>
      </c>
      <c r="JY73">
        <v>15.8</v>
      </c>
      <c r="JZ73">
        <v>13.14</v>
      </c>
      <c r="KA73">
        <v>19.32</v>
      </c>
      <c r="KB73">
        <v>0.28000000000000003</v>
      </c>
      <c r="KC73">
        <v>0.66</v>
      </c>
      <c r="KD73">
        <v>99</v>
      </c>
      <c r="KE73">
        <v>385</v>
      </c>
      <c r="KF73">
        <v>190</v>
      </c>
      <c r="KG73">
        <v>921</v>
      </c>
      <c r="KN73" s="1">
        <v>97513</v>
      </c>
      <c r="KO73" s="1">
        <v>74035</v>
      </c>
      <c r="KP73" s="1">
        <v>26468</v>
      </c>
      <c r="KR73" s="1">
        <v>1345</v>
      </c>
      <c r="KS73" s="1">
        <v>11864</v>
      </c>
      <c r="KT73" s="1">
        <v>25583</v>
      </c>
      <c r="KU73" s="1">
        <v>25337</v>
      </c>
      <c r="KV73">
        <v>33</v>
      </c>
      <c r="KW73">
        <v>88</v>
      </c>
      <c r="KX73" s="1">
        <v>141052</v>
      </c>
      <c r="KZ73">
        <v>0</v>
      </c>
      <c r="LA73">
        <v>0</v>
      </c>
      <c r="LD73" t="s">
        <v>1262</v>
      </c>
      <c r="LE73" t="s">
        <v>379</v>
      </c>
      <c r="LF73" t="s">
        <v>1263</v>
      </c>
      <c r="LG73" t="s">
        <v>1252</v>
      </c>
      <c r="LH73">
        <v>27288</v>
      </c>
      <c r="LI73">
        <v>5298</v>
      </c>
      <c r="LJ73" t="s">
        <v>1263</v>
      </c>
      <c r="LK73" t="s">
        <v>1252</v>
      </c>
      <c r="LL73">
        <v>27288</v>
      </c>
      <c r="LM73">
        <v>5298</v>
      </c>
      <c r="LN73" t="s">
        <v>1254</v>
      </c>
      <c r="LO73">
        <v>3366233168</v>
      </c>
      <c r="LP73">
        <v>3366231171</v>
      </c>
      <c r="LQ73" s="1">
        <v>44190</v>
      </c>
      <c r="LR73">
        <v>28.3</v>
      </c>
      <c r="LT73" s="1">
        <v>12324</v>
      </c>
      <c r="LU73">
        <v>260</v>
      </c>
      <c r="LX73">
        <v>3</v>
      </c>
      <c r="LY73" t="s">
        <v>1264</v>
      </c>
      <c r="LZ73">
        <v>0</v>
      </c>
      <c r="MA73" t="s">
        <v>408</v>
      </c>
      <c r="MB73">
        <v>5.72</v>
      </c>
      <c r="MC73">
        <v>15.87</v>
      </c>
      <c r="ME73" s="574">
        <v>5.24</v>
      </c>
      <c r="MF73" s="574">
        <v>3.72</v>
      </c>
      <c r="MG73" s="574">
        <v>0.61</v>
      </c>
      <c r="MH73" s="574">
        <v>38.29</v>
      </c>
      <c r="MI73" s="574">
        <v>27.18</v>
      </c>
      <c r="MJ73" s="574">
        <v>4.43</v>
      </c>
      <c r="MK73" s="574">
        <v>4.1500000000000004</v>
      </c>
      <c r="ML73" s="574">
        <v>2.95</v>
      </c>
      <c r="MM73" s="574">
        <v>0.48</v>
      </c>
      <c r="MN73" s="574">
        <v>18.57</v>
      </c>
      <c r="MO73" s="574">
        <v>13.19</v>
      </c>
      <c r="MP73" s="574">
        <v>2.15</v>
      </c>
      <c r="MQ73" s="574">
        <v>112.95</v>
      </c>
      <c r="MR73" s="574">
        <v>80.180000000000007</v>
      </c>
      <c r="MS73" s="574">
        <v>13.07</v>
      </c>
      <c r="MT73" s="574">
        <v>20.18</v>
      </c>
      <c r="MU73" s="574">
        <v>14.32</v>
      </c>
      <c r="MV73" s="574">
        <v>2.34</v>
      </c>
      <c r="MW73" s="1">
        <v>3335</v>
      </c>
      <c r="MX73" s="1">
        <v>12189</v>
      </c>
      <c r="MY73" s="1">
        <v>12189</v>
      </c>
      <c r="MZ73" s="1">
        <v>14929</v>
      </c>
      <c r="NA73" s="1">
        <v>54565</v>
      </c>
      <c r="NB73" s="1">
        <v>54565</v>
      </c>
      <c r="NC73" s="1">
        <v>43202</v>
      </c>
      <c r="ND73" s="1">
        <v>43202</v>
      </c>
      <c r="NE73">
        <v>1.1299999999999999</v>
      </c>
      <c r="NF73" s="1">
        <v>11820</v>
      </c>
      <c r="NG73">
        <v>5.68</v>
      </c>
      <c r="NH73">
        <v>3.7530000000000001</v>
      </c>
      <c r="NI73">
        <v>4.74</v>
      </c>
      <c r="NJ73">
        <v>540.78</v>
      </c>
      <c r="NK73">
        <v>535.58000000000004</v>
      </c>
      <c r="NL73">
        <v>1.0589999999999999</v>
      </c>
      <c r="NM73">
        <v>0.9748</v>
      </c>
      <c r="NN73">
        <v>0.51</v>
      </c>
      <c r="NO73">
        <v>0.17</v>
      </c>
      <c r="NP73">
        <v>0.28000000000000003</v>
      </c>
      <c r="NQ73">
        <v>0.28000000000000003</v>
      </c>
      <c r="NR73">
        <v>1.53</v>
      </c>
      <c r="NS73">
        <v>0.05</v>
      </c>
      <c r="NT73">
        <v>0.11</v>
      </c>
      <c r="NU73" s="574">
        <v>13.96</v>
      </c>
      <c r="NV73">
        <v>3.327</v>
      </c>
      <c r="NW73">
        <v>0</v>
      </c>
      <c r="NX73">
        <v>2E-3</v>
      </c>
      <c r="NY73">
        <v>0.29799999999999999</v>
      </c>
      <c r="NZ73">
        <v>1E-3</v>
      </c>
      <c r="OA73">
        <v>0.1691</v>
      </c>
      <c r="OB73">
        <v>0.61809999999999998</v>
      </c>
      <c r="OC73">
        <v>4.2060000000000004</v>
      </c>
      <c r="OD73">
        <v>2.718</v>
      </c>
      <c r="OE73">
        <v>0.23069999999999999</v>
      </c>
      <c r="OF73">
        <v>579.81700000000001</v>
      </c>
      <c r="OG73">
        <v>1.6279999999999999</v>
      </c>
      <c r="OH73" s="574">
        <v>3.43</v>
      </c>
      <c r="OI73">
        <v>213</v>
      </c>
      <c r="OJ73">
        <v>255</v>
      </c>
      <c r="OK73" s="574">
        <v>19.670000000000002</v>
      </c>
      <c r="OL73" s="574">
        <v>2.2799999999999998</v>
      </c>
      <c r="OM73" s="574">
        <v>1.94</v>
      </c>
      <c r="ON73">
        <v>0.3175</v>
      </c>
      <c r="OO73">
        <v>8.6900000000000005E-2</v>
      </c>
      <c r="OP73">
        <v>0.44900000000000001</v>
      </c>
      <c r="OQ73" s="574">
        <v>1.52</v>
      </c>
      <c r="OR73" s="574">
        <v>16.46</v>
      </c>
      <c r="OS73" s="574">
        <v>0.08</v>
      </c>
      <c r="OT73" s="574">
        <v>1.61</v>
      </c>
      <c r="OU73" s="574">
        <v>19.670000000000002</v>
      </c>
      <c r="OV73">
        <v>492</v>
      </c>
      <c r="OW73">
        <v>487</v>
      </c>
      <c r="OX73">
        <v>0.79</v>
      </c>
      <c r="OY73" s="1">
        <v>6646</v>
      </c>
      <c r="OZ73">
        <v>35.42</v>
      </c>
      <c r="PA73" s="1">
        <v>8395</v>
      </c>
      <c r="PB73">
        <v>7.91</v>
      </c>
      <c r="PC73">
        <v>28.04</v>
      </c>
      <c r="PD73">
        <v>0.22</v>
      </c>
      <c r="PE73" s="1">
        <v>1875</v>
      </c>
      <c r="PF73">
        <v>0.89</v>
      </c>
      <c r="PG73" s="574">
        <v>0.48</v>
      </c>
      <c r="PH73">
        <v>0.7</v>
      </c>
      <c r="PI73">
        <v>13.38</v>
      </c>
      <c r="PJ73">
        <v>7.31</v>
      </c>
      <c r="PK73" s="574">
        <v>4.1500000000000004</v>
      </c>
      <c r="PL73">
        <v>39.5</v>
      </c>
      <c r="PM73" s="4">
        <v>43975</v>
      </c>
      <c r="PN73" s="4">
        <v>32477</v>
      </c>
      <c r="PO73">
        <v>8.4599999999999995E-2</v>
      </c>
      <c r="PP73">
        <v>0.2999</v>
      </c>
      <c r="PQ73">
        <v>6.7000000000000004E-2</v>
      </c>
      <c r="PR73">
        <v>2.3199999999999998E-2</v>
      </c>
      <c r="PS73">
        <v>8.2000000000000003E-2</v>
      </c>
      <c r="PT73">
        <v>1.83E-2</v>
      </c>
      <c r="PU73" s="3">
        <v>1</v>
      </c>
      <c r="PV73" s="3">
        <v>0.27360000000000001</v>
      </c>
      <c r="PW73" s="3">
        <v>0.72640000000000005</v>
      </c>
      <c r="PX73" s="3">
        <v>0.26150000000000001</v>
      </c>
      <c r="PY73" s="3">
        <v>0.73850000000000005</v>
      </c>
      <c r="PZ73" s="3">
        <v>0.1158</v>
      </c>
      <c r="QA73" s="3">
        <v>1.15E-2</v>
      </c>
      <c r="QB73" s="3">
        <v>0.18559999999999999</v>
      </c>
      <c r="QC73" s="3">
        <v>5.7999999999999996E-3</v>
      </c>
      <c r="QD73" s="3">
        <v>0.1744</v>
      </c>
      <c r="QE73" s="3">
        <v>9.8400000000000001E-2</v>
      </c>
      <c r="QF73" s="3">
        <v>0.52429999999999999</v>
      </c>
      <c r="QG73" s="3">
        <v>0.70989999999999998</v>
      </c>
      <c r="QH73" s="3">
        <v>4.1999999999999997E-3</v>
      </c>
      <c r="QI73" s="3">
        <v>0.83689999999999998</v>
      </c>
      <c r="QJ73" s="3">
        <v>8.1600000000000006E-2</v>
      </c>
      <c r="QK73" s="3">
        <v>7.7200000000000005E-2</v>
      </c>
      <c r="QL73" s="4">
        <v>11498</v>
      </c>
      <c r="QM73">
        <v>9.23</v>
      </c>
      <c r="QN73" s="1">
        <v>11511</v>
      </c>
      <c r="QO73" s="1">
        <v>11511</v>
      </c>
      <c r="QP73" s="1">
        <v>3149</v>
      </c>
      <c r="QQ73" s="3">
        <v>0.85040000000000004</v>
      </c>
      <c r="QR73" s="3">
        <v>9.9400000000000002E-2</v>
      </c>
      <c r="QS73" s="3">
        <v>5.0299999999999997E-2</v>
      </c>
      <c r="QT73" s="3">
        <v>0.27360000000000001</v>
      </c>
      <c r="QU73">
        <v>0.36</v>
      </c>
      <c r="QV73">
        <v>1.03</v>
      </c>
      <c r="QW73">
        <v>0.27</v>
      </c>
      <c r="QX73">
        <v>17</v>
      </c>
      <c r="QY73">
        <v>1.94</v>
      </c>
      <c r="QZ73">
        <v>33</v>
      </c>
      <c r="RA73">
        <v>1.65</v>
      </c>
      <c r="RB73">
        <v>0.19</v>
      </c>
      <c r="RC73">
        <v>0.19</v>
      </c>
    </row>
    <row r="74" spans="1:471" x14ac:dyDescent="0.25">
      <c r="A74" t="s">
        <v>1265</v>
      </c>
      <c r="B74">
        <v>11694</v>
      </c>
      <c r="C74" t="s">
        <v>1754</v>
      </c>
      <c r="D74" t="s">
        <v>1754</v>
      </c>
      <c r="E74" t="s">
        <v>1754</v>
      </c>
      <c r="F74" t="s">
        <v>1755</v>
      </c>
      <c r="G74" t="s">
        <v>1755</v>
      </c>
      <c r="H74" t="s">
        <v>1266</v>
      </c>
      <c r="I74" t="s">
        <v>342</v>
      </c>
      <c r="J74" t="s">
        <v>343</v>
      </c>
      <c r="K74" t="s">
        <v>344</v>
      </c>
      <c r="L74" t="s">
        <v>345</v>
      </c>
      <c r="M74" t="s">
        <v>346</v>
      </c>
      <c r="N74" t="s">
        <v>347</v>
      </c>
      <c r="O74" s="1">
        <v>140122</v>
      </c>
      <c r="P74" t="s">
        <v>348</v>
      </c>
      <c r="Q74" s="1">
        <v>2160</v>
      </c>
      <c r="R74">
        <v>302</v>
      </c>
      <c r="S74">
        <v>107</v>
      </c>
      <c r="T74">
        <v>19</v>
      </c>
      <c r="U74" s="1">
        <v>8296</v>
      </c>
      <c r="V74">
        <v>459</v>
      </c>
      <c r="W74" s="1">
        <v>50304</v>
      </c>
      <c r="X74" s="1">
        <v>7173</v>
      </c>
      <c r="Y74" s="1">
        <v>15221</v>
      </c>
      <c r="Z74" s="1">
        <v>10157</v>
      </c>
      <c r="AC74" t="s">
        <v>1267</v>
      </c>
      <c r="AD74" t="s">
        <v>1268</v>
      </c>
      <c r="AE74">
        <v>28144</v>
      </c>
      <c r="AF74">
        <v>4935</v>
      </c>
      <c r="AG74" t="s">
        <v>1267</v>
      </c>
      <c r="AH74" t="s">
        <v>1268</v>
      </c>
      <c r="AI74">
        <v>28144</v>
      </c>
      <c r="AJ74">
        <v>2</v>
      </c>
      <c r="AK74" t="s">
        <v>1269</v>
      </c>
      <c r="AM74" t="s">
        <v>0</v>
      </c>
      <c r="AN74" t="s">
        <v>1270</v>
      </c>
      <c r="AO74" t="s">
        <v>1271</v>
      </c>
      <c r="AP74">
        <v>7042168233</v>
      </c>
      <c r="AQ74" t="s">
        <v>1272</v>
      </c>
      <c r="AR74" t="s">
        <v>1273</v>
      </c>
      <c r="AS74" t="s">
        <v>1274</v>
      </c>
      <c r="AT74" t="s">
        <v>1275</v>
      </c>
      <c r="AU74" t="s">
        <v>1276</v>
      </c>
      <c r="AV74" t="s">
        <v>1277</v>
      </c>
      <c r="AW74" t="s">
        <v>1278</v>
      </c>
      <c r="AX74" t="s">
        <v>1279</v>
      </c>
      <c r="AY74">
        <v>0</v>
      </c>
      <c r="AZ74">
        <v>0</v>
      </c>
      <c r="BA74">
        <v>0</v>
      </c>
      <c r="BB74" s="573">
        <v>42186</v>
      </c>
      <c r="BC74" s="573">
        <v>42551</v>
      </c>
      <c r="BD74">
        <v>1</v>
      </c>
      <c r="BE74">
        <v>2</v>
      </c>
      <c r="BF74">
        <v>1</v>
      </c>
      <c r="BG74">
        <v>1</v>
      </c>
      <c r="BH74">
        <v>5</v>
      </c>
      <c r="BJ74" s="1">
        <v>9546</v>
      </c>
      <c r="BK74">
        <v>11.43</v>
      </c>
      <c r="BL74">
        <v>1</v>
      </c>
      <c r="BM74">
        <v>12.43</v>
      </c>
      <c r="BN74">
        <v>34.130000000000003</v>
      </c>
      <c r="BO74">
        <v>46.56</v>
      </c>
      <c r="BP74" s="3">
        <v>0.2455</v>
      </c>
      <c r="BQ74">
        <v>455</v>
      </c>
      <c r="BR74" s="4">
        <v>77795</v>
      </c>
      <c r="DW74" s="4">
        <v>0</v>
      </c>
      <c r="DX74" s="4">
        <v>3000082</v>
      </c>
      <c r="DY74" s="4">
        <v>3000082</v>
      </c>
      <c r="DZ74" s="4">
        <v>172301</v>
      </c>
      <c r="EA74" s="4">
        <v>0</v>
      </c>
      <c r="EB74" s="4">
        <v>172301</v>
      </c>
      <c r="EC74" s="4">
        <v>5000</v>
      </c>
      <c r="ED74" s="4">
        <v>0</v>
      </c>
      <c r="EE74" s="4">
        <v>5000</v>
      </c>
      <c r="EF74" s="4">
        <v>0</v>
      </c>
      <c r="EG74" s="4">
        <v>3177383</v>
      </c>
      <c r="EH74" s="4">
        <v>1520378</v>
      </c>
      <c r="EI74" s="4">
        <v>568913</v>
      </c>
      <c r="EJ74" s="4">
        <v>2089291</v>
      </c>
      <c r="EK74" s="4">
        <v>185847</v>
      </c>
      <c r="EL74" s="4">
        <v>44937</v>
      </c>
      <c r="EM74" s="4">
        <v>25561</v>
      </c>
      <c r="EN74" s="4">
        <v>256345</v>
      </c>
      <c r="EO74" s="4">
        <v>603852</v>
      </c>
      <c r="EP74" s="4">
        <v>2949488</v>
      </c>
      <c r="EQ74" s="4">
        <v>227895</v>
      </c>
      <c r="ER74" s="3">
        <v>7.17E-2</v>
      </c>
      <c r="ES74" s="4">
        <v>31589</v>
      </c>
      <c r="ET74" s="4">
        <v>0</v>
      </c>
      <c r="EU74" s="4">
        <v>0</v>
      </c>
      <c r="EV74" s="4">
        <v>0</v>
      </c>
      <c r="EW74" s="4">
        <v>31589</v>
      </c>
      <c r="EX74" s="4">
        <v>31589</v>
      </c>
      <c r="EY74" s="1">
        <v>40163</v>
      </c>
      <c r="EZ74" s="1">
        <v>326215</v>
      </c>
      <c r="FA74" s="1">
        <v>51363</v>
      </c>
      <c r="FB74" s="1">
        <v>10506</v>
      </c>
      <c r="FC74" s="1">
        <v>52427</v>
      </c>
      <c r="FD74" s="1">
        <v>77397</v>
      </c>
      <c r="FE74" s="1">
        <v>3164</v>
      </c>
      <c r="FF74" s="1">
        <v>24468</v>
      </c>
      <c r="FG74" s="1">
        <v>128760</v>
      </c>
      <c r="FH74" s="1">
        <v>13670</v>
      </c>
      <c r="FI74" s="1">
        <v>76895</v>
      </c>
      <c r="FJ74" s="1">
        <v>219325</v>
      </c>
      <c r="FK74">
        <v>0</v>
      </c>
      <c r="FL74">
        <v>207</v>
      </c>
      <c r="FN74" s="1">
        <v>219325</v>
      </c>
      <c r="FO74" s="1">
        <v>5556</v>
      </c>
      <c r="FP74" s="1">
        <v>18185</v>
      </c>
      <c r="FQ74" s="1">
        <v>5141</v>
      </c>
      <c r="FR74">
        <v>7</v>
      </c>
      <c r="FS74">
        <v>74</v>
      </c>
      <c r="FT74">
        <v>81</v>
      </c>
      <c r="FU74" s="1">
        <v>26725</v>
      </c>
      <c r="FV74" s="1">
        <v>2022</v>
      </c>
      <c r="FW74">
        <v>0</v>
      </c>
      <c r="GG74" s="1">
        <v>34298</v>
      </c>
      <c r="GH74" s="1">
        <v>13913</v>
      </c>
      <c r="GI74">
        <v>370</v>
      </c>
      <c r="GJ74">
        <v>87</v>
      </c>
      <c r="GK74">
        <v>188</v>
      </c>
      <c r="GL74">
        <v>89</v>
      </c>
      <c r="GM74">
        <v>28</v>
      </c>
      <c r="GN74">
        <v>0</v>
      </c>
      <c r="GO74" s="1">
        <v>61211</v>
      </c>
      <c r="GP74" s="1">
        <v>16024</v>
      </c>
      <c r="GQ74">
        <v>398</v>
      </c>
      <c r="GR74">
        <v>87</v>
      </c>
      <c r="GS74">
        <v>63</v>
      </c>
      <c r="GU74" s="1">
        <v>161790</v>
      </c>
      <c r="GV74" s="1">
        <v>19070</v>
      </c>
      <c r="GW74" s="1">
        <v>142819</v>
      </c>
      <c r="GX74" s="1">
        <v>58501</v>
      </c>
      <c r="GY74" s="1">
        <v>2161</v>
      </c>
      <c r="GZ74" s="1">
        <v>33266</v>
      </c>
      <c r="HA74" s="1">
        <v>220291</v>
      </c>
      <c r="HB74" s="1">
        <v>21231</v>
      </c>
      <c r="HC74" s="1">
        <v>176085</v>
      </c>
      <c r="HD74" s="1">
        <v>417607</v>
      </c>
      <c r="HE74">
        <v>0</v>
      </c>
      <c r="HF74" s="1">
        <v>417607</v>
      </c>
      <c r="HG74" s="1">
        <v>17282</v>
      </c>
      <c r="HH74" s="1">
        <v>92599</v>
      </c>
      <c r="HI74">
        <v>0</v>
      </c>
      <c r="HJ74">
        <v>63</v>
      </c>
      <c r="HK74" s="1">
        <v>109944</v>
      </c>
      <c r="HL74" s="1">
        <v>527551</v>
      </c>
      <c r="HM74">
        <v>120</v>
      </c>
      <c r="HN74" s="1">
        <v>26380</v>
      </c>
      <c r="HO74" s="1">
        <v>26500</v>
      </c>
      <c r="HP74">
        <v>165</v>
      </c>
      <c r="HQ74" s="1">
        <v>10516</v>
      </c>
      <c r="HR74" s="1">
        <v>10681</v>
      </c>
      <c r="HS74">
        <v>0</v>
      </c>
      <c r="HT74">
        <v>331</v>
      </c>
      <c r="HU74">
        <v>331</v>
      </c>
      <c r="HV74">
        <v>880</v>
      </c>
      <c r="HW74" s="1">
        <v>38392</v>
      </c>
      <c r="HX74" s="1">
        <v>44375</v>
      </c>
      <c r="HY74" s="1">
        <v>71537</v>
      </c>
      <c r="HZ74" s="1">
        <v>115912</v>
      </c>
      <c r="IA74" s="1">
        <v>154304</v>
      </c>
      <c r="IB74" s="1">
        <v>27963</v>
      </c>
      <c r="IC74" s="1">
        <v>120893</v>
      </c>
      <c r="ID74" s="1">
        <v>565943</v>
      </c>
      <c r="IE74" s="1">
        <v>565943</v>
      </c>
      <c r="IF74" s="1">
        <v>681855</v>
      </c>
      <c r="IG74" s="1">
        <v>219676</v>
      </c>
      <c r="IH74">
        <v>260</v>
      </c>
      <c r="IK74">
        <v>1</v>
      </c>
      <c r="IL74" s="3">
        <v>5.7000000000000002E-2</v>
      </c>
      <c r="IM74" s="3">
        <v>5.9999999999999995E-4</v>
      </c>
      <c r="IN74" s="3">
        <v>0.2382</v>
      </c>
      <c r="IO74" s="3">
        <v>0</v>
      </c>
      <c r="IP74" s="3">
        <v>0.18759999999999999</v>
      </c>
      <c r="IQ74" s="3">
        <v>2.0000000000000001E-4</v>
      </c>
      <c r="IR74" s="3">
        <v>0.67230000000000001</v>
      </c>
      <c r="IS74" s="3">
        <v>6.6199999999999995E-2</v>
      </c>
      <c r="IT74" s="3">
        <v>0.38819999999999999</v>
      </c>
      <c r="IU74" s="1">
        <v>63445</v>
      </c>
      <c r="IV74" s="1">
        <v>39416</v>
      </c>
      <c r="IW74" s="1">
        <v>102861</v>
      </c>
      <c r="IX74" s="3">
        <v>0.73409999999999997</v>
      </c>
      <c r="IY74" s="1">
        <v>384074</v>
      </c>
      <c r="JA74">
        <v>81</v>
      </c>
      <c r="JB74">
        <v>82</v>
      </c>
      <c r="JC74">
        <v>714</v>
      </c>
      <c r="JD74">
        <v>124</v>
      </c>
      <c r="JE74">
        <v>8</v>
      </c>
      <c r="JF74">
        <v>342</v>
      </c>
      <c r="JG74">
        <v>205</v>
      </c>
      <c r="JH74">
        <v>90</v>
      </c>
      <c r="JI74" s="1">
        <v>1056</v>
      </c>
      <c r="JJ74" s="1">
        <v>1351</v>
      </c>
      <c r="JK74">
        <v>877</v>
      </c>
      <c r="JL74">
        <v>474</v>
      </c>
      <c r="JM74" s="1">
        <v>2449</v>
      </c>
      <c r="JN74" s="1">
        <v>1152</v>
      </c>
      <c r="JO74" s="1">
        <v>23708</v>
      </c>
      <c r="JP74" s="1">
        <v>2292</v>
      </c>
      <c r="JQ74">
        <v>172</v>
      </c>
      <c r="JR74" s="1">
        <v>9781</v>
      </c>
      <c r="JS74" s="1">
        <v>4741</v>
      </c>
      <c r="JT74" s="1">
        <v>1324</v>
      </c>
      <c r="JU74" s="1">
        <v>33489</v>
      </c>
      <c r="JV74" s="1">
        <v>39554</v>
      </c>
      <c r="JW74" s="1">
        <v>27309</v>
      </c>
      <c r="JX74" s="1">
        <v>12245</v>
      </c>
      <c r="JY74">
        <v>29.28</v>
      </c>
      <c r="JZ74">
        <v>23.13</v>
      </c>
      <c r="KA74">
        <v>31.71</v>
      </c>
      <c r="KB74">
        <v>0.12</v>
      </c>
      <c r="KC74">
        <v>0.85</v>
      </c>
      <c r="KD74">
        <v>0</v>
      </c>
      <c r="KE74">
        <v>0</v>
      </c>
      <c r="KF74">
        <v>18</v>
      </c>
      <c r="KG74">
        <v>75</v>
      </c>
      <c r="KN74" s="1">
        <v>59134</v>
      </c>
      <c r="KO74" s="1">
        <v>28613</v>
      </c>
      <c r="KP74">
        <v>702</v>
      </c>
      <c r="KR74">
        <v>746</v>
      </c>
      <c r="KS74" s="1">
        <v>16108</v>
      </c>
      <c r="KT74">
        <v>630</v>
      </c>
      <c r="KU74">
        <v>34</v>
      </c>
      <c r="KV74">
        <v>50</v>
      </c>
      <c r="KW74">
        <v>97</v>
      </c>
      <c r="KX74" s="1">
        <v>81844</v>
      </c>
      <c r="KZ74" s="1">
        <v>246061</v>
      </c>
      <c r="LA74" s="1">
        <v>42092</v>
      </c>
      <c r="LD74" t="s">
        <v>1269</v>
      </c>
      <c r="LE74" t="s">
        <v>379</v>
      </c>
      <c r="LF74" t="s">
        <v>1267</v>
      </c>
      <c r="LG74" t="s">
        <v>1268</v>
      </c>
      <c r="LH74">
        <v>28144</v>
      </c>
      <c r="LI74">
        <v>4935</v>
      </c>
      <c r="LJ74" t="s">
        <v>1267</v>
      </c>
      <c r="LK74" t="s">
        <v>1268</v>
      </c>
      <c r="LL74">
        <v>28144</v>
      </c>
      <c r="LM74">
        <v>4935</v>
      </c>
      <c r="LN74" t="s">
        <v>1270</v>
      </c>
      <c r="LO74">
        <v>7042168228</v>
      </c>
      <c r="LP74">
        <v>7042168237</v>
      </c>
      <c r="LQ74" s="1">
        <v>71800</v>
      </c>
      <c r="LR74">
        <v>45.98</v>
      </c>
      <c r="LT74" s="1">
        <v>7570</v>
      </c>
      <c r="LU74">
        <v>208</v>
      </c>
      <c r="LX74">
        <v>1</v>
      </c>
      <c r="LY74" t="s">
        <v>1266</v>
      </c>
      <c r="LZ74">
        <v>0</v>
      </c>
      <c r="MA74" t="s">
        <v>363</v>
      </c>
      <c r="MB74">
        <v>100</v>
      </c>
      <c r="MC74">
        <v>999</v>
      </c>
      <c r="ME74" s="574">
        <v>5.21</v>
      </c>
      <c r="MF74" s="574">
        <v>3.69</v>
      </c>
      <c r="MG74" s="574">
        <v>0.45</v>
      </c>
      <c r="MH74" s="574">
        <v>28.67</v>
      </c>
      <c r="MI74" s="574">
        <v>20.309999999999999</v>
      </c>
      <c r="MJ74" s="574">
        <v>2.4900000000000002</v>
      </c>
      <c r="MK74" s="574">
        <v>7.68</v>
      </c>
      <c r="ML74" s="574">
        <v>5.44</v>
      </c>
      <c r="MM74" s="574">
        <v>0.67</v>
      </c>
      <c r="MN74" s="574">
        <v>49.88</v>
      </c>
      <c r="MO74" s="574">
        <v>35.33</v>
      </c>
      <c r="MP74" s="574">
        <v>4.33</v>
      </c>
      <c r="MQ74" s="574">
        <v>74.569999999999993</v>
      </c>
      <c r="MR74" s="574">
        <v>52.82</v>
      </c>
      <c r="MS74" s="574">
        <v>6.48</v>
      </c>
      <c r="MT74" s="574">
        <v>13.43</v>
      </c>
      <c r="MU74" s="574">
        <v>9.51</v>
      </c>
      <c r="MV74" s="574">
        <v>1.17</v>
      </c>
      <c r="MW74" s="1">
        <v>1270</v>
      </c>
      <c r="MX74" s="1">
        <v>5174</v>
      </c>
      <c r="MY74" s="1">
        <v>4757</v>
      </c>
      <c r="MZ74" s="1">
        <v>8249</v>
      </c>
      <c r="NA74" s="1">
        <v>33602</v>
      </c>
      <c r="NB74" s="1">
        <v>30899</v>
      </c>
      <c r="NC74" s="1">
        <v>45530</v>
      </c>
      <c r="ND74" s="1">
        <v>49514</v>
      </c>
      <c r="NE74">
        <v>1.73</v>
      </c>
      <c r="NF74" s="1">
        <v>12155</v>
      </c>
      <c r="NG74">
        <v>5.84</v>
      </c>
      <c r="NH74">
        <v>4.0389999999999997</v>
      </c>
      <c r="NI74">
        <v>2.74</v>
      </c>
      <c r="NJ74">
        <v>6.12</v>
      </c>
      <c r="NK74">
        <v>0.33</v>
      </c>
      <c r="NL74">
        <v>0.42199999999999999</v>
      </c>
      <c r="NM74">
        <v>1.5678000000000001</v>
      </c>
      <c r="NN74">
        <v>0.73</v>
      </c>
      <c r="NO74">
        <v>0.28000000000000003</v>
      </c>
      <c r="NP74">
        <v>0</v>
      </c>
      <c r="NQ74">
        <v>0</v>
      </c>
      <c r="NR74">
        <v>0.57999999999999996</v>
      </c>
      <c r="NS74">
        <v>0.03</v>
      </c>
      <c r="NT74">
        <v>0.24</v>
      </c>
      <c r="NU74" s="574">
        <v>14.91</v>
      </c>
      <c r="NV74">
        <v>2.3279999999999998</v>
      </c>
      <c r="NW74">
        <v>0</v>
      </c>
      <c r="NX74">
        <v>1E-3</v>
      </c>
      <c r="NY74">
        <v>0.437</v>
      </c>
      <c r="NZ74">
        <v>1E-3</v>
      </c>
      <c r="OA74">
        <v>0.1111</v>
      </c>
      <c r="OB74">
        <v>0.45269999999999999</v>
      </c>
      <c r="OC74">
        <v>2.012</v>
      </c>
      <c r="OD74">
        <v>1.5649999999999999</v>
      </c>
      <c r="OE74">
        <v>0.24360000000000001</v>
      </c>
      <c r="OF74">
        <v>595.08500000000004</v>
      </c>
      <c r="OG74">
        <v>0.78700000000000003</v>
      </c>
      <c r="OH74" s="574">
        <v>4.3099999999999996</v>
      </c>
      <c r="OI74">
        <v>210</v>
      </c>
      <c r="OJ74">
        <v>181</v>
      </c>
      <c r="OK74" s="574">
        <v>21.05</v>
      </c>
      <c r="OL74" s="574">
        <v>1.83</v>
      </c>
      <c r="OM74" s="574">
        <v>1.33</v>
      </c>
      <c r="ON74">
        <v>0.33229999999999998</v>
      </c>
      <c r="OO74">
        <v>8.1600000000000006E-2</v>
      </c>
      <c r="OP74">
        <v>0.33179999999999998</v>
      </c>
      <c r="OQ74" s="574">
        <v>1.23</v>
      </c>
      <c r="OR74" s="574">
        <v>21.41</v>
      </c>
      <c r="OS74" s="574">
        <v>0.04</v>
      </c>
      <c r="OT74" s="574">
        <v>0</v>
      </c>
      <c r="OU74" s="574">
        <v>22.68</v>
      </c>
      <c r="OV74">
        <v>12</v>
      </c>
      <c r="OW74">
        <v>1</v>
      </c>
      <c r="OX74">
        <v>1.47</v>
      </c>
      <c r="OY74" s="1">
        <v>10884</v>
      </c>
      <c r="OZ74">
        <v>40.229999999999997</v>
      </c>
      <c r="PA74" s="1">
        <v>7386</v>
      </c>
      <c r="PB74">
        <v>6.19</v>
      </c>
      <c r="PC74">
        <v>59.29</v>
      </c>
      <c r="PD74">
        <v>0.15</v>
      </c>
      <c r="PE74" s="1">
        <v>1137</v>
      </c>
      <c r="PF74">
        <v>0.57999999999999996</v>
      </c>
      <c r="PG74" s="574">
        <v>0.67</v>
      </c>
      <c r="PH74">
        <v>0.85</v>
      </c>
      <c r="PI74">
        <v>6.81</v>
      </c>
      <c r="PJ74">
        <v>5.5</v>
      </c>
      <c r="PK74" s="574">
        <v>7.68</v>
      </c>
      <c r="PL74">
        <v>36.72</v>
      </c>
      <c r="PM74" s="4">
        <v>44873</v>
      </c>
      <c r="PN74" s="4">
        <v>32654</v>
      </c>
      <c r="PO74">
        <v>8.2299999999999998E-2</v>
      </c>
      <c r="PP74">
        <v>0.78739999999999999</v>
      </c>
      <c r="PQ74">
        <v>0.1212</v>
      </c>
      <c r="PR74">
        <v>2.0199999999999999E-2</v>
      </c>
      <c r="PS74">
        <v>0.1933</v>
      </c>
      <c r="PT74">
        <v>2.98E-2</v>
      </c>
      <c r="PU74" s="3">
        <v>0.91949999999999998</v>
      </c>
      <c r="PV74" s="3">
        <v>0.26700000000000002</v>
      </c>
      <c r="PW74" s="3">
        <v>0.73299999999999998</v>
      </c>
      <c r="PX74" s="3">
        <v>0.27229999999999999</v>
      </c>
      <c r="PY74" s="3">
        <v>0.72770000000000001</v>
      </c>
      <c r="PZ74" s="3">
        <v>8.6900000000000005E-2</v>
      </c>
      <c r="QA74" s="3">
        <v>1.52E-2</v>
      </c>
      <c r="QB74" s="3">
        <v>0.19289999999999999</v>
      </c>
      <c r="QC74" s="3">
        <v>8.6999999999999994E-3</v>
      </c>
      <c r="QD74" s="3">
        <v>0.20469999999999999</v>
      </c>
      <c r="QE74" s="3">
        <v>6.3E-2</v>
      </c>
      <c r="QF74" s="3">
        <v>0.51549999999999996</v>
      </c>
      <c r="QG74" s="3">
        <v>0.70840000000000003</v>
      </c>
      <c r="QH74" s="3">
        <v>1.6000000000000001E-3</v>
      </c>
      <c r="QI74" s="3">
        <v>0.94420000000000004</v>
      </c>
      <c r="QJ74" s="3">
        <v>0</v>
      </c>
      <c r="QK74" s="3">
        <v>5.4199999999999998E-2</v>
      </c>
      <c r="QL74" s="4">
        <v>12219</v>
      </c>
      <c r="QM74">
        <v>3.73</v>
      </c>
      <c r="QN74" s="1">
        <v>11273</v>
      </c>
      <c r="QO74" s="1">
        <v>12259</v>
      </c>
      <c r="QP74" s="1">
        <v>3009</v>
      </c>
      <c r="QQ74" s="3">
        <v>0.72499999999999998</v>
      </c>
      <c r="QR74" s="3">
        <v>0.17530000000000001</v>
      </c>
      <c r="QS74" s="3">
        <v>9.9699999999999997E-2</v>
      </c>
      <c r="QT74" s="3">
        <v>0.2455</v>
      </c>
      <c r="QU74">
        <v>0.37</v>
      </c>
      <c r="QV74">
        <v>0.99</v>
      </c>
      <c r="QW74">
        <v>0.27</v>
      </c>
      <c r="QX74">
        <v>13</v>
      </c>
      <c r="QY74">
        <v>3.05</v>
      </c>
      <c r="QZ74">
        <v>22</v>
      </c>
      <c r="RA74">
        <v>2.21</v>
      </c>
      <c r="RB74">
        <v>0.19</v>
      </c>
      <c r="RC74">
        <v>0.18</v>
      </c>
    </row>
    <row r="75" spans="1:471" x14ac:dyDescent="0.25">
      <c r="A75" t="s">
        <v>1280</v>
      </c>
      <c r="B75">
        <v>11695</v>
      </c>
      <c r="C75" t="s">
        <v>1754</v>
      </c>
      <c r="D75" t="s">
        <v>1754</v>
      </c>
      <c r="E75" t="s">
        <v>1754</v>
      </c>
      <c r="F75" t="s">
        <v>1755</v>
      </c>
      <c r="G75" t="s">
        <v>1755</v>
      </c>
      <c r="H75" t="s">
        <v>1281</v>
      </c>
      <c r="I75" t="s">
        <v>342</v>
      </c>
      <c r="J75" t="s">
        <v>343</v>
      </c>
      <c r="K75" t="s">
        <v>344</v>
      </c>
      <c r="L75" t="s">
        <v>345</v>
      </c>
      <c r="M75" t="s">
        <v>346</v>
      </c>
      <c r="N75" t="s">
        <v>347</v>
      </c>
      <c r="O75" s="1">
        <v>67617</v>
      </c>
      <c r="P75" t="s">
        <v>348</v>
      </c>
      <c r="Q75">
        <v>333</v>
      </c>
      <c r="S75">
        <v>19</v>
      </c>
      <c r="U75" s="1">
        <v>1276</v>
      </c>
      <c r="W75" s="1">
        <v>14309</v>
      </c>
      <c r="Y75" s="1">
        <v>149000</v>
      </c>
      <c r="AC75" t="s">
        <v>1282</v>
      </c>
      <c r="AD75" t="s">
        <v>1283</v>
      </c>
      <c r="AE75">
        <v>28160</v>
      </c>
      <c r="AG75" t="s">
        <v>1282</v>
      </c>
      <c r="AH75" t="s">
        <v>1283</v>
      </c>
      <c r="AI75">
        <v>28160</v>
      </c>
      <c r="AJ75">
        <v>1</v>
      </c>
      <c r="AK75" t="s">
        <v>1284</v>
      </c>
      <c r="AM75" t="s">
        <v>0</v>
      </c>
      <c r="AN75" t="s">
        <v>1285</v>
      </c>
      <c r="AO75" t="s">
        <v>1286</v>
      </c>
      <c r="AP75">
        <v>8282876117</v>
      </c>
      <c r="AQ75" t="s">
        <v>1288</v>
      </c>
      <c r="AR75" t="s">
        <v>1289</v>
      </c>
      <c r="AS75" t="s">
        <v>1286</v>
      </c>
      <c r="AT75" t="s">
        <v>376</v>
      </c>
      <c r="AU75" t="s">
        <v>1287</v>
      </c>
      <c r="AV75" t="s">
        <v>1288</v>
      </c>
      <c r="AW75" t="s">
        <v>1289</v>
      </c>
      <c r="AX75" t="s">
        <v>1290</v>
      </c>
      <c r="AY75">
        <v>0</v>
      </c>
      <c r="AZ75">
        <v>0</v>
      </c>
      <c r="BA75">
        <v>0</v>
      </c>
      <c r="BB75" s="573">
        <v>42186</v>
      </c>
      <c r="BC75" s="573">
        <v>42551</v>
      </c>
      <c r="BD75">
        <v>1</v>
      </c>
      <c r="BE75">
        <v>2</v>
      </c>
      <c r="BF75">
        <v>0</v>
      </c>
      <c r="BG75">
        <v>1</v>
      </c>
      <c r="BH75">
        <v>4</v>
      </c>
      <c r="BJ75" s="1">
        <v>6440</v>
      </c>
      <c r="BK75">
        <v>1</v>
      </c>
      <c r="BL75">
        <v>2</v>
      </c>
      <c r="BM75">
        <v>3</v>
      </c>
      <c r="BN75">
        <v>6.58</v>
      </c>
      <c r="BO75">
        <v>9.58</v>
      </c>
      <c r="BP75" s="3">
        <v>0.10440000000000001</v>
      </c>
      <c r="BQ75" s="1">
        <v>2681</v>
      </c>
      <c r="BR75" s="4">
        <v>56168</v>
      </c>
      <c r="DW75" s="4">
        <v>0</v>
      </c>
      <c r="DX75" s="4">
        <v>437342</v>
      </c>
      <c r="DY75" s="4">
        <v>437342</v>
      </c>
      <c r="DZ75" s="4">
        <v>123742</v>
      </c>
      <c r="EA75" s="4">
        <v>0</v>
      </c>
      <c r="EB75" s="4">
        <v>123742</v>
      </c>
      <c r="EC75" s="4">
        <v>35485</v>
      </c>
      <c r="ED75" s="4">
        <v>0</v>
      </c>
      <c r="EE75" s="4">
        <v>35485</v>
      </c>
      <c r="EF75" s="4">
        <v>23858</v>
      </c>
      <c r="EG75" s="4">
        <v>620427</v>
      </c>
      <c r="EH75" s="4">
        <v>316048</v>
      </c>
      <c r="EI75" s="4">
        <v>112764</v>
      </c>
      <c r="EJ75" s="4">
        <v>428812</v>
      </c>
      <c r="EK75" s="4">
        <v>60850</v>
      </c>
      <c r="EL75" s="4">
        <v>28699</v>
      </c>
      <c r="EM75" s="4">
        <v>10021</v>
      </c>
      <c r="EN75" s="4">
        <v>99570</v>
      </c>
      <c r="EO75" s="4">
        <v>72593</v>
      </c>
      <c r="EP75" s="4">
        <v>600975</v>
      </c>
      <c r="EQ75" s="4">
        <v>19452</v>
      </c>
      <c r="ER75" s="3">
        <v>3.1399999999999997E-2</v>
      </c>
      <c r="ES75" s="4">
        <v>0</v>
      </c>
      <c r="ET75" s="4">
        <v>0</v>
      </c>
      <c r="EU75" s="4">
        <v>0</v>
      </c>
      <c r="EV75" s="4">
        <v>0</v>
      </c>
      <c r="EW75" s="4">
        <v>0</v>
      </c>
      <c r="EX75" s="4">
        <v>0</v>
      </c>
      <c r="EY75" s="1">
        <v>31226</v>
      </c>
      <c r="EZ75" s="1">
        <v>174182</v>
      </c>
      <c r="FA75" s="1">
        <v>30038</v>
      </c>
      <c r="FB75" s="1">
        <v>2234</v>
      </c>
      <c r="FC75" s="1">
        <v>18296</v>
      </c>
      <c r="FD75" s="1">
        <v>23978</v>
      </c>
      <c r="FE75">
        <v>166</v>
      </c>
      <c r="FF75" s="1">
        <v>6887</v>
      </c>
      <c r="FG75" s="1">
        <v>54016</v>
      </c>
      <c r="FH75" s="1">
        <v>2400</v>
      </c>
      <c r="FI75" s="1">
        <v>25183</v>
      </c>
      <c r="FJ75" s="1">
        <v>81599</v>
      </c>
      <c r="FK75">
        <v>0</v>
      </c>
      <c r="FL75">
        <v>55</v>
      </c>
      <c r="FN75" s="1">
        <v>81599</v>
      </c>
      <c r="FO75" s="1">
        <v>4461</v>
      </c>
      <c r="FP75" s="1">
        <v>10460</v>
      </c>
      <c r="FQ75">
        <v>118</v>
      </c>
      <c r="FR75">
        <v>1</v>
      </c>
      <c r="FS75">
        <v>74</v>
      </c>
      <c r="FT75">
        <v>75</v>
      </c>
      <c r="FU75" s="1">
        <v>26725</v>
      </c>
      <c r="FV75" s="1">
        <v>2022</v>
      </c>
      <c r="FW75">
        <v>0</v>
      </c>
      <c r="GG75" s="1">
        <v>34298</v>
      </c>
      <c r="GH75" s="1">
        <v>13913</v>
      </c>
      <c r="GI75">
        <v>370</v>
      </c>
      <c r="GJ75">
        <v>87</v>
      </c>
      <c r="GK75">
        <v>0</v>
      </c>
      <c r="GL75">
        <v>0</v>
      </c>
      <c r="GM75">
        <v>0</v>
      </c>
      <c r="GN75">
        <v>-1</v>
      </c>
      <c r="GO75" s="1">
        <v>61023</v>
      </c>
      <c r="GP75" s="1">
        <v>15935</v>
      </c>
      <c r="GQ75">
        <v>370</v>
      </c>
      <c r="GR75">
        <v>86</v>
      </c>
      <c r="GS75">
        <v>30</v>
      </c>
      <c r="GU75" s="1">
        <v>55722</v>
      </c>
      <c r="GV75" s="1">
        <v>5856</v>
      </c>
      <c r="GW75" s="1">
        <v>39240</v>
      </c>
      <c r="GX75" s="1">
        <v>14749</v>
      </c>
      <c r="GY75">
        <v>125</v>
      </c>
      <c r="GZ75" s="1">
        <v>7188</v>
      </c>
      <c r="HA75" s="1">
        <v>70471</v>
      </c>
      <c r="HB75" s="1">
        <v>5981</v>
      </c>
      <c r="HC75" s="1">
        <v>46428</v>
      </c>
      <c r="HD75" s="1">
        <v>122880</v>
      </c>
      <c r="HE75" s="1">
        <v>11254</v>
      </c>
      <c r="HF75" s="1">
        <v>134134</v>
      </c>
      <c r="HG75" s="1">
        <v>9060</v>
      </c>
      <c r="HH75" s="1">
        <v>58380</v>
      </c>
      <c r="HI75">
        <v>0</v>
      </c>
      <c r="HJ75">
        <v>0</v>
      </c>
      <c r="HK75" s="1">
        <v>67440</v>
      </c>
      <c r="HL75" s="1">
        <v>201574</v>
      </c>
      <c r="HM75">
        <v>63</v>
      </c>
      <c r="HN75" s="1">
        <v>9167</v>
      </c>
      <c r="HO75" s="1">
        <v>9230</v>
      </c>
      <c r="HP75">
        <v>19</v>
      </c>
      <c r="HQ75" s="1">
        <v>2999</v>
      </c>
      <c r="HR75" s="1">
        <v>3018</v>
      </c>
      <c r="HS75">
        <v>0</v>
      </c>
      <c r="HT75">
        <v>35</v>
      </c>
      <c r="HU75">
        <v>35</v>
      </c>
      <c r="HV75">
        <v>86</v>
      </c>
      <c r="HW75" s="1">
        <v>12369</v>
      </c>
      <c r="HX75" s="1">
        <v>11447</v>
      </c>
      <c r="HY75" s="1">
        <v>2580</v>
      </c>
      <c r="HZ75" s="1">
        <v>14027</v>
      </c>
      <c r="IA75" s="1">
        <v>26396</v>
      </c>
      <c r="IB75" s="1">
        <v>12078</v>
      </c>
      <c r="IC75" s="1">
        <v>70493</v>
      </c>
      <c r="ID75" s="1">
        <v>213943</v>
      </c>
      <c r="IE75" s="1">
        <v>213943</v>
      </c>
      <c r="IF75" s="1">
        <v>227970</v>
      </c>
      <c r="IG75" s="1">
        <v>49354</v>
      </c>
      <c r="IH75">
        <v>346</v>
      </c>
      <c r="IK75">
        <v>1</v>
      </c>
      <c r="IL75" s="3">
        <v>6.2199999999999998E-2</v>
      </c>
      <c r="IM75" s="3">
        <v>2.9999999999999997E-4</v>
      </c>
      <c r="IN75" s="3">
        <v>0.44440000000000002</v>
      </c>
      <c r="IO75" s="3">
        <v>0</v>
      </c>
      <c r="IP75" s="3">
        <v>0.3503</v>
      </c>
      <c r="IQ75" s="3">
        <v>4.0000000000000002E-4</v>
      </c>
      <c r="IR75" s="3">
        <v>0.46850000000000003</v>
      </c>
      <c r="IS75" s="3">
        <v>0.1171</v>
      </c>
      <c r="IT75" s="3">
        <v>0.23069999999999999</v>
      </c>
      <c r="IU75" s="1">
        <v>11933</v>
      </c>
      <c r="IV75" s="1">
        <v>1931</v>
      </c>
      <c r="IW75" s="1">
        <v>13864</v>
      </c>
      <c r="IX75" s="3">
        <v>0.20499999999999999</v>
      </c>
      <c r="IY75" s="1">
        <v>79746</v>
      </c>
      <c r="JA75">
        <v>132</v>
      </c>
      <c r="JB75">
        <v>27</v>
      </c>
      <c r="JC75">
        <v>145</v>
      </c>
      <c r="JD75">
        <v>16</v>
      </c>
      <c r="JE75">
        <v>1</v>
      </c>
      <c r="JF75">
        <v>126</v>
      </c>
      <c r="JG75">
        <v>148</v>
      </c>
      <c r="JH75">
        <v>28</v>
      </c>
      <c r="JI75">
        <v>271</v>
      </c>
      <c r="JJ75">
        <v>447</v>
      </c>
      <c r="JK75">
        <v>304</v>
      </c>
      <c r="JL75">
        <v>143</v>
      </c>
      <c r="JM75" s="1">
        <v>1367</v>
      </c>
      <c r="JN75">
        <v>558</v>
      </c>
      <c r="JO75" s="1">
        <v>2146</v>
      </c>
      <c r="JP75">
        <v>320</v>
      </c>
      <c r="JQ75">
        <v>10</v>
      </c>
      <c r="JR75" s="1">
        <v>1001</v>
      </c>
      <c r="JS75" s="1">
        <v>1687</v>
      </c>
      <c r="JT75">
        <v>568</v>
      </c>
      <c r="JU75" s="1">
        <v>3147</v>
      </c>
      <c r="JV75" s="1">
        <v>5402</v>
      </c>
      <c r="JW75" s="1">
        <v>4071</v>
      </c>
      <c r="JX75" s="1">
        <v>1331</v>
      </c>
      <c r="JY75">
        <v>12.09</v>
      </c>
      <c r="JZ75">
        <v>11.4</v>
      </c>
      <c r="KA75">
        <v>11.61</v>
      </c>
      <c r="KB75">
        <v>0.31</v>
      </c>
      <c r="KC75">
        <v>0.57999999999999996</v>
      </c>
      <c r="KD75">
        <v>6</v>
      </c>
      <c r="KE75">
        <v>69</v>
      </c>
      <c r="KF75">
        <v>22</v>
      </c>
      <c r="KG75">
        <v>89</v>
      </c>
      <c r="KN75" s="1">
        <v>31566</v>
      </c>
      <c r="KO75" s="1">
        <v>1726</v>
      </c>
      <c r="KP75">
        <v>273</v>
      </c>
      <c r="KR75">
        <v>82</v>
      </c>
      <c r="KS75" s="1">
        <v>2598</v>
      </c>
      <c r="KT75" s="1">
        <v>3934</v>
      </c>
      <c r="KU75" s="1">
        <v>2662</v>
      </c>
      <c r="KV75">
        <v>17</v>
      </c>
      <c r="KW75">
        <v>35</v>
      </c>
      <c r="KX75" s="1">
        <v>21243</v>
      </c>
      <c r="KZ75" s="1">
        <v>48524</v>
      </c>
      <c r="LA75" s="1">
        <v>20221</v>
      </c>
      <c r="LD75" t="s">
        <v>1284</v>
      </c>
      <c r="LE75" t="s">
        <v>379</v>
      </c>
      <c r="LF75" t="s">
        <v>1282</v>
      </c>
      <c r="LG75" t="s">
        <v>1283</v>
      </c>
      <c r="LH75">
        <v>28160</v>
      </c>
      <c r="LJ75" t="s">
        <v>1282</v>
      </c>
      <c r="LK75" t="s">
        <v>1283</v>
      </c>
      <c r="LL75">
        <v>28160</v>
      </c>
      <c r="LN75" t="s">
        <v>1285</v>
      </c>
      <c r="LO75">
        <v>8282876115</v>
      </c>
      <c r="LP75">
        <v>8282876119</v>
      </c>
      <c r="LQ75" s="1">
        <v>15281</v>
      </c>
      <c r="LR75">
        <v>9.42</v>
      </c>
      <c r="LT75" s="1">
        <v>6440</v>
      </c>
      <c r="LU75">
        <v>149</v>
      </c>
      <c r="LX75">
        <v>2</v>
      </c>
      <c r="LY75" t="s">
        <v>1291</v>
      </c>
      <c r="LZ75">
        <v>0</v>
      </c>
      <c r="MA75" t="s">
        <v>363</v>
      </c>
      <c r="MB75">
        <v>5</v>
      </c>
      <c r="MC75">
        <v>20</v>
      </c>
      <c r="ME75" s="574">
        <v>2.81</v>
      </c>
      <c r="MF75" s="574">
        <v>2</v>
      </c>
      <c r="MG75" s="574">
        <v>0.47</v>
      </c>
      <c r="MH75" s="574">
        <v>43.35</v>
      </c>
      <c r="MI75" s="574">
        <v>30.93</v>
      </c>
      <c r="MJ75" s="574">
        <v>7.18</v>
      </c>
      <c r="MK75" s="574">
        <v>7.54</v>
      </c>
      <c r="ML75" s="574">
        <v>5.38</v>
      </c>
      <c r="MM75" s="574">
        <v>1.25</v>
      </c>
      <c r="MN75" s="574">
        <v>19.04</v>
      </c>
      <c r="MO75" s="574">
        <v>13.58</v>
      </c>
      <c r="MP75" s="574">
        <v>3.15</v>
      </c>
      <c r="MQ75" s="574">
        <v>111.25</v>
      </c>
      <c r="MR75" s="574">
        <v>79.38</v>
      </c>
      <c r="MS75" s="574">
        <v>18.43</v>
      </c>
      <c r="MT75" s="574">
        <v>12.18</v>
      </c>
      <c r="MU75" s="574">
        <v>8.69</v>
      </c>
      <c r="MV75" s="574">
        <v>2.02</v>
      </c>
      <c r="MW75" s="1">
        <v>3295</v>
      </c>
      <c r="MX75" s="1">
        <v>31566</v>
      </c>
      <c r="MY75" s="1">
        <v>10522</v>
      </c>
      <c r="MZ75" s="1">
        <v>8324</v>
      </c>
      <c r="NA75" s="1">
        <v>79746</v>
      </c>
      <c r="NB75" s="1">
        <v>26582</v>
      </c>
      <c r="NC75" s="1">
        <v>71314</v>
      </c>
      <c r="ND75" s="1">
        <v>213943</v>
      </c>
      <c r="NE75">
        <v>1.23</v>
      </c>
      <c r="NF75" s="1">
        <v>22332</v>
      </c>
      <c r="NG75">
        <v>10.74</v>
      </c>
      <c r="NH75">
        <v>3.1640000000000001</v>
      </c>
      <c r="NI75">
        <v>1.18</v>
      </c>
      <c r="NJ75">
        <v>283.76</v>
      </c>
      <c r="NK75">
        <v>192.01</v>
      </c>
      <c r="NL75">
        <v>0.46679999999999999</v>
      </c>
      <c r="NM75">
        <v>0.72989999999999999</v>
      </c>
      <c r="NN75">
        <v>0.21</v>
      </c>
      <c r="NO75">
        <v>0.08</v>
      </c>
      <c r="NP75">
        <v>0.06</v>
      </c>
      <c r="NQ75">
        <v>0.04</v>
      </c>
      <c r="NR75">
        <v>0.31</v>
      </c>
      <c r="NS75">
        <v>0.02</v>
      </c>
      <c r="NT75">
        <v>0.05</v>
      </c>
      <c r="NU75" s="574">
        <v>6.34</v>
      </c>
      <c r="NV75">
        <v>2.5760000000000001</v>
      </c>
      <c r="NW75">
        <v>0</v>
      </c>
      <c r="NX75">
        <v>1E-3</v>
      </c>
      <c r="NY75">
        <v>0.90200000000000002</v>
      </c>
      <c r="NZ75">
        <v>1E-3</v>
      </c>
      <c r="OA75">
        <v>7.2099999999999997E-2</v>
      </c>
      <c r="OB75">
        <v>0.69099999999999995</v>
      </c>
      <c r="OC75">
        <v>3.9670000000000001</v>
      </c>
      <c r="OD75">
        <v>1.2070000000000001</v>
      </c>
      <c r="OE75">
        <v>9.7299999999999998E-2</v>
      </c>
      <c r="OF75" s="2">
        <v>4401.5439999999999</v>
      </c>
      <c r="OG75">
        <v>5.41</v>
      </c>
      <c r="OH75" s="574">
        <v>1.07</v>
      </c>
      <c r="OI75" s="1">
        <v>1471</v>
      </c>
      <c r="OJ75">
        <v>781</v>
      </c>
      <c r="OK75" s="574">
        <v>8.89</v>
      </c>
      <c r="OL75" s="574">
        <v>1.47</v>
      </c>
      <c r="OM75" s="574">
        <v>0.9</v>
      </c>
      <c r="ON75">
        <v>0.14169999999999999</v>
      </c>
      <c r="OO75">
        <v>1.4800000000000001E-2</v>
      </c>
      <c r="OP75">
        <v>0.47460000000000002</v>
      </c>
      <c r="OQ75" s="574">
        <v>1.83</v>
      </c>
      <c r="OR75" s="574">
        <v>6.47</v>
      </c>
      <c r="OS75" s="574">
        <v>0.52</v>
      </c>
      <c r="OT75" s="574">
        <v>0.35</v>
      </c>
      <c r="OU75" s="574">
        <v>9.18</v>
      </c>
      <c r="OV75">
        <v>76</v>
      </c>
      <c r="OW75">
        <v>51</v>
      </c>
      <c r="OX75">
        <v>2.68</v>
      </c>
      <c r="OY75" s="1">
        <v>4114</v>
      </c>
      <c r="OZ75">
        <v>12.38</v>
      </c>
      <c r="PA75" s="1">
        <v>1534</v>
      </c>
      <c r="PB75">
        <v>4.9000000000000004</v>
      </c>
      <c r="PC75">
        <v>33.22</v>
      </c>
      <c r="PD75">
        <v>0.4</v>
      </c>
      <c r="PE75">
        <v>607</v>
      </c>
      <c r="PF75">
        <v>0.81</v>
      </c>
      <c r="PG75" s="574">
        <v>1.25</v>
      </c>
      <c r="PH75">
        <v>2.1800000000000002</v>
      </c>
      <c r="PI75">
        <v>9.52</v>
      </c>
      <c r="PJ75">
        <v>15.43</v>
      </c>
      <c r="PK75" s="574">
        <v>7.54</v>
      </c>
      <c r="PL75">
        <v>30.96</v>
      </c>
      <c r="PM75" s="4">
        <v>44761</v>
      </c>
      <c r="PN75" s="4">
        <v>32990</v>
      </c>
      <c r="PO75">
        <v>4.48E-2</v>
      </c>
      <c r="PP75">
        <v>0.30349999999999999</v>
      </c>
      <c r="PQ75">
        <v>0.1201</v>
      </c>
      <c r="PR75">
        <v>4.7000000000000002E-3</v>
      </c>
      <c r="PS75">
        <v>3.1699999999999999E-2</v>
      </c>
      <c r="PT75">
        <v>1.2500000000000001E-2</v>
      </c>
      <c r="PU75" s="3">
        <v>0.33329999999999999</v>
      </c>
      <c r="PV75" s="3">
        <v>0.31319999999999998</v>
      </c>
      <c r="PW75" s="3">
        <v>0.68679999999999997</v>
      </c>
      <c r="PX75" s="3">
        <v>0.26300000000000001</v>
      </c>
      <c r="PY75" s="3">
        <v>0.73699999999999999</v>
      </c>
      <c r="PZ75" s="3">
        <v>0.16569999999999999</v>
      </c>
      <c r="QA75" s="3">
        <v>4.7800000000000002E-2</v>
      </c>
      <c r="QB75" s="3">
        <v>0.18759999999999999</v>
      </c>
      <c r="QC75" s="3">
        <v>1.67E-2</v>
      </c>
      <c r="QD75" s="3">
        <v>0.1208</v>
      </c>
      <c r="QE75" s="3">
        <v>0.1013</v>
      </c>
      <c r="QF75" s="3">
        <v>0.52590000000000003</v>
      </c>
      <c r="QG75" s="3">
        <v>0.71350000000000002</v>
      </c>
      <c r="QH75" s="3">
        <v>5.7200000000000001E-2</v>
      </c>
      <c r="QI75" s="3">
        <v>0.70489999999999997</v>
      </c>
      <c r="QJ75" s="3">
        <v>3.85E-2</v>
      </c>
      <c r="QK75" s="3">
        <v>0.19939999999999999</v>
      </c>
      <c r="QL75" s="4">
        <v>11771</v>
      </c>
      <c r="QM75">
        <v>5.75</v>
      </c>
      <c r="QN75" s="1">
        <v>22539</v>
      </c>
      <c r="QO75" s="1">
        <v>67617</v>
      </c>
      <c r="QP75" s="1">
        <v>7058</v>
      </c>
      <c r="QQ75" s="3">
        <v>0.61109999999999998</v>
      </c>
      <c r="QR75" s="3">
        <v>0.28820000000000001</v>
      </c>
      <c r="QS75" s="3">
        <v>0.10059999999999999</v>
      </c>
      <c r="QT75" s="3">
        <v>0.10440000000000001</v>
      </c>
      <c r="QU75">
        <v>0.68</v>
      </c>
      <c r="QV75">
        <v>1.9</v>
      </c>
      <c r="QW75">
        <v>0.5</v>
      </c>
      <c r="QX75">
        <v>7</v>
      </c>
      <c r="QY75">
        <v>3.52</v>
      </c>
      <c r="QZ75">
        <v>21</v>
      </c>
      <c r="RA75">
        <v>2.15</v>
      </c>
      <c r="RB75">
        <v>0.36</v>
      </c>
      <c r="RC75">
        <v>0.34</v>
      </c>
    </row>
    <row r="76" spans="1:471" x14ac:dyDescent="0.25">
      <c r="A76" t="s">
        <v>1292</v>
      </c>
      <c r="B76">
        <v>11696</v>
      </c>
      <c r="C76" t="s">
        <v>1754</v>
      </c>
      <c r="D76" t="s">
        <v>1754</v>
      </c>
      <c r="E76" t="s">
        <v>1754</v>
      </c>
      <c r="F76" t="s">
        <v>1755</v>
      </c>
      <c r="G76" t="s">
        <v>1755</v>
      </c>
      <c r="H76" t="s">
        <v>1293</v>
      </c>
      <c r="I76" t="s">
        <v>342</v>
      </c>
      <c r="J76" t="s">
        <v>343</v>
      </c>
      <c r="K76" t="s">
        <v>344</v>
      </c>
      <c r="L76" t="s">
        <v>345</v>
      </c>
      <c r="M76" t="s">
        <v>346</v>
      </c>
      <c r="N76" t="s">
        <v>347</v>
      </c>
      <c r="O76" s="1">
        <v>63993</v>
      </c>
      <c r="P76" t="s">
        <v>472</v>
      </c>
      <c r="Q76">
        <v>321</v>
      </c>
      <c r="S76">
        <v>25</v>
      </c>
      <c r="T76">
        <v>0</v>
      </c>
      <c r="U76">
        <v>687</v>
      </c>
      <c r="V76">
        <v>0</v>
      </c>
      <c r="W76" s="1">
        <v>19232</v>
      </c>
      <c r="X76" s="1">
        <v>1431</v>
      </c>
      <c r="AC76" t="s">
        <v>1294</v>
      </c>
      <c r="AD76" t="s">
        <v>1295</v>
      </c>
      <c r="AE76">
        <v>28328</v>
      </c>
      <c r="AF76">
        <v>4111</v>
      </c>
      <c r="AG76" t="s">
        <v>1294</v>
      </c>
      <c r="AH76" t="s">
        <v>1295</v>
      </c>
      <c r="AI76">
        <v>28328</v>
      </c>
      <c r="AJ76">
        <v>2</v>
      </c>
      <c r="AK76" t="s">
        <v>1296</v>
      </c>
      <c r="AM76" t="s">
        <v>0</v>
      </c>
      <c r="AN76" t="s">
        <v>1297</v>
      </c>
      <c r="AO76" t="s">
        <v>1298</v>
      </c>
      <c r="AP76">
        <v>9105924153</v>
      </c>
      <c r="AQ76" t="s">
        <v>1300</v>
      </c>
      <c r="AR76" t="s">
        <v>1301</v>
      </c>
      <c r="AS76" t="s">
        <v>1298</v>
      </c>
      <c r="AT76" t="s">
        <v>1</v>
      </c>
      <c r="AU76" t="s">
        <v>1299</v>
      </c>
      <c r="AV76" t="s">
        <v>1300</v>
      </c>
      <c r="AW76" t="s">
        <v>1301</v>
      </c>
      <c r="AX76" t="s">
        <v>1302</v>
      </c>
      <c r="AY76">
        <v>0</v>
      </c>
      <c r="AZ76">
        <v>0</v>
      </c>
      <c r="BA76">
        <v>0</v>
      </c>
      <c r="BB76" s="573">
        <v>42186</v>
      </c>
      <c r="BC76" s="573">
        <v>42551</v>
      </c>
      <c r="BD76">
        <v>1</v>
      </c>
      <c r="BE76">
        <v>3</v>
      </c>
      <c r="BF76">
        <v>0</v>
      </c>
      <c r="BG76">
        <v>2</v>
      </c>
      <c r="BH76">
        <v>6</v>
      </c>
      <c r="BJ76" s="1">
        <v>7644</v>
      </c>
      <c r="BK76">
        <v>1</v>
      </c>
      <c r="BL76">
        <v>0</v>
      </c>
      <c r="BM76">
        <v>1</v>
      </c>
      <c r="BN76">
        <v>12.32</v>
      </c>
      <c r="BO76">
        <v>13.32</v>
      </c>
      <c r="BP76" s="3">
        <v>7.51E-2</v>
      </c>
      <c r="BQ76">
        <v>0</v>
      </c>
      <c r="BR76" s="4">
        <v>61524</v>
      </c>
      <c r="DW76" s="4">
        <v>4000</v>
      </c>
      <c r="DX76" s="4">
        <v>677705</v>
      </c>
      <c r="DY76" s="4">
        <v>681705</v>
      </c>
      <c r="DZ76" s="4">
        <v>120440</v>
      </c>
      <c r="EA76" s="4">
        <v>0</v>
      </c>
      <c r="EB76" s="4">
        <v>120440</v>
      </c>
      <c r="EC76" s="4">
        <v>0</v>
      </c>
      <c r="ED76" s="4">
        <v>0</v>
      </c>
      <c r="EE76" s="4">
        <v>0</v>
      </c>
      <c r="EF76" s="4">
        <v>34785</v>
      </c>
      <c r="EG76" s="4">
        <v>836930</v>
      </c>
      <c r="EH76" s="4">
        <v>398711</v>
      </c>
      <c r="EI76" s="4">
        <v>211515</v>
      </c>
      <c r="EJ76" s="4">
        <v>610226</v>
      </c>
      <c r="EK76" s="4">
        <v>88409</v>
      </c>
      <c r="EL76" s="4">
        <v>21809</v>
      </c>
      <c r="EM76" s="4">
        <v>8443</v>
      </c>
      <c r="EN76" s="4">
        <v>118661</v>
      </c>
      <c r="EO76" s="4">
        <v>97320</v>
      </c>
      <c r="EP76" s="4">
        <v>826207</v>
      </c>
      <c r="EQ76" s="4">
        <v>10723</v>
      </c>
      <c r="ER76" s="3">
        <v>1.2800000000000001E-2</v>
      </c>
      <c r="ES76" s="4">
        <v>0</v>
      </c>
      <c r="ET76" s="4">
        <v>0</v>
      </c>
      <c r="EU76" s="4">
        <v>0</v>
      </c>
      <c r="EV76" s="4">
        <v>0</v>
      </c>
      <c r="EW76" s="4">
        <v>0</v>
      </c>
      <c r="EX76" s="4">
        <v>0</v>
      </c>
      <c r="EY76" s="1">
        <v>7839</v>
      </c>
      <c r="EZ76" s="1">
        <v>139424</v>
      </c>
      <c r="FA76" s="1">
        <v>26902</v>
      </c>
      <c r="FB76" s="1">
        <v>2477</v>
      </c>
      <c r="FC76" s="1">
        <v>21957</v>
      </c>
      <c r="FD76" s="1">
        <v>19792</v>
      </c>
      <c r="FE76">
        <v>358</v>
      </c>
      <c r="FF76" s="1">
        <v>8218</v>
      </c>
      <c r="FG76" s="1">
        <v>46694</v>
      </c>
      <c r="FH76" s="1">
        <v>2835</v>
      </c>
      <c r="FI76" s="1">
        <v>30175</v>
      </c>
      <c r="FJ76" s="1">
        <v>79704</v>
      </c>
      <c r="FK76">
        <v>0</v>
      </c>
      <c r="FL76">
        <v>98</v>
      </c>
      <c r="FN76" s="1">
        <v>79704</v>
      </c>
      <c r="FO76">
        <v>766</v>
      </c>
      <c r="FP76" s="1">
        <v>3868</v>
      </c>
      <c r="FQ76">
        <v>971</v>
      </c>
      <c r="FR76">
        <v>4</v>
      </c>
      <c r="FS76">
        <v>74</v>
      </c>
      <c r="FT76">
        <v>78</v>
      </c>
      <c r="FU76" s="1">
        <v>26725</v>
      </c>
      <c r="FV76" s="1">
        <v>2022</v>
      </c>
      <c r="FW76">
        <v>0</v>
      </c>
      <c r="GC76" s="1">
        <v>23798</v>
      </c>
      <c r="GD76" s="1">
        <v>1183</v>
      </c>
      <c r="GE76">
        <v>205</v>
      </c>
      <c r="GK76">
        <v>6</v>
      </c>
      <c r="GL76">
        <v>0</v>
      </c>
      <c r="GM76">
        <v>0</v>
      </c>
      <c r="GN76">
        <v>0</v>
      </c>
      <c r="GO76" s="1">
        <v>50529</v>
      </c>
      <c r="GP76" s="1">
        <v>3205</v>
      </c>
      <c r="GQ76">
        <v>205</v>
      </c>
      <c r="GR76">
        <v>0</v>
      </c>
      <c r="GS76">
        <v>0</v>
      </c>
      <c r="GU76" s="1">
        <v>23754</v>
      </c>
      <c r="GV76" s="1">
        <v>1624</v>
      </c>
      <c r="GW76" s="1">
        <v>25696</v>
      </c>
      <c r="GX76" s="1">
        <v>8464</v>
      </c>
      <c r="GY76">
        <v>87</v>
      </c>
      <c r="GZ76" s="1">
        <v>5598</v>
      </c>
      <c r="HA76" s="1">
        <v>32218</v>
      </c>
      <c r="HB76" s="1">
        <v>1711</v>
      </c>
      <c r="HC76" s="1">
        <v>31294</v>
      </c>
      <c r="HD76" s="1">
        <v>65223</v>
      </c>
      <c r="HE76">
        <v>406</v>
      </c>
      <c r="HF76" s="1">
        <v>68897</v>
      </c>
      <c r="HG76">
        <v>547</v>
      </c>
      <c r="HH76" s="1">
        <v>12801</v>
      </c>
      <c r="HI76" s="1">
        <v>3268</v>
      </c>
      <c r="HJ76">
        <v>0</v>
      </c>
      <c r="HK76" s="1">
        <v>13348</v>
      </c>
      <c r="HL76" s="1">
        <v>82245</v>
      </c>
      <c r="HM76">
        <v>48</v>
      </c>
      <c r="HN76" s="1">
        <v>2304</v>
      </c>
      <c r="HO76" s="1">
        <v>2352</v>
      </c>
      <c r="HP76">
        <v>46</v>
      </c>
      <c r="HQ76">
        <v>163</v>
      </c>
      <c r="HR76">
        <v>209</v>
      </c>
      <c r="HS76">
        <v>0</v>
      </c>
      <c r="HT76">
        <v>4</v>
      </c>
      <c r="HU76">
        <v>4</v>
      </c>
      <c r="HV76">
        <v>0</v>
      </c>
      <c r="HW76" s="1">
        <v>2565</v>
      </c>
      <c r="HX76" s="1">
        <v>7185</v>
      </c>
      <c r="HY76">
        <v>0</v>
      </c>
      <c r="HZ76" s="1">
        <v>7185</v>
      </c>
      <c r="IA76" s="1">
        <v>9750</v>
      </c>
      <c r="IB76">
        <v>756</v>
      </c>
      <c r="IC76" s="1">
        <v>13561</v>
      </c>
      <c r="ID76" s="1">
        <v>84810</v>
      </c>
      <c r="IE76" s="1">
        <v>84810</v>
      </c>
      <c r="IF76" s="1">
        <v>91995</v>
      </c>
      <c r="IG76" s="1">
        <v>33005</v>
      </c>
      <c r="IH76">
        <v>0</v>
      </c>
      <c r="IL76" s="3">
        <v>2.92E-2</v>
      </c>
      <c r="IM76" s="3">
        <v>6.9999999999999999E-4</v>
      </c>
      <c r="IN76" s="3">
        <v>0.38690000000000002</v>
      </c>
      <c r="IO76" s="3">
        <v>0</v>
      </c>
      <c r="IP76" s="3">
        <v>0.3624</v>
      </c>
      <c r="IQ76" s="3">
        <v>5.9999999999999995E-4</v>
      </c>
      <c r="IR76" s="3">
        <v>0.57169999999999999</v>
      </c>
      <c r="IS76" s="3">
        <v>2.8500000000000001E-2</v>
      </c>
      <c r="IT76" s="3">
        <v>0.38919999999999999</v>
      </c>
      <c r="IU76" s="1">
        <v>4249</v>
      </c>
      <c r="IV76">
        <v>871</v>
      </c>
      <c r="IW76" s="1">
        <v>5120</v>
      </c>
      <c r="IX76" s="3">
        <v>0.08</v>
      </c>
      <c r="IY76" s="1">
        <v>85989</v>
      </c>
      <c r="JA76">
        <v>2</v>
      </c>
      <c r="JB76">
        <v>0</v>
      </c>
      <c r="JC76">
        <v>63</v>
      </c>
      <c r="JD76">
        <v>2</v>
      </c>
      <c r="JE76">
        <v>0</v>
      </c>
      <c r="JF76">
        <v>56</v>
      </c>
      <c r="JG76">
        <v>4</v>
      </c>
      <c r="JH76">
        <v>0</v>
      </c>
      <c r="JI76">
        <v>119</v>
      </c>
      <c r="JJ76">
        <v>123</v>
      </c>
      <c r="JK76">
        <v>65</v>
      </c>
      <c r="JL76">
        <v>58</v>
      </c>
      <c r="JM76">
        <v>19</v>
      </c>
      <c r="JN76">
        <v>0</v>
      </c>
      <c r="JO76" s="1">
        <v>1636</v>
      </c>
      <c r="JP76">
        <v>21</v>
      </c>
      <c r="JQ76">
        <v>0</v>
      </c>
      <c r="JR76" s="1">
        <v>1489</v>
      </c>
      <c r="JS76">
        <v>40</v>
      </c>
      <c r="JT76">
        <v>0</v>
      </c>
      <c r="JU76" s="1">
        <v>3125</v>
      </c>
      <c r="JV76" s="1">
        <v>3165</v>
      </c>
      <c r="JW76" s="1">
        <v>1655</v>
      </c>
      <c r="JX76" s="1">
        <v>1510</v>
      </c>
      <c r="JY76">
        <v>25.73</v>
      </c>
      <c r="JZ76">
        <v>10</v>
      </c>
      <c r="KA76">
        <v>26.26</v>
      </c>
      <c r="KB76">
        <v>0.01</v>
      </c>
      <c r="KC76">
        <v>0.99</v>
      </c>
      <c r="KD76">
        <v>0</v>
      </c>
      <c r="KE76">
        <v>0</v>
      </c>
      <c r="KF76">
        <v>0</v>
      </c>
      <c r="KG76">
        <v>0</v>
      </c>
      <c r="KN76" s="1">
        <v>20000</v>
      </c>
      <c r="KO76" s="1">
        <v>2500</v>
      </c>
      <c r="KP76" s="1">
        <v>1000</v>
      </c>
      <c r="KT76">
        <v>8</v>
      </c>
      <c r="KU76">
        <v>162</v>
      </c>
      <c r="KV76">
        <v>16</v>
      </c>
      <c r="KW76">
        <v>32</v>
      </c>
      <c r="KX76" s="1">
        <v>11111</v>
      </c>
      <c r="LD76" t="s">
        <v>1303</v>
      </c>
      <c r="LE76" t="s">
        <v>379</v>
      </c>
      <c r="LF76" t="s">
        <v>1294</v>
      </c>
      <c r="LG76" t="s">
        <v>1295</v>
      </c>
      <c r="LH76">
        <v>28328</v>
      </c>
      <c r="LI76">
        <v>4111</v>
      </c>
      <c r="LJ76" t="s">
        <v>1294</v>
      </c>
      <c r="LK76" t="s">
        <v>1295</v>
      </c>
      <c r="LL76">
        <v>28328</v>
      </c>
      <c r="LM76">
        <v>4111</v>
      </c>
      <c r="LN76" t="s">
        <v>1297</v>
      </c>
      <c r="LO76">
        <v>9105924153</v>
      </c>
      <c r="LP76">
        <v>9105903504</v>
      </c>
      <c r="LQ76" s="1">
        <v>16320</v>
      </c>
      <c r="LR76">
        <v>13.35</v>
      </c>
      <c r="LT76" s="1">
        <v>7644</v>
      </c>
      <c r="LU76">
        <v>208</v>
      </c>
      <c r="LX76">
        <v>7</v>
      </c>
      <c r="LY76" t="s">
        <v>1304</v>
      </c>
      <c r="LZ76">
        <v>0</v>
      </c>
      <c r="MA76" t="s">
        <v>363</v>
      </c>
      <c r="MB76">
        <v>25</v>
      </c>
      <c r="MC76">
        <v>25</v>
      </c>
      <c r="ME76" s="574">
        <v>9.74</v>
      </c>
      <c r="MF76" s="574">
        <v>7.2</v>
      </c>
      <c r="MG76" s="574">
        <v>1.4</v>
      </c>
      <c r="MH76" s="574">
        <v>161.37</v>
      </c>
      <c r="MI76" s="574">
        <v>119.18</v>
      </c>
      <c r="MJ76" s="574">
        <v>23.18</v>
      </c>
      <c r="MK76" s="574">
        <v>9.61</v>
      </c>
      <c r="ML76" s="574">
        <v>7.1</v>
      </c>
      <c r="MM76" s="574">
        <v>1.38</v>
      </c>
      <c r="MN76" s="574">
        <v>41.31</v>
      </c>
      <c r="MO76" s="574">
        <v>30.51</v>
      </c>
      <c r="MP76" s="574">
        <v>5.93</v>
      </c>
      <c r="MQ76" s="574">
        <v>261.04000000000002</v>
      </c>
      <c r="MR76" s="574">
        <v>192.8</v>
      </c>
      <c r="MS76" s="574">
        <v>37.49</v>
      </c>
      <c r="MT76" s="574">
        <v>25.03</v>
      </c>
      <c r="MU76" s="574">
        <v>18.489999999999998</v>
      </c>
      <c r="MV76" s="574">
        <v>3.6</v>
      </c>
      <c r="MW76" s="1">
        <v>1502</v>
      </c>
      <c r="MX76" s="1">
        <v>20000</v>
      </c>
      <c r="MY76" s="1">
        <v>20000</v>
      </c>
      <c r="MZ76" s="1">
        <v>6456</v>
      </c>
      <c r="NA76" s="1">
        <v>85989</v>
      </c>
      <c r="NB76" s="1">
        <v>85989</v>
      </c>
      <c r="NC76" s="1">
        <v>84810</v>
      </c>
      <c r="ND76" s="1">
        <v>84810</v>
      </c>
      <c r="NE76">
        <v>0.61</v>
      </c>
      <c r="NF76" s="1">
        <v>6367</v>
      </c>
      <c r="NG76">
        <v>3.06</v>
      </c>
      <c r="NH76">
        <v>1.325</v>
      </c>
      <c r="NI76">
        <v>1.34</v>
      </c>
      <c r="NJ76">
        <v>1.56</v>
      </c>
      <c r="NK76">
        <v>31.64</v>
      </c>
      <c r="NL76">
        <v>0.3125</v>
      </c>
      <c r="NM76">
        <v>0.51580000000000004</v>
      </c>
      <c r="NN76">
        <v>0.08</v>
      </c>
      <c r="NO76">
        <v>0.05</v>
      </c>
      <c r="NP76">
        <v>0</v>
      </c>
      <c r="NQ76">
        <v>0</v>
      </c>
      <c r="NR76">
        <v>0.17</v>
      </c>
      <c r="NS76">
        <v>0</v>
      </c>
      <c r="NT76">
        <v>0.05</v>
      </c>
      <c r="NU76" s="574">
        <v>9.5399999999999991</v>
      </c>
      <c r="NV76">
        <v>2.1789999999999998</v>
      </c>
      <c r="NW76">
        <v>0</v>
      </c>
      <c r="NX76">
        <v>2E-3</v>
      </c>
      <c r="NY76">
        <v>0.79</v>
      </c>
      <c r="NZ76">
        <v>1E-3</v>
      </c>
      <c r="OA76">
        <v>0.1953</v>
      </c>
      <c r="OB76">
        <v>2.6015999999999999</v>
      </c>
      <c r="OC76">
        <v>19.140999999999998</v>
      </c>
      <c r="OD76">
        <v>1.246</v>
      </c>
      <c r="OE76">
        <v>0.1925</v>
      </c>
      <c r="OF76" s="2">
        <v>9868.9449999999997</v>
      </c>
      <c r="OG76">
        <v>15.234</v>
      </c>
      <c r="OH76" s="574">
        <v>1.52</v>
      </c>
      <c r="OI76">
        <v>776</v>
      </c>
      <c r="OJ76">
        <v>796</v>
      </c>
      <c r="OK76" s="574">
        <v>12.91</v>
      </c>
      <c r="OL76" s="574">
        <v>1.85</v>
      </c>
      <c r="OM76" s="574">
        <v>1.38</v>
      </c>
      <c r="ON76">
        <v>0.2082</v>
      </c>
      <c r="OO76">
        <v>1.5599999999999999E-2</v>
      </c>
      <c r="OP76">
        <v>2.4062999999999999</v>
      </c>
      <c r="OQ76" s="574">
        <v>1.88</v>
      </c>
      <c r="OR76" s="574">
        <v>10.65</v>
      </c>
      <c r="OS76" s="574">
        <v>0</v>
      </c>
      <c r="OT76" s="574">
        <v>0.54</v>
      </c>
      <c r="OU76" s="574">
        <v>13.08</v>
      </c>
      <c r="OV76">
        <v>0</v>
      </c>
      <c r="OW76">
        <v>3</v>
      </c>
      <c r="OX76">
        <v>0.99</v>
      </c>
      <c r="OY76" s="1">
        <v>1631</v>
      </c>
      <c r="OZ76">
        <v>11.25</v>
      </c>
      <c r="PA76" s="1">
        <v>1654</v>
      </c>
      <c r="PB76">
        <v>2.62</v>
      </c>
      <c r="PC76">
        <v>11.09</v>
      </c>
      <c r="PD76">
        <v>0.23</v>
      </c>
      <c r="PE76">
        <v>385</v>
      </c>
      <c r="PF76">
        <v>1.64</v>
      </c>
      <c r="PG76" s="574">
        <v>1.38</v>
      </c>
      <c r="PH76">
        <v>1.62</v>
      </c>
      <c r="PI76">
        <v>11.95</v>
      </c>
      <c r="PJ76">
        <v>16.559999999999999</v>
      </c>
      <c r="PK76" s="574">
        <v>9.61</v>
      </c>
      <c r="PL76">
        <v>24.5</v>
      </c>
      <c r="PM76" s="4">
        <v>45813</v>
      </c>
      <c r="PN76" s="4">
        <v>29933</v>
      </c>
      <c r="PO76">
        <v>0.15709999999999999</v>
      </c>
      <c r="PP76">
        <v>0.66600000000000004</v>
      </c>
      <c r="PQ76">
        <v>0.15490000000000001</v>
      </c>
      <c r="PR76">
        <v>1.18E-2</v>
      </c>
      <c r="PS76">
        <v>0.05</v>
      </c>
      <c r="PT76">
        <v>1.1599999999999999E-2</v>
      </c>
      <c r="PU76" s="3">
        <v>1</v>
      </c>
      <c r="PV76" s="3">
        <v>7.51E-2</v>
      </c>
      <c r="PW76" s="3">
        <v>0.92490000000000006</v>
      </c>
      <c r="PX76" s="3">
        <v>0.34660000000000002</v>
      </c>
      <c r="PY76" s="3">
        <v>0.65339999999999998</v>
      </c>
      <c r="PZ76" s="3">
        <v>0.14360000000000001</v>
      </c>
      <c r="QA76" s="3">
        <v>2.64E-2</v>
      </c>
      <c r="QB76" s="3">
        <v>0.25600000000000001</v>
      </c>
      <c r="QC76" s="3">
        <v>1.0200000000000001E-2</v>
      </c>
      <c r="QD76" s="3">
        <v>0.1178</v>
      </c>
      <c r="QE76" s="3">
        <v>0.107</v>
      </c>
      <c r="QF76" s="3">
        <v>0.48259999999999997</v>
      </c>
      <c r="QG76" s="3">
        <v>0.73860000000000003</v>
      </c>
      <c r="QH76" s="3">
        <v>0</v>
      </c>
      <c r="QI76" s="3">
        <v>0.8145</v>
      </c>
      <c r="QJ76" s="3">
        <v>4.1599999999999998E-2</v>
      </c>
      <c r="QK76" s="3">
        <v>0.1439</v>
      </c>
      <c r="QL76" s="4">
        <v>15880</v>
      </c>
      <c r="QM76">
        <v>16.79</v>
      </c>
      <c r="QN76" s="1">
        <v>63993</v>
      </c>
      <c r="QO76" s="1">
        <v>63993</v>
      </c>
      <c r="QP76" s="1">
        <v>4804</v>
      </c>
      <c r="QQ76" s="3">
        <v>0.74509999999999998</v>
      </c>
      <c r="QR76" s="3">
        <v>0.18379999999999999</v>
      </c>
      <c r="QS76" s="3">
        <v>7.1199999999999999E-2</v>
      </c>
      <c r="QT76" s="3">
        <v>7.51E-2</v>
      </c>
      <c r="QU76">
        <v>0.21</v>
      </c>
      <c r="QV76">
        <v>0.4</v>
      </c>
      <c r="QW76">
        <v>0.14000000000000001</v>
      </c>
      <c r="QX76">
        <v>4</v>
      </c>
      <c r="QY76">
        <v>0.96</v>
      </c>
      <c r="QZ76">
        <v>10</v>
      </c>
      <c r="RA76">
        <v>0.71</v>
      </c>
      <c r="RB76">
        <v>0.1</v>
      </c>
      <c r="RC76">
        <v>0.1</v>
      </c>
    </row>
    <row r="77" spans="1:471" x14ac:dyDescent="0.25">
      <c r="A77" t="s">
        <v>1305</v>
      </c>
      <c r="B77">
        <v>11654</v>
      </c>
      <c r="C77" t="s">
        <v>1754</v>
      </c>
      <c r="D77" t="s">
        <v>1754</v>
      </c>
      <c r="E77" t="s">
        <v>1754</v>
      </c>
      <c r="F77" t="s">
        <v>1755</v>
      </c>
      <c r="G77" t="s">
        <v>1755</v>
      </c>
      <c r="H77" t="s">
        <v>1306</v>
      </c>
      <c r="I77" t="s">
        <v>342</v>
      </c>
      <c r="J77" t="s">
        <v>366</v>
      </c>
      <c r="K77" t="s">
        <v>395</v>
      </c>
      <c r="L77" t="s">
        <v>345</v>
      </c>
      <c r="M77" t="s">
        <v>430</v>
      </c>
      <c r="N77" t="s">
        <v>347</v>
      </c>
      <c r="O77" s="1">
        <v>245602</v>
      </c>
      <c r="P77" t="s">
        <v>348</v>
      </c>
      <c r="Q77" s="1">
        <v>1437</v>
      </c>
      <c r="R77">
        <v>348</v>
      </c>
      <c r="S77">
        <v>187</v>
      </c>
      <c r="T77">
        <v>56</v>
      </c>
      <c r="U77" s="1">
        <v>16667</v>
      </c>
      <c r="V77">
        <v>649</v>
      </c>
      <c r="W77" s="1">
        <v>40921</v>
      </c>
      <c r="X77" s="1">
        <v>6222</v>
      </c>
      <c r="Y77" s="1">
        <v>549656</v>
      </c>
      <c r="Z77" s="1">
        <v>87702</v>
      </c>
      <c r="AC77" t="s">
        <v>1307</v>
      </c>
      <c r="AD77" t="s">
        <v>1254</v>
      </c>
      <c r="AE77">
        <v>28379</v>
      </c>
      <c r="AF77">
        <v>3607</v>
      </c>
      <c r="AG77" t="s">
        <v>1307</v>
      </c>
      <c r="AH77" t="s">
        <v>1254</v>
      </c>
      <c r="AI77">
        <v>28379</v>
      </c>
      <c r="AJ77">
        <v>2</v>
      </c>
      <c r="AK77" t="s">
        <v>1308</v>
      </c>
      <c r="AM77" t="s">
        <v>372</v>
      </c>
      <c r="AN77" t="s">
        <v>1309</v>
      </c>
      <c r="AO77" t="s">
        <v>1310</v>
      </c>
      <c r="AP77">
        <v>9109973388</v>
      </c>
      <c r="AQ77" t="s">
        <v>1312</v>
      </c>
      <c r="AR77" t="s">
        <v>1313</v>
      </c>
      <c r="AS77" t="s">
        <v>1314</v>
      </c>
      <c r="AT77" t="s">
        <v>764</v>
      </c>
      <c r="AU77" t="s">
        <v>1311</v>
      </c>
      <c r="AV77" t="s">
        <v>1312</v>
      </c>
      <c r="AW77" t="s">
        <v>1315</v>
      </c>
      <c r="AX77" t="s">
        <v>1316</v>
      </c>
      <c r="AY77">
        <v>0</v>
      </c>
      <c r="AZ77">
        <v>0</v>
      </c>
      <c r="BA77">
        <v>0</v>
      </c>
      <c r="BB77" s="573">
        <v>42186</v>
      </c>
      <c r="BC77" s="573">
        <v>42551</v>
      </c>
      <c r="BD77">
        <v>0</v>
      </c>
      <c r="BE77">
        <v>15</v>
      </c>
      <c r="BF77">
        <v>2</v>
      </c>
      <c r="BG77">
        <v>1</v>
      </c>
      <c r="BH77">
        <v>18</v>
      </c>
      <c r="BJ77" s="1">
        <v>28102</v>
      </c>
      <c r="BK77">
        <v>6</v>
      </c>
      <c r="BL77">
        <v>0</v>
      </c>
      <c r="BM77">
        <v>6</v>
      </c>
      <c r="BN77">
        <v>40.96</v>
      </c>
      <c r="BO77">
        <v>46.96</v>
      </c>
      <c r="BP77" s="3">
        <v>0.1278</v>
      </c>
      <c r="BQ77" s="1">
        <v>2578</v>
      </c>
      <c r="BR77" s="4">
        <v>61200</v>
      </c>
      <c r="DW77" s="4">
        <v>163981</v>
      </c>
      <c r="DX77" s="4">
        <v>1746669</v>
      </c>
      <c r="DY77" s="4">
        <v>1910650</v>
      </c>
      <c r="DZ77" s="4">
        <v>552813</v>
      </c>
      <c r="EA77" s="4">
        <v>14998</v>
      </c>
      <c r="EB77" s="4">
        <v>567811</v>
      </c>
      <c r="EC77" s="4">
        <v>49697</v>
      </c>
      <c r="ED77" s="4">
        <v>71662</v>
      </c>
      <c r="EE77" s="4">
        <v>121359</v>
      </c>
      <c r="EF77" s="4">
        <v>142641</v>
      </c>
      <c r="EG77" s="4">
        <v>2742461</v>
      </c>
      <c r="EH77" s="4">
        <v>1366928</v>
      </c>
      <c r="EI77" s="4">
        <v>533109</v>
      </c>
      <c r="EJ77" s="4">
        <v>1900037</v>
      </c>
      <c r="EK77" s="4">
        <v>236729</v>
      </c>
      <c r="EL77" s="4">
        <v>28113</v>
      </c>
      <c r="EM77" s="4">
        <v>26082</v>
      </c>
      <c r="EN77" s="4">
        <v>290924</v>
      </c>
      <c r="EO77" s="4">
        <v>531696</v>
      </c>
      <c r="EP77" s="4">
        <v>2722657</v>
      </c>
      <c r="EQ77" s="4">
        <v>19804</v>
      </c>
      <c r="ER77" s="3">
        <v>7.1999999999999998E-3</v>
      </c>
      <c r="ES77" s="4">
        <v>0</v>
      </c>
      <c r="ET77" s="4">
        <v>0</v>
      </c>
      <c r="EU77" s="4">
        <v>0</v>
      </c>
      <c r="EV77" s="4">
        <v>0</v>
      </c>
      <c r="EW77" s="4">
        <v>0</v>
      </c>
      <c r="EX77" s="4">
        <v>0</v>
      </c>
      <c r="EY77" s="1">
        <v>28100</v>
      </c>
      <c r="EZ77" s="1">
        <v>382905</v>
      </c>
      <c r="FA77" s="1">
        <v>106044</v>
      </c>
      <c r="FB77" s="1">
        <v>14438</v>
      </c>
      <c r="FC77" s="1">
        <v>68148</v>
      </c>
      <c r="FD77" s="1">
        <v>82608</v>
      </c>
      <c r="FE77" s="1">
        <v>1760</v>
      </c>
      <c r="FF77" s="1">
        <v>35420</v>
      </c>
      <c r="FG77" s="1">
        <v>188652</v>
      </c>
      <c r="FH77" s="1">
        <v>16198</v>
      </c>
      <c r="FI77" s="1">
        <v>103568</v>
      </c>
      <c r="FJ77" s="1">
        <v>308418</v>
      </c>
      <c r="FK77" s="1">
        <v>16692</v>
      </c>
      <c r="FL77">
        <v>350</v>
      </c>
      <c r="FN77" s="1">
        <v>308418</v>
      </c>
      <c r="FO77" s="1">
        <v>6683</v>
      </c>
      <c r="FP77" s="1">
        <v>16728</v>
      </c>
      <c r="FQ77">
        <v>955</v>
      </c>
      <c r="FR77">
        <v>5</v>
      </c>
      <c r="FS77">
        <v>74</v>
      </c>
      <c r="FT77">
        <v>79</v>
      </c>
      <c r="FU77" s="1">
        <v>26725</v>
      </c>
      <c r="FV77" s="1">
        <v>2022</v>
      </c>
      <c r="FW77">
        <v>0</v>
      </c>
      <c r="GK77" s="1">
        <v>1528</v>
      </c>
      <c r="GL77" s="1">
        <v>2667</v>
      </c>
      <c r="GM77">
        <v>0</v>
      </c>
      <c r="GN77">
        <v>58</v>
      </c>
      <c r="GO77" s="1">
        <v>28253</v>
      </c>
      <c r="GP77" s="1">
        <v>4689</v>
      </c>
      <c r="GQ77">
        <v>0</v>
      </c>
      <c r="GR77">
        <v>58</v>
      </c>
      <c r="GS77">
        <v>189</v>
      </c>
      <c r="GU77" s="1">
        <v>116094</v>
      </c>
      <c r="GV77" s="1">
        <v>17660</v>
      </c>
      <c r="GW77" s="1">
        <v>114290</v>
      </c>
      <c r="GX77" s="1">
        <v>23438</v>
      </c>
      <c r="GY77">
        <v>947</v>
      </c>
      <c r="GZ77" s="1">
        <v>19363</v>
      </c>
      <c r="HA77" s="1">
        <v>139532</v>
      </c>
      <c r="HB77" s="1">
        <v>18607</v>
      </c>
      <c r="HC77" s="1">
        <v>133653</v>
      </c>
      <c r="HD77" s="1">
        <v>291792</v>
      </c>
      <c r="HE77" s="1">
        <v>4120</v>
      </c>
      <c r="HF77" s="1">
        <v>295912</v>
      </c>
      <c r="HG77" s="1">
        <v>10916</v>
      </c>
      <c r="HH77" s="1">
        <v>34557</v>
      </c>
      <c r="HI77">
        <v>0</v>
      </c>
      <c r="HJ77">
        <v>0</v>
      </c>
      <c r="HK77" s="1">
        <v>45473</v>
      </c>
      <c r="HL77" s="1">
        <v>341385</v>
      </c>
      <c r="HM77">
        <v>97</v>
      </c>
      <c r="HN77" s="1">
        <v>14006</v>
      </c>
      <c r="HO77" s="1">
        <v>14103</v>
      </c>
      <c r="HP77">
        <v>476</v>
      </c>
      <c r="HQ77">
        <v>937</v>
      </c>
      <c r="HR77" s="1">
        <v>1413</v>
      </c>
      <c r="HS77">
        <v>0</v>
      </c>
      <c r="HT77">
        <v>0</v>
      </c>
      <c r="HU77">
        <v>0</v>
      </c>
      <c r="HV77" s="1">
        <v>1351</v>
      </c>
      <c r="HW77" s="1">
        <v>16867</v>
      </c>
      <c r="HX77" s="1">
        <v>7630</v>
      </c>
      <c r="HY77">
        <v>0</v>
      </c>
      <c r="HZ77" s="1">
        <v>7630</v>
      </c>
      <c r="IA77" s="1">
        <v>24497</v>
      </c>
      <c r="IB77" s="1">
        <v>12329</v>
      </c>
      <c r="IC77" s="1">
        <v>46886</v>
      </c>
      <c r="ID77" s="1">
        <v>358252</v>
      </c>
      <c r="IE77" s="1">
        <v>358252</v>
      </c>
      <c r="IF77" s="1">
        <v>365882</v>
      </c>
      <c r="IG77" s="1">
        <v>152260</v>
      </c>
      <c r="IH77">
        <v>160</v>
      </c>
      <c r="IK77">
        <v>3</v>
      </c>
      <c r="IL77" s="3">
        <v>4.3700000000000003E-2</v>
      </c>
      <c r="IM77" s="3">
        <v>8.9999999999999998E-4</v>
      </c>
      <c r="IN77" s="3">
        <v>8.6199999999999999E-2</v>
      </c>
      <c r="IO77" s="3">
        <v>0</v>
      </c>
      <c r="IP77" s="3">
        <v>7.3800000000000004E-2</v>
      </c>
      <c r="IQ77" s="3">
        <v>2.0000000000000001E-4</v>
      </c>
      <c r="IR77" s="3">
        <v>0.80549999999999999</v>
      </c>
      <c r="IS77" s="3">
        <v>2.9700000000000001E-2</v>
      </c>
      <c r="IT77" s="3">
        <v>0.42499999999999999</v>
      </c>
      <c r="IU77" s="1">
        <v>92129</v>
      </c>
      <c r="IV77" s="1">
        <v>29917</v>
      </c>
      <c r="IW77" s="1">
        <v>122046</v>
      </c>
      <c r="IX77" s="3">
        <v>0.49690000000000001</v>
      </c>
      <c r="IY77" s="1">
        <v>420949</v>
      </c>
      <c r="JA77">
        <v>614</v>
      </c>
      <c r="JB77">
        <v>140</v>
      </c>
      <c r="JC77">
        <v>783</v>
      </c>
      <c r="JD77">
        <v>123</v>
      </c>
      <c r="JE77">
        <v>33</v>
      </c>
      <c r="JF77">
        <v>478</v>
      </c>
      <c r="JG77">
        <v>737</v>
      </c>
      <c r="JH77">
        <v>173</v>
      </c>
      <c r="JI77" s="1">
        <v>1261</v>
      </c>
      <c r="JJ77" s="1">
        <v>2171</v>
      </c>
      <c r="JK77" s="1">
        <v>1537</v>
      </c>
      <c r="JL77">
        <v>634</v>
      </c>
      <c r="JM77" s="1">
        <v>5391</v>
      </c>
      <c r="JN77">
        <v>971</v>
      </c>
      <c r="JO77" s="1">
        <v>21824</v>
      </c>
      <c r="JP77" s="1">
        <v>3361</v>
      </c>
      <c r="JQ77" s="1">
        <v>1057</v>
      </c>
      <c r="JR77" s="1">
        <v>27283</v>
      </c>
      <c r="JS77" s="1">
        <v>8752</v>
      </c>
      <c r="JT77" s="1">
        <v>2028</v>
      </c>
      <c r="JU77" s="1">
        <v>49107</v>
      </c>
      <c r="JV77" s="1">
        <v>59887</v>
      </c>
      <c r="JW77" s="1">
        <v>28186</v>
      </c>
      <c r="JX77" s="1">
        <v>31701</v>
      </c>
      <c r="JY77">
        <v>27.58</v>
      </c>
      <c r="JZ77">
        <v>11.88</v>
      </c>
      <c r="KA77">
        <v>38.94</v>
      </c>
      <c r="KB77">
        <v>0.15</v>
      </c>
      <c r="KC77">
        <v>0.82</v>
      </c>
      <c r="KD77">
        <v>104</v>
      </c>
      <c r="KE77">
        <v>797</v>
      </c>
      <c r="KF77">
        <v>318</v>
      </c>
      <c r="KG77" s="1">
        <v>2011</v>
      </c>
      <c r="KN77" s="1">
        <v>90232</v>
      </c>
      <c r="KO77" s="1">
        <v>24520</v>
      </c>
      <c r="KP77" s="1">
        <v>12431</v>
      </c>
      <c r="KR77" s="1">
        <v>2028</v>
      </c>
      <c r="KS77" s="1">
        <v>29913</v>
      </c>
      <c r="KT77">
        <v>153</v>
      </c>
      <c r="KU77">
        <v>68</v>
      </c>
      <c r="KV77">
        <v>76</v>
      </c>
      <c r="KW77">
        <v>135</v>
      </c>
      <c r="KX77" s="1">
        <v>74038</v>
      </c>
      <c r="KZ77">
        <v>289</v>
      </c>
      <c r="LA77" s="1">
        <v>9312</v>
      </c>
      <c r="LD77" t="s">
        <v>1317</v>
      </c>
      <c r="LE77" t="s">
        <v>469</v>
      </c>
      <c r="LF77" t="s">
        <v>1318</v>
      </c>
      <c r="LG77" t="s">
        <v>1319</v>
      </c>
      <c r="LH77">
        <v>27209</v>
      </c>
      <c r="LI77">
        <v>9801</v>
      </c>
      <c r="LJ77" t="s">
        <v>1320</v>
      </c>
      <c r="LK77" t="s">
        <v>1319</v>
      </c>
      <c r="LL77">
        <v>27209</v>
      </c>
      <c r="LM77">
        <v>9801</v>
      </c>
      <c r="LN77" t="s">
        <v>1321</v>
      </c>
      <c r="LO77">
        <v>9104282551</v>
      </c>
      <c r="LP77">
        <v>9104282551</v>
      </c>
      <c r="LQ77" s="1">
        <v>96025</v>
      </c>
      <c r="LR77">
        <v>44.36</v>
      </c>
      <c r="LT77" s="1">
        <v>28102</v>
      </c>
      <c r="LU77">
        <v>850</v>
      </c>
      <c r="LX77">
        <v>4</v>
      </c>
      <c r="LY77" t="s">
        <v>1322</v>
      </c>
      <c r="LZ77">
        <v>0</v>
      </c>
      <c r="MA77" t="s">
        <v>408</v>
      </c>
      <c r="MB77">
        <v>6.29</v>
      </c>
      <c r="MC77">
        <v>60.47</v>
      </c>
      <c r="ME77" s="574">
        <v>7.6</v>
      </c>
      <c r="MF77" s="574">
        <v>5.3</v>
      </c>
      <c r="MG77" s="574">
        <v>0.81</v>
      </c>
      <c r="MH77" s="574">
        <v>22.31</v>
      </c>
      <c r="MI77" s="574">
        <v>15.57</v>
      </c>
      <c r="MJ77" s="574">
        <v>2.38</v>
      </c>
      <c r="MK77" s="574">
        <v>6.47</v>
      </c>
      <c r="ML77" s="574">
        <v>4.51</v>
      </c>
      <c r="MM77" s="574">
        <v>0.69</v>
      </c>
      <c r="MN77" s="574">
        <v>30.17</v>
      </c>
      <c r="MO77" s="574">
        <v>21.06</v>
      </c>
      <c r="MP77" s="574">
        <v>3.22</v>
      </c>
      <c r="MQ77" s="574">
        <v>45.46</v>
      </c>
      <c r="MR77" s="574">
        <v>31.73</v>
      </c>
      <c r="MS77" s="574">
        <v>4.8600000000000003</v>
      </c>
      <c r="MT77" s="574">
        <v>17.88</v>
      </c>
      <c r="MU77" s="574">
        <v>12.48</v>
      </c>
      <c r="MV77" s="574">
        <v>1.91</v>
      </c>
      <c r="MW77" s="1">
        <v>1921</v>
      </c>
      <c r="MX77" s="1">
        <v>15039</v>
      </c>
      <c r="MY77" s="1">
        <v>15039</v>
      </c>
      <c r="MZ77" s="1">
        <v>8964</v>
      </c>
      <c r="NA77" s="1">
        <v>70158</v>
      </c>
      <c r="NB77" s="1">
        <v>70158</v>
      </c>
      <c r="NC77" s="1">
        <v>59709</v>
      </c>
      <c r="ND77" s="1">
        <v>59709</v>
      </c>
      <c r="NE77">
        <v>0.94</v>
      </c>
      <c r="NF77" s="1">
        <v>7629</v>
      </c>
      <c r="NG77">
        <v>3.67</v>
      </c>
      <c r="NH77">
        <v>1.4590000000000001</v>
      </c>
      <c r="NI77">
        <v>1.71</v>
      </c>
      <c r="NJ77">
        <v>1.25</v>
      </c>
      <c r="NK77">
        <v>0.56000000000000005</v>
      </c>
      <c r="NL77">
        <v>0.3674</v>
      </c>
      <c r="NM77">
        <v>0.62</v>
      </c>
      <c r="NN77">
        <v>0.5</v>
      </c>
      <c r="NO77">
        <v>0.24</v>
      </c>
      <c r="NP77">
        <v>0</v>
      </c>
      <c r="NQ77">
        <v>0</v>
      </c>
      <c r="NR77">
        <v>0.3</v>
      </c>
      <c r="NS77">
        <v>0.04</v>
      </c>
      <c r="NT77">
        <v>0.2</v>
      </c>
      <c r="NU77" s="574">
        <v>7.74</v>
      </c>
      <c r="NV77">
        <v>1.5589999999999999</v>
      </c>
      <c r="NW77">
        <v>0</v>
      </c>
      <c r="NX77">
        <v>1E-3</v>
      </c>
      <c r="NY77">
        <v>0.115</v>
      </c>
      <c r="NZ77">
        <v>0</v>
      </c>
      <c r="OA77">
        <v>4.9200000000000001E-2</v>
      </c>
      <c r="OB77">
        <v>0.38479999999999998</v>
      </c>
      <c r="OC77">
        <v>2.8679999999999999</v>
      </c>
      <c r="OD77">
        <v>1.256</v>
      </c>
      <c r="OE77">
        <v>0.1668</v>
      </c>
      <c r="OF77">
        <v>231.495</v>
      </c>
      <c r="OG77">
        <v>0.64700000000000002</v>
      </c>
      <c r="OH77" s="574">
        <v>2.16</v>
      </c>
      <c r="OI77">
        <v>93</v>
      </c>
      <c r="OJ77">
        <v>137</v>
      </c>
      <c r="OK77" s="574">
        <v>11.09</v>
      </c>
      <c r="OL77" s="574">
        <v>1.18</v>
      </c>
      <c r="OM77" s="574">
        <v>0.96</v>
      </c>
      <c r="ON77">
        <v>0.19120000000000001</v>
      </c>
      <c r="OO77">
        <v>2.4400000000000002E-2</v>
      </c>
      <c r="OP77">
        <v>0.33560000000000001</v>
      </c>
      <c r="OQ77" s="574">
        <v>2.31</v>
      </c>
      <c r="OR77" s="574">
        <v>7.78</v>
      </c>
      <c r="OS77" s="574">
        <v>0.49</v>
      </c>
      <c r="OT77" s="574">
        <v>0.57999999999999996</v>
      </c>
      <c r="OU77" s="574">
        <v>11.17</v>
      </c>
      <c r="OV77">
        <v>3</v>
      </c>
      <c r="OW77">
        <v>1</v>
      </c>
      <c r="OX77">
        <v>0.85</v>
      </c>
      <c r="OY77" s="1">
        <v>6889</v>
      </c>
      <c r="OZ77">
        <v>14.98</v>
      </c>
      <c r="PA77" s="1">
        <v>8095</v>
      </c>
      <c r="PB77">
        <v>3.21</v>
      </c>
      <c r="PC77">
        <v>12.75</v>
      </c>
      <c r="PD77">
        <v>0.21</v>
      </c>
      <c r="PE77" s="1">
        <v>1735</v>
      </c>
      <c r="PF77">
        <v>1.07</v>
      </c>
      <c r="PG77" s="574">
        <v>0.69</v>
      </c>
      <c r="PH77">
        <v>0.91</v>
      </c>
      <c r="PI77">
        <v>11.44</v>
      </c>
      <c r="PJ77">
        <v>2.94</v>
      </c>
      <c r="PK77" s="574">
        <v>6.47</v>
      </c>
      <c r="PL77">
        <v>30.02</v>
      </c>
      <c r="PM77" s="4">
        <v>40461</v>
      </c>
      <c r="PN77" s="4">
        <v>29108</v>
      </c>
      <c r="PO77">
        <v>0.13109999999999999</v>
      </c>
      <c r="PP77">
        <v>0.52039999999999997</v>
      </c>
      <c r="PQ77">
        <v>0.1116</v>
      </c>
      <c r="PR77">
        <v>1.6799999999999999E-2</v>
      </c>
      <c r="PS77">
        <v>6.6500000000000004E-2</v>
      </c>
      <c r="PT77">
        <v>1.43E-2</v>
      </c>
      <c r="PU77" s="3">
        <v>1</v>
      </c>
      <c r="PV77" s="3">
        <v>0.1278</v>
      </c>
      <c r="PW77" s="3">
        <v>0.87219999999999998</v>
      </c>
      <c r="PX77" s="3">
        <v>0.28060000000000002</v>
      </c>
      <c r="PY77" s="3">
        <v>0.71940000000000004</v>
      </c>
      <c r="PZ77" s="3">
        <v>0.1069</v>
      </c>
      <c r="QA77" s="3">
        <v>1.03E-2</v>
      </c>
      <c r="QB77" s="3">
        <v>0.1958</v>
      </c>
      <c r="QC77" s="3">
        <v>9.5999999999999992E-3</v>
      </c>
      <c r="QD77" s="3">
        <v>0.1953</v>
      </c>
      <c r="QE77" s="3">
        <v>8.6900000000000005E-2</v>
      </c>
      <c r="QF77" s="3">
        <v>0.50209999999999999</v>
      </c>
      <c r="QG77" s="3">
        <v>0.69789999999999996</v>
      </c>
      <c r="QH77" s="3">
        <v>4.4299999999999999E-2</v>
      </c>
      <c r="QI77" s="3">
        <v>0.69669999999999999</v>
      </c>
      <c r="QJ77" s="3">
        <v>5.1999999999999998E-2</v>
      </c>
      <c r="QK77" s="3">
        <v>0.20699999999999999</v>
      </c>
      <c r="QL77" s="4">
        <v>11352</v>
      </c>
      <c r="QM77">
        <v>3.45</v>
      </c>
      <c r="QN77" s="1">
        <v>40934</v>
      </c>
      <c r="QO77" s="1">
        <v>40934</v>
      </c>
      <c r="QP77" s="1">
        <v>5230</v>
      </c>
      <c r="QQ77" s="3">
        <v>0.81369999999999998</v>
      </c>
      <c r="QR77" s="3">
        <v>9.6600000000000005E-2</v>
      </c>
      <c r="QS77" s="3">
        <v>8.9700000000000002E-2</v>
      </c>
      <c r="QT77" s="3">
        <v>0.1278</v>
      </c>
      <c r="QU77">
        <v>0.26</v>
      </c>
      <c r="QV77">
        <v>0.67</v>
      </c>
      <c r="QW77">
        <v>0.19</v>
      </c>
      <c r="QX77">
        <v>13</v>
      </c>
      <c r="QY77">
        <v>1.51</v>
      </c>
      <c r="QZ77">
        <v>14</v>
      </c>
      <c r="RA77">
        <v>1.23</v>
      </c>
      <c r="RB77">
        <v>0.13</v>
      </c>
      <c r="RC77">
        <v>0.13</v>
      </c>
    </row>
    <row r="78" spans="1:471" x14ac:dyDescent="0.25">
      <c r="A78" t="s">
        <v>1323</v>
      </c>
      <c r="B78">
        <v>11697</v>
      </c>
      <c r="C78" t="s">
        <v>1754</v>
      </c>
      <c r="D78" t="s">
        <v>1754</v>
      </c>
      <c r="E78" t="s">
        <v>1754</v>
      </c>
      <c r="F78" t="s">
        <v>1755</v>
      </c>
      <c r="G78" t="s">
        <v>1755</v>
      </c>
      <c r="H78" t="s">
        <v>1324</v>
      </c>
      <c r="I78" t="s">
        <v>342</v>
      </c>
      <c r="J78" t="s">
        <v>343</v>
      </c>
      <c r="K78" t="s">
        <v>344</v>
      </c>
      <c r="L78" t="s">
        <v>345</v>
      </c>
      <c r="M78" t="s">
        <v>346</v>
      </c>
      <c r="N78" t="s">
        <v>347</v>
      </c>
      <c r="O78" s="1">
        <v>35821</v>
      </c>
      <c r="P78" t="s">
        <v>348</v>
      </c>
      <c r="Q78">
        <v>129</v>
      </c>
      <c r="R78">
        <v>27</v>
      </c>
      <c r="S78">
        <v>13</v>
      </c>
      <c r="T78">
        <v>9</v>
      </c>
      <c r="U78" s="1">
        <v>2738</v>
      </c>
      <c r="V78" s="1">
        <v>2112</v>
      </c>
      <c r="W78" s="1">
        <v>3756</v>
      </c>
      <c r="X78" s="1">
        <v>1013</v>
      </c>
      <c r="Y78" s="1">
        <v>14280</v>
      </c>
      <c r="Z78" s="1">
        <v>2520</v>
      </c>
      <c r="AC78" t="s">
        <v>1325</v>
      </c>
      <c r="AD78" t="s">
        <v>1326</v>
      </c>
      <c r="AE78">
        <v>28352</v>
      </c>
      <c r="AF78">
        <v>3720</v>
      </c>
      <c r="AG78" t="s">
        <v>1327</v>
      </c>
      <c r="AH78" t="s">
        <v>1326</v>
      </c>
      <c r="AI78">
        <v>28352</v>
      </c>
      <c r="AJ78">
        <v>1</v>
      </c>
      <c r="AK78" t="s">
        <v>1328</v>
      </c>
      <c r="AM78" t="s">
        <v>0</v>
      </c>
      <c r="AN78" t="s">
        <v>1329</v>
      </c>
      <c r="AO78" t="s">
        <v>1330</v>
      </c>
      <c r="AP78">
        <v>9102760577</v>
      </c>
      <c r="AQ78" t="s">
        <v>1332</v>
      </c>
      <c r="AR78" t="s">
        <v>1333</v>
      </c>
      <c r="AS78" t="s">
        <v>1330</v>
      </c>
      <c r="AT78" t="s">
        <v>376</v>
      </c>
      <c r="AU78" t="s">
        <v>1331</v>
      </c>
      <c r="AV78" t="s">
        <v>1332</v>
      </c>
      <c r="AW78" t="s">
        <v>1333</v>
      </c>
      <c r="AX78" t="s">
        <v>1936</v>
      </c>
      <c r="AY78">
        <v>0</v>
      </c>
      <c r="AZ78">
        <v>0</v>
      </c>
      <c r="BA78">
        <v>0</v>
      </c>
      <c r="BB78" s="573">
        <v>42186</v>
      </c>
      <c r="BC78" s="573">
        <v>42551</v>
      </c>
      <c r="BD78">
        <v>1</v>
      </c>
      <c r="BE78">
        <v>0</v>
      </c>
      <c r="BF78">
        <v>1</v>
      </c>
      <c r="BG78">
        <v>0</v>
      </c>
      <c r="BH78">
        <v>2</v>
      </c>
      <c r="BJ78" s="1">
        <v>2683</v>
      </c>
      <c r="BK78">
        <v>1</v>
      </c>
      <c r="BL78">
        <v>0</v>
      </c>
      <c r="BM78">
        <v>1</v>
      </c>
      <c r="BN78">
        <v>5.3</v>
      </c>
      <c r="BO78">
        <v>6.3</v>
      </c>
      <c r="BP78" s="3">
        <v>0.15870000000000001</v>
      </c>
      <c r="BQ78" s="1">
        <v>1268</v>
      </c>
      <c r="BR78" s="4">
        <v>56827</v>
      </c>
      <c r="DW78" s="4">
        <v>0</v>
      </c>
      <c r="DX78" s="4">
        <v>356220</v>
      </c>
      <c r="DY78" s="4">
        <v>356220</v>
      </c>
      <c r="DZ78" s="4">
        <v>103598</v>
      </c>
      <c r="EA78" s="4">
        <v>0</v>
      </c>
      <c r="EB78" s="4">
        <v>103598</v>
      </c>
      <c r="EC78" s="4">
        <v>0</v>
      </c>
      <c r="ED78" s="4">
        <v>0</v>
      </c>
      <c r="EE78" s="4">
        <v>0</v>
      </c>
      <c r="EF78" s="4">
        <v>10124</v>
      </c>
      <c r="EG78" s="4">
        <v>469942</v>
      </c>
      <c r="EH78" s="4">
        <v>192514</v>
      </c>
      <c r="EI78" s="4">
        <v>77972</v>
      </c>
      <c r="EJ78" s="4">
        <v>270486</v>
      </c>
      <c r="EK78" s="4">
        <v>44385</v>
      </c>
      <c r="EL78" s="4">
        <v>7144</v>
      </c>
      <c r="EM78" s="4">
        <v>18634</v>
      </c>
      <c r="EN78" s="4">
        <v>70163</v>
      </c>
      <c r="EO78" s="4">
        <v>106726</v>
      </c>
      <c r="EP78" s="4">
        <v>447375</v>
      </c>
      <c r="EQ78" s="4">
        <v>22567</v>
      </c>
      <c r="ER78" s="3">
        <v>4.8000000000000001E-2</v>
      </c>
      <c r="ES78" s="4">
        <v>0</v>
      </c>
      <c r="ET78" s="4">
        <v>0</v>
      </c>
      <c r="EU78" s="4">
        <v>0</v>
      </c>
      <c r="EV78" s="4">
        <v>0</v>
      </c>
      <c r="EW78" s="4">
        <v>0</v>
      </c>
      <c r="EX78" s="4">
        <v>0</v>
      </c>
      <c r="EY78" s="1">
        <v>7802</v>
      </c>
      <c r="EZ78" s="1">
        <v>101621</v>
      </c>
      <c r="FA78" s="1">
        <v>15656</v>
      </c>
      <c r="FB78" s="1">
        <v>2388</v>
      </c>
      <c r="FC78" s="1">
        <v>8688</v>
      </c>
      <c r="FD78" s="1">
        <v>10679</v>
      </c>
      <c r="FE78">
        <v>210</v>
      </c>
      <c r="FF78" s="1">
        <v>5343</v>
      </c>
      <c r="FG78" s="1">
        <v>26335</v>
      </c>
      <c r="FH78" s="1">
        <v>2598</v>
      </c>
      <c r="FI78" s="1">
        <v>14031</v>
      </c>
      <c r="FJ78" s="1">
        <v>42964</v>
      </c>
      <c r="FK78">
        <v>0</v>
      </c>
      <c r="FL78">
        <v>50</v>
      </c>
      <c r="FN78" s="1">
        <v>42964</v>
      </c>
      <c r="FO78" s="1">
        <v>2038</v>
      </c>
      <c r="FP78" s="1">
        <v>2559</v>
      </c>
      <c r="FQ78">
        <v>0</v>
      </c>
      <c r="FR78">
        <v>3</v>
      </c>
      <c r="FS78">
        <v>74</v>
      </c>
      <c r="FT78">
        <v>77</v>
      </c>
      <c r="FU78" s="1">
        <v>26725</v>
      </c>
      <c r="FV78" s="1">
        <v>2022</v>
      </c>
      <c r="FW78">
        <v>0</v>
      </c>
      <c r="GC78" s="1">
        <v>23798</v>
      </c>
      <c r="GD78" s="1">
        <v>1183</v>
      </c>
      <c r="GE78">
        <v>205</v>
      </c>
      <c r="GK78">
        <v>0</v>
      </c>
      <c r="GL78">
        <v>0</v>
      </c>
      <c r="GM78">
        <v>0</v>
      </c>
      <c r="GN78">
        <v>0</v>
      </c>
      <c r="GO78" s="1">
        <v>50523</v>
      </c>
      <c r="GP78" s="1">
        <v>3205</v>
      </c>
      <c r="GQ78">
        <v>205</v>
      </c>
      <c r="GR78">
        <v>0</v>
      </c>
      <c r="GS78">
        <v>38</v>
      </c>
      <c r="GU78" s="1">
        <v>17658</v>
      </c>
      <c r="GV78" s="1">
        <v>3223</v>
      </c>
      <c r="GW78" s="1">
        <v>11824</v>
      </c>
      <c r="GX78" s="1">
        <v>3894</v>
      </c>
      <c r="GY78">
        <v>156</v>
      </c>
      <c r="GZ78" s="1">
        <v>2025</v>
      </c>
      <c r="HA78" s="1">
        <v>21552</v>
      </c>
      <c r="HB78" s="1">
        <v>3379</v>
      </c>
      <c r="HC78" s="1">
        <v>13849</v>
      </c>
      <c r="HD78" s="1">
        <v>38780</v>
      </c>
      <c r="HE78">
        <v>0</v>
      </c>
      <c r="HF78" s="1">
        <v>38780</v>
      </c>
      <c r="HG78" s="1">
        <v>2361</v>
      </c>
      <c r="HH78" s="1">
        <v>16118</v>
      </c>
      <c r="HI78">
        <v>0</v>
      </c>
      <c r="HJ78">
        <v>0</v>
      </c>
      <c r="HK78" s="1">
        <v>18479</v>
      </c>
      <c r="HL78" s="1">
        <v>57259</v>
      </c>
      <c r="HM78">
        <v>10</v>
      </c>
      <c r="HN78" s="1">
        <v>1457</v>
      </c>
      <c r="HO78" s="1">
        <v>1467</v>
      </c>
      <c r="HP78">
        <v>3</v>
      </c>
      <c r="HQ78">
        <v>141</v>
      </c>
      <c r="HR78">
        <v>144</v>
      </c>
      <c r="HS78">
        <v>0</v>
      </c>
      <c r="HT78">
        <v>0</v>
      </c>
      <c r="HU78">
        <v>0</v>
      </c>
      <c r="HV78">
        <v>0</v>
      </c>
      <c r="HW78" s="1">
        <v>1611</v>
      </c>
      <c r="HX78">
        <v>162</v>
      </c>
      <c r="HY78" s="1">
        <v>4595</v>
      </c>
      <c r="HZ78" s="1">
        <v>4757</v>
      </c>
      <c r="IA78" s="1">
        <v>6368</v>
      </c>
      <c r="IB78" s="1">
        <v>2505</v>
      </c>
      <c r="IC78" s="1">
        <v>18623</v>
      </c>
      <c r="ID78" s="1">
        <v>58870</v>
      </c>
      <c r="IE78" s="1">
        <v>58870</v>
      </c>
      <c r="IF78" s="1">
        <v>63627</v>
      </c>
      <c r="IG78" s="1">
        <v>17228</v>
      </c>
      <c r="IH78">
        <v>0</v>
      </c>
      <c r="IL78" s="3">
        <v>2.7199999999999998E-2</v>
      </c>
      <c r="IM78" s="3">
        <v>5.0000000000000001E-4</v>
      </c>
      <c r="IN78" s="3">
        <v>0.53069999999999995</v>
      </c>
      <c r="IO78" s="3">
        <v>0</v>
      </c>
      <c r="IP78" s="3">
        <v>0.49719999999999998</v>
      </c>
      <c r="IQ78" s="3">
        <v>8.0000000000000004E-4</v>
      </c>
      <c r="IR78" s="3">
        <v>0.42280000000000001</v>
      </c>
      <c r="IS78" s="3">
        <v>5.16E-2</v>
      </c>
      <c r="IT78" s="3">
        <v>0.29260000000000003</v>
      </c>
      <c r="IU78" s="1">
        <v>5881</v>
      </c>
      <c r="IV78" s="1">
        <v>1579</v>
      </c>
      <c r="IW78" s="1">
        <v>7460</v>
      </c>
      <c r="IX78" s="3">
        <v>0.20830000000000001</v>
      </c>
      <c r="IY78" s="1">
        <v>89776</v>
      </c>
      <c r="JA78">
        <v>44</v>
      </c>
      <c r="JB78">
        <v>14</v>
      </c>
      <c r="JC78">
        <v>96</v>
      </c>
      <c r="JD78">
        <v>0</v>
      </c>
      <c r="JE78">
        <v>0</v>
      </c>
      <c r="JF78">
        <v>32</v>
      </c>
      <c r="JG78">
        <v>44</v>
      </c>
      <c r="JH78">
        <v>14</v>
      </c>
      <c r="JI78">
        <v>128</v>
      </c>
      <c r="JJ78">
        <v>186</v>
      </c>
      <c r="JK78">
        <v>154</v>
      </c>
      <c r="JL78">
        <v>32</v>
      </c>
      <c r="JM78" s="1">
        <v>1368</v>
      </c>
      <c r="JN78">
        <v>182</v>
      </c>
      <c r="JO78" s="1">
        <v>5529</v>
      </c>
      <c r="JP78">
        <v>0</v>
      </c>
      <c r="JQ78">
        <v>0</v>
      </c>
      <c r="JR78">
        <v>667</v>
      </c>
      <c r="JS78" s="1">
        <v>1368</v>
      </c>
      <c r="JT78">
        <v>182</v>
      </c>
      <c r="JU78" s="1">
        <v>6196</v>
      </c>
      <c r="JV78" s="1">
        <v>7746</v>
      </c>
      <c r="JW78" s="1">
        <v>7079</v>
      </c>
      <c r="JX78">
        <v>667</v>
      </c>
      <c r="JY78">
        <v>41.65</v>
      </c>
      <c r="JZ78">
        <v>31.09</v>
      </c>
      <c r="KA78">
        <v>48.41</v>
      </c>
      <c r="KB78">
        <v>0.18</v>
      </c>
      <c r="KC78">
        <v>0.8</v>
      </c>
      <c r="KD78">
        <v>0</v>
      </c>
      <c r="KE78">
        <v>0</v>
      </c>
      <c r="KF78">
        <v>0</v>
      </c>
      <c r="KG78">
        <v>0</v>
      </c>
      <c r="KN78" s="1">
        <v>5673</v>
      </c>
      <c r="KO78" s="1">
        <v>5317</v>
      </c>
      <c r="KP78">
        <v>281</v>
      </c>
      <c r="KR78">
        <v>229</v>
      </c>
      <c r="KS78" s="1">
        <v>2708</v>
      </c>
      <c r="KT78">
        <v>0</v>
      </c>
      <c r="KU78">
        <v>72</v>
      </c>
      <c r="KV78">
        <v>9</v>
      </c>
      <c r="KW78">
        <v>14</v>
      </c>
      <c r="KX78" s="1">
        <v>16207</v>
      </c>
      <c r="LA78" s="1">
        <v>2944</v>
      </c>
      <c r="LD78" t="s">
        <v>1328</v>
      </c>
      <c r="LE78" t="s">
        <v>379</v>
      </c>
      <c r="LF78" t="s">
        <v>1327</v>
      </c>
      <c r="LG78" t="s">
        <v>1326</v>
      </c>
      <c r="LH78">
        <v>28352</v>
      </c>
      <c r="LI78">
        <v>3720</v>
      </c>
      <c r="LJ78" t="s">
        <v>1327</v>
      </c>
      <c r="LK78" t="s">
        <v>1326</v>
      </c>
      <c r="LL78">
        <v>28352</v>
      </c>
      <c r="LM78">
        <v>3720</v>
      </c>
      <c r="LN78" t="s">
        <v>1329</v>
      </c>
      <c r="LO78">
        <v>9102760563</v>
      </c>
      <c r="LP78">
        <v>9102764032</v>
      </c>
      <c r="LQ78" s="1">
        <v>8400</v>
      </c>
      <c r="LR78">
        <v>6.3</v>
      </c>
      <c r="LT78" s="1">
        <v>2683</v>
      </c>
      <c r="LU78">
        <v>86</v>
      </c>
      <c r="LX78">
        <v>2</v>
      </c>
      <c r="LY78" t="s">
        <v>1334</v>
      </c>
      <c r="LZ78">
        <v>0</v>
      </c>
      <c r="MA78" t="s">
        <v>363</v>
      </c>
      <c r="MB78">
        <v>50.57</v>
      </c>
      <c r="MC78">
        <v>59.48</v>
      </c>
      <c r="ME78" s="574">
        <v>7.6</v>
      </c>
      <c r="MF78" s="574">
        <v>4.59</v>
      </c>
      <c r="MG78" s="574">
        <v>1.19</v>
      </c>
      <c r="MH78" s="574">
        <v>59.97</v>
      </c>
      <c r="MI78" s="574">
        <v>36.26</v>
      </c>
      <c r="MJ78" s="574">
        <v>9.41</v>
      </c>
      <c r="MK78" s="574">
        <v>4.9800000000000004</v>
      </c>
      <c r="ML78" s="574">
        <v>3.01</v>
      </c>
      <c r="MM78" s="574">
        <v>0.78</v>
      </c>
      <c r="MN78" s="574">
        <v>78.86</v>
      </c>
      <c r="MO78" s="574">
        <v>47.68</v>
      </c>
      <c r="MP78" s="574">
        <v>12.37</v>
      </c>
      <c r="MQ78" s="574">
        <v>57.76</v>
      </c>
      <c r="MR78" s="574">
        <v>34.92</v>
      </c>
      <c r="MS78" s="574">
        <v>9.06</v>
      </c>
      <c r="MT78" s="574">
        <v>25.97</v>
      </c>
      <c r="MU78" s="574">
        <v>15.7</v>
      </c>
      <c r="MV78" s="574">
        <v>4.07</v>
      </c>
      <c r="MW78">
        <v>900</v>
      </c>
      <c r="MX78" s="1">
        <v>5673</v>
      </c>
      <c r="MY78" s="1">
        <v>5673</v>
      </c>
      <c r="MZ78" s="1">
        <v>14250</v>
      </c>
      <c r="NA78" s="1">
        <v>89776</v>
      </c>
      <c r="NB78" s="1">
        <v>89776</v>
      </c>
      <c r="NC78" s="1">
        <v>58870</v>
      </c>
      <c r="ND78" s="1">
        <v>58870</v>
      </c>
      <c r="NE78">
        <v>0.57999999999999996</v>
      </c>
      <c r="NF78" s="1">
        <v>9344</v>
      </c>
      <c r="NG78">
        <v>4.49</v>
      </c>
      <c r="NH78">
        <v>1.643</v>
      </c>
      <c r="NI78">
        <v>2.5099999999999998</v>
      </c>
      <c r="NJ78">
        <v>0</v>
      </c>
      <c r="NK78">
        <v>9.65</v>
      </c>
      <c r="NL78">
        <v>0.15840000000000001</v>
      </c>
      <c r="NM78">
        <v>0.48099999999999998</v>
      </c>
      <c r="NN78">
        <v>0.21</v>
      </c>
      <c r="NO78">
        <v>0.22</v>
      </c>
      <c r="NP78">
        <v>0</v>
      </c>
      <c r="NQ78">
        <v>0</v>
      </c>
      <c r="NR78">
        <v>0.45</v>
      </c>
      <c r="NS78">
        <v>0.04</v>
      </c>
      <c r="NT78">
        <v>0.17</v>
      </c>
      <c r="NU78" s="574">
        <v>7.55</v>
      </c>
      <c r="NV78">
        <v>2.8370000000000002</v>
      </c>
      <c r="NW78">
        <v>0</v>
      </c>
      <c r="NX78">
        <v>1E-3</v>
      </c>
      <c r="NY78">
        <v>1.41</v>
      </c>
      <c r="NZ78">
        <v>2E-3</v>
      </c>
      <c r="OA78">
        <v>0.1341</v>
      </c>
      <c r="OB78">
        <v>0.84450000000000003</v>
      </c>
      <c r="OC78">
        <v>6.702</v>
      </c>
      <c r="OD78">
        <v>1.1990000000000001</v>
      </c>
      <c r="OE78">
        <v>0.14799999999999999</v>
      </c>
      <c r="OF78" s="2">
        <v>6772.52</v>
      </c>
      <c r="OG78">
        <v>10.321999999999999</v>
      </c>
      <c r="OH78" s="574">
        <v>2.98</v>
      </c>
      <c r="OI78">
        <v>703</v>
      </c>
      <c r="OJ78">
        <v>371</v>
      </c>
      <c r="OK78" s="574">
        <v>12.49</v>
      </c>
      <c r="OL78" s="574">
        <v>1.96</v>
      </c>
      <c r="OM78" s="574">
        <v>1.24</v>
      </c>
      <c r="ON78">
        <v>0.1759</v>
      </c>
      <c r="OO78">
        <v>2.7900000000000001E-2</v>
      </c>
      <c r="OP78">
        <v>0.71050000000000002</v>
      </c>
      <c r="OQ78" s="574">
        <v>2.89</v>
      </c>
      <c r="OR78" s="574">
        <v>9.94</v>
      </c>
      <c r="OS78" s="574">
        <v>0</v>
      </c>
      <c r="OT78" s="574">
        <v>0.28000000000000003</v>
      </c>
      <c r="OU78" s="574">
        <v>13.12</v>
      </c>
      <c r="OV78">
        <v>0</v>
      </c>
      <c r="OW78">
        <v>1</v>
      </c>
      <c r="OX78">
        <v>0.66</v>
      </c>
      <c r="OY78" s="1">
        <v>1132</v>
      </c>
      <c r="OZ78">
        <v>33.46</v>
      </c>
      <c r="PA78" s="1">
        <v>1726</v>
      </c>
      <c r="PB78">
        <v>2.11</v>
      </c>
      <c r="PC78">
        <v>21.94</v>
      </c>
      <c r="PD78">
        <v>0.06</v>
      </c>
      <c r="PE78">
        <v>109</v>
      </c>
      <c r="PF78">
        <v>1.73</v>
      </c>
      <c r="PG78" s="574">
        <v>0.78</v>
      </c>
      <c r="PH78">
        <v>1.1299999999999999</v>
      </c>
      <c r="PI78">
        <v>7.49</v>
      </c>
      <c r="PJ78">
        <v>7.89</v>
      </c>
      <c r="PK78" s="574">
        <v>4.9800000000000004</v>
      </c>
      <c r="PL78">
        <v>25.8</v>
      </c>
      <c r="PM78" s="4">
        <v>42934</v>
      </c>
      <c r="PN78" s="4">
        <v>30558</v>
      </c>
      <c r="PO78">
        <v>0.107</v>
      </c>
      <c r="PP78">
        <v>1.1105</v>
      </c>
      <c r="PQ78">
        <v>7.0199999999999999E-2</v>
      </c>
      <c r="PR78">
        <v>1.7000000000000001E-2</v>
      </c>
      <c r="PS78">
        <v>0.17630000000000001</v>
      </c>
      <c r="PT78">
        <v>1.11E-2</v>
      </c>
      <c r="PU78" s="3">
        <v>1</v>
      </c>
      <c r="PV78" s="3">
        <v>0.15870000000000001</v>
      </c>
      <c r="PW78" s="3">
        <v>0.84130000000000005</v>
      </c>
      <c r="PX78" s="3">
        <v>0.2883</v>
      </c>
      <c r="PY78" s="3">
        <v>0.7117</v>
      </c>
      <c r="PZ78" s="3">
        <v>0.15679999999999999</v>
      </c>
      <c r="QA78" s="3">
        <v>1.6E-2</v>
      </c>
      <c r="QB78" s="3">
        <v>0.17430000000000001</v>
      </c>
      <c r="QC78" s="3">
        <v>4.1700000000000001E-2</v>
      </c>
      <c r="QD78" s="3">
        <v>0.23860000000000001</v>
      </c>
      <c r="QE78" s="3">
        <v>9.9199999999999997E-2</v>
      </c>
      <c r="QF78" s="3">
        <v>0.43030000000000002</v>
      </c>
      <c r="QG78" s="3">
        <v>0.60460000000000003</v>
      </c>
      <c r="QH78" s="3">
        <v>0</v>
      </c>
      <c r="QI78" s="3">
        <v>0.75800000000000001</v>
      </c>
      <c r="QJ78" s="3">
        <v>2.1499999999999998E-2</v>
      </c>
      <c r="QK78" s="3">
        <v>0.22040000000000001</v>
      </c>
      <c r="QL78" s="4">
        <v>12377</v>
      </c>
      <c r="QM78">
        <v>12.03</v>
      </c>
      <c r="QN78" s="1">
        <v>35821</v>
      </c>
      <c r="QO78" s="1">
        <v>35821</v>
      </c>
      <c r="QP78" s="1">
        <v>5686</v>
      </c>
      <c r="QQ78" s="3">
        <v>0.63260000000000005</v>
      </c>
      <c r="QR78" s="3">
        <v>0.1018</v>
      </c>
      <c r="QS78" s="3">
        <v>0.2656</v>
      </c>
      <c r="QT78" s="3">
        <v>0.15870000000000001</v>
      </c>
      <c r="QU78">
        <v>0.31</v>
      </c>
      <c r="QV78">
        <v>0.76</v>
      </c>
      <c r="QW78">
        <v>0.22</v>
      </c>
      <c r="QX78">
        <v>8</v>
      </c>
      <c r="QY78">
        <v>1.33</v>
      </c>
      <c r="QZ78">
        <v>3</v>
      </c>
      <c r="RA78">
        <v>0.84</v>
      </c>
      <c r="RB78">
        <v>0.13</v>
      </c>
      <c r="RC78">
        <v>0.13</v>
      </c>
    </row>
    <row r="79" spans="1:471" x14ac:dyDescent="0.25">
      <c r="A79" t="s">
        <v>1335</v>
      </c>
      <c r="B79">
        <v>11689</v>
      </c>
      <c r="C79" t="s">
        <v>1754</v>
      </c>
      <c r="D79" t="s">
        <v>1754</v>
      </c>
      <c r="E79" t="s">
        <v>1754</v>
      </c>
      <c r="F79" t="s">
        <v>1755</v>
      </c>
      <c r="G79" t="s">
        <v>1755</v>
      </c>
      <c r="H79" t="s">
        <v>1336</v>
      </c>
      <c r="I79" t="s">
        <v>342</v>
      </c>
      <c r="J79" t="s">
        <v>343</v>
      </c>
      <c r="K79" t="s">
        <v>344</v>
      </c>
      <c r="L79" t="s">
        <v>345</v>
      </c>
      <c r="M79" t="s">
        <v>457</v>
      </c>
      <c r="N79" t="s">
        <v>347</v>
      </c>
      <c r="O79" s="1">
        <v>170830</v>
      </c>
      <c r="P79" t="s">
        <v>348</v>
      </c>
      <c r="Q79">
        <v>958</v>
      </c>
      <c r="R79">
        <v>39</v>
      </c>
      <c r="S79">
        <v>52</v>
      </c>
      <c r="T79">
        <v>17</v>
      </c>
      <c r="U79" s="1">
        <v>4043</v>
      </c>
      <c r="V79">
        <v>162</v>
      </c>
      <c r="W79" s="1">
        <v>76027</v>
      </c>
      <c r="X79" s="1">
        <v>6785</v>
      </c>
      <c r="Y79" s="1">
        <v>1197420</v>
      </c>
      <c r="AC79" t="s">
        <v>1337</v>
      </c>
      <c r="AD79" t="s">
        <v>1338</v>
      </c>
      <c r="AE79">
        <v>27858</v>
      </c>
      <c r="AF79">
        <v>2308</v>
      </c>
      <c r="AG79" t="s">
        <v>1337</v>
      </c>
      <c r="AH79" t="s">
        <v>1338</v>
      </c>
      <c r="AI79">
        <v>27858</v>
      </c>
      <c r="AJ79">
        <v>2</v>
      </c>
      <c r="AK79" t="s">
        <v>1339</v>
      </c>
      <c r="AM79" t="s">
        <v>0</v>
      </c>
      <c r="AN79" t="s">
        <v>748</v>
      </c>
      <c r="AO79" t="s">
        <v>1340</v>
      </c>
      <c r="AP79">
        <v>2523294585</v>
      </c>
      <c r="AQ79" t="s">
        <v>1341</v>
      </c>
      <c r="AR79" t="s">
        <v>1342</v>
      </c>
      <c r="AS79" t="s">
        <v>1937</v>
      </c>
      <c r="AT79" t="s">
        <v>1938</v>
      </c>
      <c r="AU79" t="s">
        <v>1343</v>
      </c>
      <c r="AV79" t="s">
        <v>1341</v>
      </c>
      <c r="AW79" t="s">
        <v>1939</v>
      </c>
      <c r="AX79" t="s">
        <v>1344</v>
      </c>
      <c r="AY79">
        <v>0</v>
      </c>
      <c r="AZ79">
        <v>0</v>
      </c>
      <c r="BA79">
        <v>0</v>
      </c>
      <c r="BB79" s="573">
        <v>42186</v>
      </c>
      <c r="BC79" s="573">
        <v>42551</v>
      </c>
      <c r="BD79">
        <v>1</v>
      </c>
      <c r="BE79">
        <v>4</v>
      </c>
      <c r="BF79">
        <v>1</v>
      </c>
      <c r="BG79">
        <v>1</v>
      </c>
      <c r="BH79">
        <v>7</v>
      </c>
      <c r="BJ79" s="1">
        <v>14478</v>
      </c>
      <c r="BK79">
        <v>1</v>
      </c>
      <c r="BL79">
        <v>4</v>
      </c>
      <c r="BM79">
        <v>5</v>
      </c>
      <c r="BN79">
        <v>30.16</v>
      </c>
      <c r="BO79">
        <v>35.159999999999997</v>
      </c>
      <c r="BP79" s="3">
        <v>2.8400000000000002E-2</v>
      </c>
      <c r="BQ79" s="1">
        <v>3622</v>
      </c>
      <c r="BR79" s="4">
        <v>94328</v>
      </c>
      <c r="DW79" s="4">
        <v>1354127</v>
      </c>
      <c r="DX79" s="4">
        <v>579395</v>
      </c>
      <c r="DY79" s="4">
        <v>1933522</v>
      </c>
      <c r="DZ79" s="4">
        <v>191774</v>
      </c>
      <c r="EA79" s="4">
        <v>0</v>
      </c>
      <c r="EB79" s="4">
        <v>191774</v>
      </c>
      <c r="EC79" s="4">
        <v>29322</v>
      </c>
      <c r="ED79" s="4">
        <v>0</v>
      </c>
      <c r="EE79" s="4">
        <v>29322</v>
      </c>
      <c r="EF79" s="4">
        <v>183640</v>
      </c>
      <c r="EG79" s="4">
        <v>2338258</v>
      </c>
      <c r="EH79" s="4">
        <v>1089451</v>
      </c>
      <c r="EI79" s="4">
        <v>321293</v>
      </c>
      <c r="EJ79" s="4">
        <v>1410744</v>
      </c>
      <c r="EK79" s="4">
        <v>219708</v>
      </c>
      <c r="EL79" s="4">
        <v>37141</v>
      </c>
      <c r="EM79" s="4">
        <v>20695</v>
      </c>
      <c r="EN79" s="4">
        <v>277544</v>
      </c>
      <c r="EO79" s="4">
        <v>528209</v>
      </c>
      <c r="EP79" s="4">
        <v>2216497</v>
      </c>
      <c r="EQ79" s="4">
        <v>121761</v>
      </c>
      <c r="ER79" s="3">
        <v>5.21E-2</v>
      </c>
      <c r="ES79" s="4">
        <v>0</v>
      </c>
      <c r="ET79" s="4">
        <v>0</v>
      </c>
      <c r="EU79" s="4">
        <v>0</v>
      </c>
      <c r="EV79" s="4">
        <v>0</v>
      </c>
      <c r="EW79" s="4">
        <v>0</v>
      </c>
      <c r="EX79" s="4">
        <v>99757</v>
      </c>
      <c r="EY79" s="1">
        <v>22529</v>
      </c>
      <c r="EZ79" s="1">
        <v>290080</v>
      </c>
      <c r="FA79" s="1">
        <v>62166</v>
      </c>
      <c r="FB79" s="1">
        <v>7001</v>
      </c>
      <c r="FC79" s="1">
        <v>43804</v>
      </c>
      <c r="FD79" s="1">
        <v>63423</v>
      </c>
      <c r="FE79" s="1">
        <v>3343</v>
      </c>
      <c r="FF79" s="1">
        <v>23741</v>
      </c>
      <c r="FG79" s="1">
        <v>125589</v>
      </c>
      <c r="FH79" s="1">
        <v>10344</v>
      </c>
      <c r="FI79" s="1">
        <v>67545</v>
      </c>
      <c r="FJ79" s="1">
        <v>203478</v>
      </c>
      <c r="FK79" s="1">
        <v>32364</v>
      </c>
      <c r="FL79">
        <v>301</v>
      </c>
      <c r="FN79" s="1">
        <v>203478</v>
      </c>
      <c r="FO79" s="1">
        <v>8882</v>
      </c>
      <c r="FP79" s="1">
        <v>11337</v>
      </c>
      <c r="FQ79" s="1">
        <v>2121</v>
      </c>
      <c r="FR79">
        <v>13</v>
      </c>
      <c r="FS79">
        <v>74</v>
      </c>
      <c r="FT79">
        <v>87</v>
      </c>
      <c r="FU79" s="1">
        <v>26725</v>
      </c>
      <c r="FV79" s="1">
        <v>2022</v>
      </c>
      <c r="FW79">
        <v>0</v>
      </c>
      <c r="GK79" s="1">
        <v>2415</v>
      </c>
      <c r="GL79">
        <v>288</v>
      </c>
      <c r="GM79">
        <v>0</v>
      </c>
      <c r="GN79">
        <v>60</v>
      </c>
      <c r="GO79" s="1">
        <v>29140</v>
      </c>
      <c r="GP79" s="1">
        <v>2310</v>
      </c>
      <c r="GQ79">
        <v>0</v>
      </c>
      <c r="GR79">
        <v>60</v>
      </c>
      <c r="GS79">
        <v>23</v>
      </c>
      <c r="GU79" s="1">
        <v>123342</v>
      </c>
      <c r="GV79" s="1">
        <v>18399</v>
      </c>
      <c r="GW79" s="1">
        <v>185531</v>
      </c>
      <c r="GX79" s="1">
        <v>54869</v>
      </c>
      <c r="GY79" s="1">
        <v>2058</v>
      </c>
      <c r="GZ79" s="1">
        <v>40676</v>
      </c>
      <c r="HA79" s="1">
        <v>178211</v>
      </c>
      <c r="HB79" s="1">
        <v>20457</v>
      </c>
      <c r="HC79" s="1">
        <v>226207</v>
      </c>
      <c r="HD79" s="1">
        <v>424875</v>
      </c>
      <c r="HE79" s="1">
        <v>1147</v>
      </c>
      <c r="HF79" s="1">
        <v>426022</v>
      </c>
      <c r="HG79" s="1">
        <v>25097</v>
      </c>
      <c r="HH79" s="1">
        <v>18873</v>
      </c>
      <c r="HI79">
        <v>0</v>
      </c>
      <c r="HJ79">
        <v>0</v>
      </c>
      <c r="HK79" s="1">
        <v>43970</v>
      </c>
      <c r="HL79" s="1">
        <v>469992</v>
      </c>
      <c r="HM79">
        <v>444</v>
      </c>
      <c r="HN79" s="1">
        <v>12113</v>
      </c>
      <c r="HO79" s="1">
        <v>12557</v>
      </c>
      <c r="HP79" s="1">
        <v>1372</v>
      </c>
      <c r="HQ79" s="1">
        <v>5595</v>
      </c>
      <c r="HR79" s="1">
        <v>6967</v>
      </c>
      <c r="HS79">
        <v>0</v>
      </c>
      <c r="HT79">
        <v>0</v>
      </c>
      <c r="HU79">
        <v>0</v>
      </c>
      <c r="HV79" s="1">
        <v>2032</v>
      </c>
      <c r="HW79" s="1">
        <v>21556</v>
      </c>
      <c r="HX79" s="1">
        <v>26063</v>
      </c>
      <c r="HY79" s="1">
        <v>67880</v>
      </c>
      <c r="HZ79" s="1">
        <v>93943</v>
      </c>
      <c r="IA79" s="1">
        <v>115499</v>
      </c>
      <c r="IB79" s="1">
        <v>32064</v>
      </c>
      <c r="IC79" s="1">
        <v>50937</v>
      </c>
      <c r="ID79" s="1">
        <v>491548</v>
      </c>
      <c r="IE79" s="1">
        <v>491548</v>
      </c>
      <c r="IF79" s="1">
        <v>585491</v>
      </c>
      <c r="IG79" s="1">
        <v>254505</v>
      </c>
      <c r="IH79">
        <v>0</v>
      </c>
      <c r="IL79" s="3">
        <v>3.9100000000000003E-2</v>
      </c>
      <c r="IM79" s="3">
        <v>1E-3</v>
      </c>
      <c r="IN79" s="3">
        <v>0.1086</v>
      </c>
      <c r="IO79" s="3">
        <v>0</v>
      </c>
      <c r="IP79" s="3">
        <v>0.10050000000000001</v>
      </c>
      <c r="IQ79" s="3">
        <v>2.9999999999999997E-4</v>
      </c>
      <c r="IR79" s="3">
        <v>0.70150000000000001</v>
      </c>
      <c r="IS79" s="3">
        <v>3.8600000000000002E-2</v>
      </c>
      <c r="IT79" s="3">
        <v>0.51780000000000004</v>
      </c>
      <c r="IU79" s="1">
        <v>54250</v>
      </c>
      <c r="IV79" s="1">
        <v>12912</v>
      </c>
      <c r="IW79" s="1">
        <v>67162</v>
      </c>
      <c r="IX79" s="3">
        <v>0.39319999999999999</v>
      </c>
      <c r="IY79" s="1">
        <v>508263</v>
      </c>
      <c r="JA79">
        <v>162</v>
      </c>
      <c r="JB79">
        <v>47</v>
      </c>
      <c r="JC79">
        <v>675</v>
      </c>
      <c r="JD79">
        <v>15</v>
      </c>
      <c r="JE79">
        <v>4</v>
      </c>
      <c r="JF79">
        <v>308</v>
      </c>
      <c r="JG79">
        <v>177</v>
      </c>
      <c r="JH79">
        <v>51</v>
      </c>
      <c r="JI79">
        <v>983</v>
      </c>
      <c r="JJ79" s="1">
        <v>1211</v>
      </c>
      <c r="JK79">
        <v>884</v>
      </c>
      <c r="JL79">
        <v>327</v>
      </c>
      <c r="JM79" s="1">
        <v>1319</v>
      </c>
      <c r="JN79">
        <v>692</v>
      </c>
      <c r="JO79" s="1">
        <v>21559</v>
      </c>
      <c r="JP79">
        <v>337</v>
      </c>
      <c r="JQ79">
        <v>195</v>
      </c>
      <c r="JR79" s="1">
        <v>8693</v>
      </c>
      <c r="JS79" s="1">
        <v>1656</v>
      </c>
      <c r="JT79">
        <v>887</v>
      </c>
      <c r="JU79" s="1">
        <v>30252</v>
      </c>
      <c r="JV79" s="1">
        <v>32795</v>
      </c>
      <c r="JW79" s="1">
        <v>23570</v>
      </c>
      <c r="JX79" s="1">
        <v>9225</v>
      </c>
      <c r="JY79">
        <v>27.08</v>
      </c>
      <c r="JZ79">
        <v>9.36</v>
      </c>
      <c r="KA79">
        <v>30.78</v>
      </c>
      <c r="KB79">
        <v>0.05</v>
      </c>
      <c r="KC79">
        <v>0.92</v>
      </c>
      <c r="KD79">
        <v>0</v>
      </c>
      <c r="KE79">
        <v>0</v>
      </c>
      <c r="KF79">
        <v>126</v>
      </c>
      <c r="KG79">
        <v>661</v>
      </c>
      <c r="KN79" s="1">
        <v>95508</v>
      </c>
      <c r="KO79" s="1">
        <v>16917</v>
      </c>
      <c r="KP79" s="1">
        <v>2019</v>
      </c>
      <c r="KR79" s="1">
        <v>2418</v>
      </c>
      <c r="KS79" s="1">
        <v>14756</v>
      </c>
      <c r="KT79">
        <v>0</v>
      </c>
      <c r="KU79">
        <v>0</v>
      </c>
      <c r="KV79">
        <v>42</v>
      </c>
      <c r="KW79">
        <v>132</v>
      </c>
      <c r="KX79" s="1">
        <v>134826</v>
      </c>
      <c r="KZ79" s="1">
        <v>311689</v>
      </c>
      <c r="LD79" t="s">
        <v>1339</v>
      </c>
      <c r="LE79" t="s">
        <v>361</v>
      </c>
      <c r="LF79" t="s">
        <v>1337</v>
      </c>
      <c r="LG79" t="s">
        <v>1338</v>
      </c>
      <c r="LH79">
        <v>27858</v>
      </c>
      <c r="LI79">
        <v>2308</v>
      </c>
      <c r="LJ79" t="s">
        <v>1337</v>
      </c>
      <c r="LK79" t="s">
        <v>1338</v>
      </c>
      <c r="LL79">
        <v>27858</v>
      </c>
      <c r="LM79">
        <v>2308</v>
      </c>
      <c r="LN79" t="s">
        <v>748</v>
      </c>
      <c r="LO79">
        <v>2523294580</v>
      </c>
      <c r="LP79">
        <v>2523294255</v>
      </c>
      <c r="LQ79" s="1">
        <v>83475</v>
      </c>
      <c r="LR79">
        <v>35.159999999999997</v>
      </c>
      <c r="LT79" s="1">
        <v>14478</v>
      </c>
      <c r="LU79">
        <v>312</v>
      </c>
      <c r="LX79">
        <v>2</v>
      </c>
      <c r="LY79" t="s">
        <v>1345</v>
      </c>
      <c r="LZ79">
        <v>0</v>
      </c>
      <c r="MA79" t="s">
        <v>363</v>
      </c>
      <c r="MB79">
        <v>1</v>
      </c>
      <c r="MC79">
        <v>1</v>
      </c>
      <c r="ME79" s="574">
        <v>4.51</v>
      </c>
      <c r="MF79" s="574">
        <v>2.87</v>
      </c>
      <c r="MG79" s="574">
        <v>0.56000000000000005</v>
      </c>
      <c r="MH79" s="574">
        <v>33</v>
      </c>
      <c r="MI79" s="574">
        <v>21.01</v>
      </c>
      <c r="MJ79" s="574">
        <v>4.13</v>
      </c>
      <c r="MK79" s="574">
        <v>4.3600000000000003</v>
      </c>
      <c r="ML79" s="574">
        <v>2.78</v>
      </c>
      <c r="MM79" s="574">
        <v>0.55000000000000004</v>
      </c>
      <c r="MN79" s="574">
        <v>23.21</v>
      </c>
      <c r="MO79" s="574">
        <v>14.77</v>
      </c>
      <c r="MP79" s="574">
        <v>2.91</v>
      </c>
      <c r="MQ79" s="574">
        <v>67.59</v>
      </c>
      <c r="MR79" s="574">
        <v>43.02</v>
      </c>
      <c r="MS79" s="574">
        <v>8.4600000000000009</v>
      </c>
      <c r="MT79" s="574">
        <v>8.7100000000000009</v>
      </c>
      <c r="MU79" s="574">
        <v>5.54</v>
      </c>
      <c r="MV79" s="574">
        <v>1.0900000000000001</v>
      </c>
      <c r="MW79" s="1">
        <v>2716</v>
      </c>
      <c r="MX79" s="1">
        <v>95508</v>
      </c>
      <c r="MY79" s="1">
        <v>19102</v>
      </c>
      <c r="MZ79" s="1">
        <v>14456</v>
      </c>
      <c r="NA79" s="1">
        <v>508263</v>
      </c>
      <c r="NB79" s="1">
        <v>101653</v>
      </c>
      <c r="NC79" s="1">
        <v>98310</v>
      </c>
      <c r="ND79" s="1">
        <v>491548</v>
      </c>
      <c r="NE79">
        <v>1.69</v>
      </c>
      <c r="NF79" s="1">
        <v>13980</v>
      </c>
      <c r="NG79">
        <v>6.72</v>
      </c>
      <c r="NH79">
        <v>2.8769999999999998</v>
      </c>
      <c r="NI79">
        <v>2.98</v>
      </c>
      <c r="NJ79">
        <v>0</v>
      </c>
      <c r="NK79">
        <v>0</v>
      </c>
      <c r="NL79">
        <v>0.55910000000000004</v>
      </c>
      <c r="NM79">
        <v>1.4898</v>
      </c>
      <c r="NN79">
        <v>0.39</v>
      </c>
      <c r="NO79">
        <v>0.19</v>
      </c>
      <c r="NP79">
        <v>0</v>
      </c>
      <c r="NQ79">
        <v>0</v>
      </c>
      <c r="NR79">
        <v>0.79</v>
      </c>
      <c r="NS79">
        <v>0.01</v>
      </c>
      <c r="NT79">
        <v>0.18</v>
      </c>
      <c r="NU79" s="574">
        <v>8.26</v>
      </c>
      <c r="NV79">
        <v>1.698</v>
      </c>
      <c r="NW79">
        <v>0</v>
      </c>
      <c r="NX79">
        <v>2E-3</v>
      </c>
      <c r="NY79">
        <v>0.17100000000000001</v>
      </c>
      <c r="NZ79">
        <v>1E-3</v>
      </c>
      <c r="OA79">
        <v>1.49E-2</v>
      </c>
      <c r="OB79">
        <v>0.52349999999999997</v>
      </c>
      <c r="OC79">
        <v>4.4820000000000002</v>
      </c>
      <c r="OD79">
        <v>1.1910000000000001</v>
      </c>
      <c r="OE79">
        <v>0.17660000000000001</v>
      </c>
      <c r="OF79">
        <v>433.87599999999998</v>
      </c>
      <c r="OG79">
        <v>1.2949999999999999</v>
      </c>
      <c r="OH79" s="574">
        <v>3.09</v>
      </c>
      <c r="OI79">
        <v>167</v>
      </c>
      <c r="OJ79">
        <v>169</v>
      </c>
      <c r="OK79" s="574">
        <v>12.97</v>
      </c>
      <c r="OL79" s="574">
        <v>1.62</v>
      </c>
      <c r="OM79" s="574">
        <v>1.29</v>
      </c>
      <c r="ON79">
        <v>0.20580000000000001</v>
      </c>
      <c r="OO79">
        <v>5.8999999999999999E-3</v>
      </c>
      <c r="OP79">
        <v>0.4491</v>
      </c>
      <c r="OQ79" s="574">
        <v>1.1200000000000001</v>
      </c>
      <c r="OR79" s="574">
        <v>11.32</v>
      </c>
      <c r="OS79" s="574">
        <v>0.17</v>
      </c>
      <c r="OT79" s="574">
        <v>1.07</v>
      </c>
      <c r="OU79" s="574">
        <v>13.69</v>
      </c>
      <c r="OV79">
        <v>0</v>
      </c>
      <c r="OW79">
        <v>0</v>
      </c>
      <c r="OX79">
        <v>0.97</v>
      </c>
      <c r="OY79" s="1">
        <v>9453</v>
      </c>
      <c r="OZ79">
        <v>35.11</v>
      </c>
      <c r="PA79" s="1">
        <v>9774</v>
      </c>
      <c r="PB79">
        <v>6.6</v>
      </c>
      <c r="PC79">
        <v>33.950000000000003</v>
      </c>
      <c r="PD79">
        <v>0.19</v>
      </c>
      <c r="PE79" s="1">
        <v>1837</v>
      </c>
      <c r="PF79">
        <v>0.59</v>
      </c>
      <c r="PG79" s="574">
        <v>0.55000000000000004</v>
      </c>
      <c r="PH79">
        <v>0.56999999999999995</v>
      </c>
      <c r="PI79">
        <v>8.48</v>
      </c>
      <c r="PJ79">
        <v>7.32</v>
      </c>
      <c r="PK79" s="574">
        <v>4.3600000000000003</v>
      </c>
      <c r="PL79">
        <v>39.770000000000003</v>
      </c>
      <c r="PM79" s="4">
        <v>40124</v>
      </c>
      <c r="PN79" s="4">
        <v>30986</v>
      </c>
      <c r="PO79">
        <v>7.1499999999999994E-2</v>
      </c>
      <c r="PP79">
        <v>0.36809999999999998</v>
      </c>
      <c r="PQ79">
        <v>6.9199999999999998E-2</v>
      </c>
      <c r="PR79">
        <v>2E-3</v>
      </c>
      <c r="PS79">
        <v>1.0500000000000001E-2</v>
      </c>
      <c r="PT79">
        <v>2E-3</v>
      </c>
      <c r="PU79" s="3">
        <v>0.2</v>
      </c>
      <c r="PV79" s="3">
        <v>0.14219999999999999</v>
      </c>
      <c r="PW79" s="3">
        <v>0.85780000000000001</v>
      </c>
      <c r="PX79" s="3">
        <v>0.22770000000000001</v>
      </c>
      <c r="PY79" s="3">
        <v>0.77229999999999999</v>
      </c>
      <c r="PZ79" s="3">
        <v>0.12520000000000001</v>
      </c>
      <c r="QA79" s="3">
        <v>1.6799999999999999E-2</v>
      </c>
      <c r="QB79" s="3">
        <v>0.14499999999999999</v>
      </c>
      <c r="QC79" s="3">
        <v>9.2999999999999992E-3</v>
      </c>
      <c r="QD79" s="3">
        <v>0.23830000000000001</v>
      </c>
      <c r="QE79" s="3">
        <v>9.9099999999999994E-2</v>
      </c>
      <c r="QF79" s="3">
        <v>0.49149999999999999</v>
      </c>
      <c r="QG79" s="3">
        <v>0.63649999999999995</v>
      </c>
      <c r="QH79" s="3">
        <v>1.2500000000000001E-2</v>
      </c>
      <c r="QI79" s="3">
        <v>0.82689999999999997</v>
      </c>
      <c r="QJ79" s="3">
        <v>7.85E-2</v>
      </c>
      <c r="QK79" s="3">
        <v>8.2000000000000003E-2</v>
      </c>
      <c r="QL79" s="4">
        <v>9138</v>
      </c>
      <c r="QM79">
        <v>7.57</v>
      </c>
      <c r="QN79" s="1">
        <v>34166</v>
      </c>
      <c r="QO79" s="1">
        <v>170830</v>
      </c>
      <c r="QP79" s="1">
        <v>4859</v>
      </c>
      <c r="QQ79" s="3">
        <v>0.79159999999999997</v>
      </c>
      <c r="QR79" s="3">
        <v>0.1338</v>
      </c>
      <c r="QS79" s="3">
        <v>7.46E-2</v>
      </c>
      <c r="QT79" s="3">
        <v>2.8400000000000002E-2</v>
      </c>
      <c r="QU79">
        <v>0.45</v>
      </c>
      <c r="QV79">
        <v>1.53</v>
      </c>
      <c r="QW79">
        <v>0.35</v>
      </c>
      <c r="QX79">
        <v>13</v>
      </c>
      <c r="QY79">
        <v>2.2400000000000002</v>
      </c>
      <c r="QZ79">
        <v>24</v>
      </c>
      <c r="RA79">
        <v>1.77</v>
      </c>
      <c r="RB79">
        <v>0.22</v>
      </c>
      <c r="RC79">
        <v>0.21</v>
      </c>
    </row>
    <row r="80" spans="1:471" x14ac:dyDescent="0.25">
      <c r="A80" t="s">
        <v>1346</v>
      </c>
      <c r="B80">
        <v>11710</v>
      </c>
      <c r="C80" t="s">
        <v>1754</v>
      </c>
      <c r="D80" t="s">
        <v>1754</v>
      </c>
      <c r="E80" t="s">
        <v>1754</v>
      </c>
      <c r="F80" t="s">
        <v>1755</v>
      </c>
      <c r="G80" t="s">
        <v>1755</v>
      </c>
      <c r="H80" t="s">
        <v>1347</v>
      </c>
      <c r="I80" t="s">
        <v>342</v>
      </c>
      <c r="J80" t="s">
        <v>559</v>
      </c>
      <c r="K80" t="s">
        <v>533</v>
      </c>
      <c r="L80" t="s">
        <v>345</v>
      </c>
      <c r="M80" t="s">
        <v>560</v>
      </c>
      <c r="N80" t="s">
        <v>347</v>
      </c>
      <c r="O80" s="1">
        <v>13461</v>
      </c>
      <c r="P80" t="s">
        <v>348</v>
      </c>
      <c r="Q80">
        <v>286</v>
      </c>
      <c r="R80">
        <v>60</v>
      </c>
      <c r="S80">
        <v>104</v>
      </c>
      <c r="T80">
        <v>15</v>
      </c>
      <c r="U80" s="1">
        <v>3605</v>
      </c>
      <c r="V80">
        <v>90</v>
      </c>
      <c r="W80" s="1">
        <v>13993</v>
      </c>
      <c r="X80">
        <v>941</v>
      </c>
      <c r="Y80" s="1">
        <v>165139</v>
      </c>
      <c r="Z80" s="1">
        <v>62969</v>
      </c>
      <c r="AC80" t="s">
        <v>1348</v>
      </c>
      <c r="AD80" t="s">
        <v>1349</v>
      </c>
      <c r="AE80">
        <v>28387</v>
      </c>
      <c r="AF80">
        <v>4819</v>
      </c>
      <c r="AG80" t="s">
        <v>1348</v>
      </c>
      <c r="AH80" t="s">
        <v>1349</v>
      </c>
      <c r="AI80">
        <v>28387</v>
      </c>
      <c r="AJ80">
        <v>3</v>
      </c>
      <c r="AK80" t="s">
        <v>1350</v>
      </c>
      <c r="AM80" t="s">
        <v>564</v>
      </c>
      <c r="AN80" t="s">
        <v>1351</v>
      </c>
      <c r="AO80" t="s">
        <v>1352</v>
      </c>
      <c r="AP80">
        <v>9106928235</v>
      </c>
      <c r="AQ80" t="s">
        <v>1354</v>
      </c>
      <c r="AR80" t="s">
        <v>1355</v>
      </c>
      <c r="AS80" t="s">
        <v>1352</v>
      </c>
      <c r="AT80" t="s">
        <v>1356</v>
      </c>
      <c r="AU80" t="s">
        <v>1353</v>
      </c>
      <c r="AV80" t="s">
        <v>1354</v>
      </c>
      <c r="AW80" t="s">
        <v>1355</v>
      </c>
      <c r="AX80" t="s">
        <v>1357</v>
      </c>
      <c r="AY80">
        <v>0</v>
      </c>
      <c r="AZ80">
        <v>0</v>
      </c>
      <c r="BA80">
        <v>0</v>
      </c>
      <c r="BB80" s="573">
        <v>42186</v>
      </c>
      <c r="BC80" s="573">
        <v>42551</v>
      </c>
      <c r="BD80">
        <v>1</v>
      </c>
      <c r="BE80">
        <v>0</v>
      </c>
      <c r="BF80">
        <v>0</v>
      </c>
      <c r="BG80">
        <v>0</v>
      </c>
      <c r="BH80">
        <v>1</v>
      </c>
      <c r="BJ80" s="1">
        <v>2756</v>
      </c>
      <c r="BK80">
        <v>4</v>
      </c>
      <c r="BL80">
        <v>0</v>
      </c>
      <c r="BM80">
        <v>4</v>
      </c>
      <c r="BN80">
        <v>6.45</v>
      </c>
      <c r="BO80">
        <v>10.45</v>
      </c>
      <c r="BP80" s="3">
        <v>0.38279999999999997</v>
      </c>
      <c r="BQ80">
        <v>479</v>
      </c>
      <c r="BR80" s="4">
        <v>-1</v>
      </c>
      <c r="DW80" s="4">
        <v>765259</v>
      </c>
      <c r="DX80" s="4">
        <v>0</v>
      </c>
      <c r="DY80" s="4">
        <v>765259</v>
      </c>
      <c r="DZ80" s="4">
        <v>6382</v>
      </c>
      <c r="EA80" s="4">
        <v>0</v>
      </c>
      <c r="EB80" s="4">
        <v>6382</v>
      </c>
      <c r="EC80" s="4">
        <v>0</v>
      </c>
      <c r="ED80" s="4">
        <v>0</v>
      </c>
      <c r="EE80" s="4">
        <v>0</v>
      </c>
      <c r="EF80" s="4">
        <v>44682</v>
      </c>
      <c r="EG80" s="4">
        <v>816323</v>
      </c>
      <c r="EH80" s="4">
        <v>464755</v>
      </c>
      <c r="EI80" s="4">
        <v>128114</v>
      </c>
      <c r="EJ80" s="4">
        <v>592869</v>
      </c>
      <c r="EK80" s="4">
        <v>70025</v>
      </c>
      <c r="EL80" s="4">
        <v>37964</v>
      </c>
      <c r="EM80" s="4">
        <v>11529</v>
      </c>
      <c r="EN80" s="4">
        <v>119518</v>
      </c>
      <c r="EO80" s="4">
        <v>103936</v>
      </c>
      <c r="EP80" s="4">
        <v>816323</v>
      </c>
      <c r="EQ80" s="4">
        <v>0</v>
      </c>
      <c r="ER80" s="3">
        <v>0</v>
      </c>
      <c r="ES80" s="4">
        <v>0</v>
      </c>
      <c r="ET80" s="4">
        <v>0</v>
      </c>
      <c r="EU80" s="4">
        <v>0</v>
      </c>
      <c r="EV80" s="4">
        <v>0</v>
      </c>
      <c r="EW80" s="4">
        <v>0</v>
      </c>
      <c r="EX80" s="4">
        <v>0</v>
      </c>
      <c r="EY80" s="1">
        <v>21701</v>
      </c>
      <c r="EZ80" s="1">
        <v>151298</v>
      </c>
      <c r="FA80" s="1">
        <v>22297</v>
      </c>
      <c r="FB80" s="1">
        <v>2556</v>
      </c>
      <c r="FC80" s="1">
        <v>12228</v>
      </c>
      <c r="FD80" s="1">
        <v>22009</v>
      </c>
      <c r="FE80">
        <v>366</v>
      </c>
      <c r="FF80" s="1">
        <v>7818</v>
      </c>
      <c r="FG80" s="1">
        <v>44306</v>
      </c>
      <c r="FH80" s="1">
        <v>2922</v>
      </c>
      <c r="FI80" s="1">
        <v>20046</v>
      </c>
      <c r="FJ80" s="1">
        <v>67274</v>
      </c>
      <c r="FK80">
        <v>413</v>
      </c>
      <c r="FL80">
        <v>124</v>
      </c>
      <c r="FN80" s="1">
        <v>67274</v>
      </c>
      <c r="FO80" s="1">
        <v>3493</v>
      </c>
      <c r="FP80" s="1">
        <v>1904</v>
      </c>
      <c r="FQ80">
        <v>373</v>
      </c>
      <c r="FR80">
        <v>20</v>
      </c>
      <c r="FS80">
        <v>74</v>
      </c>
      <c r="FT80">
        <v>94</v>
      </c>
      <c r="FU80" s="1">
        <v>26725</v>
      </c>
      <c r="FV80" s="1">
        <v>2022</v>
      </c>
      <c r="FW80">
        <v>0</v>
      </c>
      <c r="GG80" s="1">
        <v>34298</v>
      </c>
      <c r="GH80" s="1">
        <v>13913</v>
      </c>
      <c r="GI80">
        <v>370</v>
      </c>
      <c r="GJ80">
        <v>87</v>
      </c>
      <c r="GK80">
        <v>190</v>
      </c>
      <c r="GL80">
        <v>-1</v>
      </c>
      <c r="GM80">
        <v>0</v>
      </c>
      <c r="GN80">
        <v>19</v>
      </c>
      <c r="GO80" s="1">
        <v>61213</v>
      </c>
      <c r="GP80" s="1">
        <v>15934</v>
      </c>
      <c r="GQ80">
        <v>370</v>
      </c>
      <c r="GR80">
        <v>106</v>
      </c>
      <c r="GS80">
        <v>64</v>
      </c>
      <c r="GU80" s="1">
        <v>36566</v>
      </c>
      <c r="GV80" s="1">
        <v>2618</v>
      </c>
      <c r="GW80" s="1">
        <v>39436</v>
      </c>
      <c r="GX80" s="1">
        <v>11239</v>
      </c>
      <c r="GY80">
        <v>168</v>
      </c>
      <c r="GZ80" s="1">
        <v>10211</v>
      </c>
      <c r="HA80" s="1">
        <v>47805</v>
      </c>
      <c r="HB80" s="1">
        <v>2786</v>
      </c>
      <c r="HC80" s="1">
        <v>49647</v>
      </c>
      <c r="HD80" s="1">
        <v>100238</v>
      </c>
      <c r="HE80" s="1">
        <v>1019</v>
      </c>
      <c r="HF80" s="1">
        <v>101257</v>
      </c>
      <c r="HG80" s="1">
        <v>8811</v>
      </c>
      <c r="HH80" s="1">
        <v>5251</v>
      </c>
      <c r="HI80">
        <v>0</v>
      </c>
      <c r="HJ80">
        <v>0</v>
      </c>
      <c r="HK80" s="1">
        <v>14062</v>
      </c>
      <c r="HL80" s="1">
        <v>115319</v>
      </c>
      <c r="HM80">
        <v>157</v>
      </c>
      <c r="HN80" s="1">
        <v>7791</v>
      </c>
      <c r="HO80" s="1">
        <v>7948</v>
      </c>
      <c r="HP80">
        <v>180</v>
      </c>
      <c r="HQ80" s="1">
        <v>3294</v>
      </c>
      <c r="HR80" s="1">
        <v>3474</v>
      </c>
      <c r="HS80">
        <v>0</v>
      </c>
      <c r="HT80">
        <v>88</v>
      </c>
      <c r="HU80">
        <v>88</v>
      </c>
      <c r="HV80">
        <v>186</v>
      </c>
      <c r="HW80" s="1">
        <v>11696</v>
      </c>
      <c r="HX80">
        <v>531</v>
      </c>
      <c r="HY80">
        <v>-1</v>
      </c>
      <c r="HZ80">
        <v>530</v>
      </c>
      <c r="IA80" s="1">
        <v>12226</v>
      </c>
      <c r="IB80" s="1">
        <v>12285</v>
      </c>
      <c r="IC80" s="1">
        <v>17624</v>
      </c>
      <c r="ID80" s="1">
        <v>127015</v>
      </c>
      <c r="IE80" s="1">
        <v>127015</v>
      </c>
      <c r="IF80" s="1">
        <v>127545</v>
      </c>
      <c r="IG80" s="1">
        <v>52433</v>
      </c>
      <c r="IH80">
        <v>128</v>
      </c>
      <c r="IK80">
        <v>1</v>
      </c>
      <c r="IL80" s="3">
        <v>1.4999999999999999E-2</v>
      </c>
      <c r="IM80" s="3">
        <v>8.0000000000000004E-4</v>
      </c>
      <c r="IN80" s="3">
        <v>0.51300000000000001</v>
      </c>
      <c r="IO80" s="3">
        <v>0</v>
      </c>
      <c r="IP80" s="3">
        <v>0.40460000000000002</v>
      </c>
      <c r="IQ80" s="3">
        <v>5.9999999999999995E-4</v>
      </c>
      <c r="IR80" s="3">
        <v>0.4446</v>
      </c>
      <c r="IS80" s="3">
        <v>0.12839999999999999</v>
      </c>
      <c r="IT80" s="3">
        <v>0.4128</v>
      </c>
      <c r="IU80" s="1">
        <v>5115</v>
      </c>
      <c r="IV80" s="1">
        <v>1168</v>
      </c>
      <c r="IW80" s="1">
        <v>6283</v>
      </c>
      <c r="IX80" s="3">
        <v>0.46679999999999999</v>
      </c>
      <c r="IY80" s="1">
        <v>86180</v>
      </c>
      <c r="JA80">
        <v>20</v>
      </c>
      <c r="JB80">
        <v>52</v>
      </c>
      <c r="JC80">
        <v>174</v>
      </c>
      <c r="JD80">
        <v>2</v>
      </c>
      <c r="JE80">
        <v>14</v>
      </c>
      <c r="JF80">
        <v>323</v>
      </c>
      <c r="JG80">
        <v>22</v>
      </c>
      <c r="JH80">
        <v>66</v>
      </c>
      <c r="JI80">
        <v>497</v>
      </c>
      <c r="JJ80">
        <v>585</v>
      </c>
      <c r="JK80">
        <v>246</v>
      </c>
      <c r="JL80">
        <v>339</v>
      </c>
      <c r="JM80" s="1">
        <v>1218</v>
      </c>
      <c r="JN80">
        <v>118</v>
      </c>
      <c r="JO80" s="1">
        <v>6323</v>
      </c>
      <c r="JP80">
        <v>108</v>
      </c>
      <c r="JQ80">
        <v>54</v>
      </c>
      <c r="JR80" s="1">
        <v>8580</v>
      </c>
      <c r="JS80" s="1">
        <v>1326</v>
      </c>
      <c r="JT80">
        <v>172</v>
      </c>
      <c r="JU80" s="1">
        <v>14903</v>
      </c>
      <c r="JV80" s="1">
        <v>16401</v>
      </c>
      <c r="JW80" s="1">
        <v>7659</v>
      </c>
      <c r="JX80" s="1">
        <v>8742</v>
      </c>
      <c r="JY80">
        <v>28.04</v>
      </c>
      <c r="JZ80">
        <v>60.27</v>
      </c>
      <c r="KA80">
        <v>29.99</v>
      </c>
      <c r="KB80">
        <v>0.08</v>
      </c>
      <c r="KC80">
        <v>0.91</v>
      </c>
      <c r="KD80">
        <v>3</v>
      </c>
      <c r="KE80">
        <v>83</v>
      </c>
      <c r="KF80">
        <v>24</v>
      </c>
      <c r="KG80">
        <v>224</v>
      </c>
      <c r="KN80" s="1">
        <v>6283</v>
      </c>
      <c r="KO80" s="1">
        <v>1428</v>
      </c>
      <c r="KP80">
        <v>92</v>
      </c>
      <c r="KR80">
        <v>16</v>
      </c>
      <c r="KS80">
        <v>101</v>
      </c>
      <c r="KT80">
        <v>366</v>
      </c>
      <c r="KU80">
        <v>92</v>
      </c>
      <c r="KV80">
        <v>12</v>
      </c>
      <c r="KW80">
        <v>13</v>
      </c>
      <c r="KX80" s="1">
        <v>12096</v>
      </c>
      <c r="KZ80" s="1">
        <v>45403</v>
      </c>
      <c r="LA80" s="1">
        <v>6504</v>
      </c>
      <c r="LD80" t="s">
        <v>1350</v>
      </c>
      <c r="LE80" t="s">
        <v>361</v>
      </c>
      <c r="LF80" t="s">
        <v>1348</v>
      </c>
      <c r="LG80" t="s">
        <v>1349</v>
      </c>
      <c r="LH80">
        <v>28387</v>
      </c>
      <c r="LI80">
        <v>4819</v>
      </c>
      <c r="LJ80" t="s">
        <v>1348</v>
      </c>
      <c r="LK80" t="s">
        <v>1349</v>
      </c>
      <c r="LL80">
        <v>28387</v>
      </c>
      <c r="LM80">
        <v>4819</v>
      </c>
      <c r="LN80" t="s">
        <v>1351</v>
      </c>
      <c r="LO80">
        <v>9106928235</v>
      </c>
      <c r="LP80" t="s">
        <v>1358</v>
      </c>
      <c r="LQ80" s="1">
        <v>14750</v>
      </c>
      <c r="LR80">
        <v>10.45</v>
      </c>
      <c r="LT80" s="1">
        <v>2756</v>
      </c>
      <c r="LU80">
        <v>52</v>
      </c>
      <c r="LX80">
        <v>2</v>
      </c>
      <c r="LY80" t="s">
        <v>1359</v>
      </c>
      <c r="LZ80">
        <v>0</v>
      </c>
      <c r="MA80" t="s">
        <v>363</v>
      </c>
      <c r="MB80">
        <v>95.13</v>
      </c>
      <c r="MC80">
        <v>92.04</v>
      </c>
      <c r="ME80" s="574">
        <v>6.43</v>
      </c>
      <c r="MF80" s="574">
        <v>4.67</v>
      </c>
      <c r="MG80" s="574">
        <v>0.94</v>
      </c>
      <c r="MH80" s="574">
        <v>129.93</v>
      </c>
      <c r="MI80" s="574">
        <v>94.36</v>
      </c>
      <c r="MJ80" s="574">
        <v>19.02</v>
      </c>
      <c r="MK80" s="574">
        <v>9.4700000000000006</v>
      </c>
      <c r="ML80" s="574">
        <v>6.88</v>
      </c>
      <c r="MM80" s="574">
        <v>1.39</v>
      </c>
      <c r="MN80" s="574">
        <v>129.93</v>
      </c>
      <c r="MO80" s="574">
        <v>94.36</v>
      </c>
      <c r="MP80" s="574">
        <v>19.02</v>
      </c>
      <c r="MQ80" s="574">
        <v>49.77</v>
      </c>
      <c r="MR80" s="574">
        <v>36.15</v>
      </c>
      <c r="MS80" s="574">
        <v>7.29</v>
      </c>
      <c r="MT80" s="574">
        <v>15.57</v>
      </c>
      <c r="MU80" s="574">
        <v>11.31</v>
      </c>
      <c r="MV80" s="574">
        <v>2.2799999999999998</v>
      </c>
      <c r="MW80">
        <v>601</v>
      </c>
      <c r="MX80" s="1">
        <v>1571</v>
      </c>
      <c r="MY80" s="1">
        <v>1571</v>
      </c>
      <c r="MZ80" s="1">
        <v>8247</v>
      </c>
      <c r="NA80" s="1">
        <v>21545</v>
      </c>
      <c r="NB80" s="1">
        <v>21545</v>
      </c>
      <c r="NC80" s="1">
        <v>31754</v>
      </c>
      <c r="ND80" s="1">
        <v>31754</v>
      </c>
      <c r="NE80">
        <v>0.84</v>
      </c>
      <c r="NF80" s="1">
        <v>12155</v>
      </c>
      <c r="NG80">
        <v>5.84</v>
      </c>
      <c r="NH80">
        <v>9.4359999999999999</v>
      </c>
      <c r="NI80">
        <v>6.4</v>
      </c>
      <c r="NJ80">
        <v>58.25</v>
      </c>
      <c r="NK80">
        <v>14.64</v>
      </c>
      <c r="NL80">
        <v>0.46679999999999999</v>
      </c>
      <c r="NM80">
        <v>3.8952</v>
      </c>
      <c r="NN80">
        <v>0.47</v>
      </c>
      <c r="NO80">
        <v>1.22</v>
      </c>
      <c r="NP80">
        <v>0.03</v>
      </c>
      <c r="NQ80">
        <v>0.01</v>
      </c>
      <c r="NR80">
        <v>0.9</v>
      </c>
      <c r="NS80">
        <v>0.1</v>
      </c>
      <c r="NT80">
        <v>1.1100000000000001</v>
      </c>
      <c r="NU80" s="574">
        <v>44.04</v>
      </c>
      <c r="NV80">
        <v>11.24</v>
      </c>
      <c r="NW80">
        <v>0</v>
      </c>
      <c r="NX80">
        <v>8.9999999999999993E-3</v>
      </c>
      <c r="NY80">
        <v>4.5469999999999997</v>
      </c>
      <c r="NZ80">
        <v>7.0000000000000001E-3</v>
      </c>
      <c r="OA80">
        <v>0.63660000000000005</v>
      </c>
      <c r="OB80">
        <v>1.6632</v>
      </c>
      <c r="OC80">
        <v>19.736000000000001</v>
      </c>
      <c r="OD80">
        <v>4.9980000000000002</v>
      </c>
      <c r="OE80">
        <v>0.47920000000000001</v>
      </c>
      <c r="OF80" s="2">
        <v>9742.6389999999992</v>
      </c>
      <c r="OG80">
        <v>14.961</v>
      </c>
      <c r="OH80" s="574">
        <v>7.72</v>
      </c>
      <c r="OI80" s="1">
        <v>3092</v>
      </c>
      <c r="OJ80">
        <v>362</v>
      </c>
      <c r="OK80" s="574">
        <v>60.64</v>
      </c>
      <c r="OL80" s="574">
        <v>8.8800000000000008</v>
      </c>
      <c r="OM80" s="574">
        <v>5.2</v>
      </c>
      <c r="ON80">
        <v>0.77629999999999999</v>
      </c>
      <c r="OO80">
        <v>0.29720000000000002</v>
      </c>
      <c r="OP80">
        <v>1.0266</v>
      </c>
      <c r="OQ80" s="574">
        <v>0.47</v>
      </c>
      <c r="OR80" s="574">
        <v>56.85</v>
      </c>
      <c r="OS80" s="574">
        <v>0</v>
      </c>
      <c r="OT80" s="574">
        <v>3.32</v>
      </c>
      <c r="OU80" s="574">
        <v>60.64</v>
      </c>
      <c r="OV80">
        <v>7</v>
      </c>
      <c r="OW80">
        <v>2</v>
      </c>
      <c r="OX80">
        <v>1.47</v>
      </c>
      <c r="OY80" s="1">
        <v>2443</v>
      </c>
      <c r="OZ80">
        <v>31.27</v>
      </c>
      <c r="PA80" s="1">
        <v>1657</v>
      </c>
      <c r="PB80">
        <v>2.2799999999999998</v>
      </c>
      <c r="PC80">
        <v>46.09</v>
      </c>
      <c r="PD80">
        <v>7.0000000000000007E-2</v>
      </c>
      <c r="PE80">
        <v>121</v>
      </c>
      <c r="PF80">
        <v>1.19</v>
      </c>
      <c r="PG80" s="574">
        <v>1.39</v>
      </c>
      <c r="PH80">
        <v>1.76</v>
      </c>
      <c r="PI80">
        <v>20.47</v>
      </c>
      <c r="PJ80">
        <v>20.22</v>
      </c>
      <c r="PK80" s="574">
        <v>9.4700000000000006</v>
      </c>
      <c r="PL80">
        <v>53</v>
      </c>
      <c r="PM80" s="4">
        <v>56734</v>
      </c>
      <c r="PN80" s="4">
        <v>44474</v>
      </c>
      <c r="PO80">
        <v>8.2299999999999998E-2</v>
      </c>
      <c r="PP80">
        <v>1.6632</v>
      </c>
      <c r="PQ80">
        <v>0.12130000000000001</v>
      </c>
      <c r="PR80">
        <v>3.15E-2</v>
      </c>
      <c r="PS80">
        <v>0.63660000000000005</v>
      </c>
      <c r="PT80">
        <v>4.6399999999999997E-2</v>
      </c>
      <c r="PU80" s="3">
        <v>1</v>
      </c>
      <c r="PV80" s="3">
        <v>0.38279999999999997</v>
      </c>
      <c r="PW80" s="3">
        <v>0.61719999999999997</v>
      </c>
      <c r="PX80" s="3">
        <v>0.21609999999999999</v>
      </c>
      <c r="PY80" s="3">
        <v>0.78390000000000004</v>
      </c>
      <c r="PZ80" s="3">
        <v>0.1464</v>
      </c>
      <c r="QA80" s="3">
        <v>4.65E-2</v>
      </c>
      <c r="QB80" s="3">
        <v>0.15690000000000001</v>
      </c>
      <c r="QC80" s="3">
        <v>1.41E-2</v>
      </c>
      <c r="QD80" s="3">
        <v>0.1273</v>
      </c>
      <c r="QE80" s="3">
        <v>8.5800000000000001E-2</v>
      </c>
      <c r="QF80" s="3">
        <v>0.56930000000000003</v>
      </c>
      <c r="QG80" s="3">
        <v>0.72629999999999995</v>
      </c>
      <c r="QH80" s="3">
        <v>0</v>
      </c>
      <c r="QI80" s="3">
        <v>0.93740000000000001</v>
      </c>
      <c r="QJ80" s="3">
        <v>5.4699999999999999E-2</v>
      </c>
      <c r="QK80" s="3">
        <v>7.7999999999999996E-3</v>
      </c>
      <c r="QL80" s="4">
        <v>12260</v>
      </c>
      <c r="QM80">
        <v>13.72</v>
      </c>
      <c r="QN80" s="1">
        <v>3365</v>
      </c>
      <c r="QO80" s="1">
        <v>3365</v>
      </c>
      <c r="QP80" s="1">
        <v>1288</v>
      </c>
      <c r="QQ80" s="3">
        <v>0.58589999999999998</v>
      </c>
      <c r="QR80" s="3">
        <v>0.31759999999999999</v>
      </c>
      <c r="QS80" s="3">
        <v>9.6500000000000002E-2</v>
      </c>
      <c r="QT80" s="3">
        <v>0.38279999999999997</v>
      </c>
      <c r="QU80">
        <v>0.27</v>
      </c>
      <c r="QV80">
        <v>0.99</v>
      </c>
      <c r="QW80">
        <v>0.21</v>
      </c>
      <c r="QX80">
        <v>3</v>
      </c>
      <c r="QY80">
        <v>1.81</v>
      </c>
      <c r="QZ80">
        <v>11</v>
      </c>
      <c r="RA80">
        <v>1.06</v>
      </c>
      <c r="RB80">
        <v>0.16</v>
      </c>
      <c r="RC80">
        <v>0.16</v>
      </c>
    </row>
    <row r="81" spans="1:471" x14ac:dyDescent="0.25">
      <c r="A81" t="s">
        <v>1360</v>
      </c>
      <c r="B81">
        <v>11698</v>
      </c>
      <c r="C81" t="s">
        <v>1754</v>
      </c>
      <c r="D81" t="s">
        <v>1754</v>
      </c>
      <c r="E81" t="s">
        <v>1754</v>
      </c>
      <c r="F81" t="s">
        <v>1755</v>
      </c>
      <c r="G81" t="s">
        <v>1755</v>
      </c>
      <c r="H81" t="s">
        <v>1361</v>
      </c>
      <c r="I81" t="s">
        <v>342</v>
      </c>
      <c r="J81" t="s">
        <v>343</v>
      </c>
      <c r="K81" t="s">
        <v>344</v>
      </c>
      <c r="L81" t="s">
        <v>345</v>
      </c>
      <c r="M81" t="s">
        <v>346</v>
      </c>
      <c r="N81" t="s">
        <v>347</v>
      </c>
      <c r="O81" s="1">
        <v>61234</v>
      </c>
      <c r="P81" t="s">
        <v>348</v>
      </c>
      <c r="Q81">
        <v>617</v>
      </c>
      <c r="R81">
        <v>64</v>
      </c>
      <c r="S81">
        <v>72</v>
      </c>
      <c r="T81">
        <v>5</v>
      </c>
      <c r="U81" s="1">
        <v>2113</v>
      </c>
      <c r="V81">
        <v>83</v>
      </c>
      <c r="W81" s="1">
        <v>17911</v>
      </c>
      <c r="X81" s="1">
        <v>1158</v>
      </c>
      <c r="AC81" t="s">
        <v>1362</v>
      </c>
      <c r="AD81" t="s">
        <v>1363</v>
      </c>
      <c r="AE81">
        <v>28001</v>
      </c>
      <c r="AF81">
        <v>4939</v>
      </c>
      <c r="AG81" t="s">
        <v>1362</v>
      </c>
      <c r="AH81" t="s">
        <v>1363</v>
      </c>
      <c r="AI81">
        <v>28001</v>
      </c>
      <c r="AJ81">
        <v>2</v>
      </c>
      <c r="AK81" t="s">
        <v>1364</v>
      </c>
      <c r="AM81" t="s">
        <v>0</v>
      </c>
      <c r="AN81" t="s">
        <v>1365</v>
      </c>
      <c r="AO81" t="s">
        <v>1366</v>
      </c>
      <c r="AP81">
        <v>7049863766</v>
      </c>
      <c r="AQ81" t="s">
        <v>1367</v>
      </c>
      <c r="AR81" t="s">
        <v>1368</v>
      </c>
      <c r="AS81" t="s">
        <v>1366</v>
      </c>
      <c r="AT81" t="s">
        <v>1</v>
      </c>
      <c r="AU81" t="s">
        <v>1940</v>
      </c>
      <c r="AW81" t="s">
        <v>1368</v>
      </c>
      <c r="AX81" t="s">
        <v>1369</v>
      </c>
      <c r="AY81">
        <v>0</v>
      </c>
      <c r="AZ81">
        <v>0</v>
      </c>
      <c r="BA81">
        <v>0</v>
      </c>
      <c r="BB81" s="573">
        <v>42186</v>
      </c>
      <c r="BC81" s="573">
        <v>42551</v>
      </c>
      <c r="BD81">
        <v>1</v>
      </c>
      <c r="BE81">
        <v>4</v>
      </c>
      <c r="BF81">
        <v>0</v>
      </c>
      <c r="BG81">
        <v>1</v>
      </c>
      <c r="BH81">
        <v>6</v>
      </c>
      <c r="BJ81" s="1">
        <v>8064</v>
      </c>
      <c r="BK81">
        <v>3.75</v>
      </c>
      <c r="BL81">
        <v>0</v>
      </c>
      <c r="BM81">
        <v>3.75</v>
      </c>
      <c r="BN81">
        <v>10</v>
      </c>
      <c r="BO81">
        <v>13.75</v>
      </c>
      <c r="BP81" s="3">
        <v>0.2727</v>
      </c>
      <c r="BQ81" s="1">
        <v>1818</v>
      </c>
      <c r="BR81" s="4">
        <v>61160</v>
      </c>
      <c r="DW81" s="4">
        <v>0</v>
      </c>
      <c r="DX81" s="4">
        <v>1239900</v>
      </c>
      <c r="DY81" s="4">
        <v>1239900</v>
      </c>
      <c r="DZ81" s="4">
        <v>115390</v>
      </c>
      <c r="EA81" s="4">
        <v>0</v>
      </c>
      <c r="EB81" s="4">
        <v>115390</v>
      </c>
      <c r="EC81" s="4">
        <v>0</v>
      </c>
      <c r="ED81" s="4">
        <v>0</v>
      </c>
      <c r="EE81" s="4">
        <v>0</v>
      </c>
      <c r="EF81" s="4">
        <v>0</v>
      </c>
      <c r="EG81" s="4">
        <v>1355290</v>
      </c>
      <c r="EH81" s="4">
        <v>635549</v>
      </c>
      <c r="EI81" s="4">
        <v>211834</v>
      </c>
      <c r="EJ81" s="4">
        <v>847383</v>
      </c>
      <c r="EK81" s="4">
        <v>71196</v>
      </c>
      <c r="EL81" s="4">
        <v>3000</v>
      </c>
      <c r="EM81" s="4">
        <v>13350</v>
      </c>
      <c r="EN81" s="4">
        <v>87546</v>
      </c>
      <c r="EO81" s="4">
        <v>224251</v>
      </c>
      <c r="EP81" s="4">
        <v>1159180</v>
      </c>
      <c r="EQ81" s="4">
        <v>196110</v>
      </c>
      <c r="ER81" s="3">
        <v>0.1447</v>
      </c>
      <c r="ES81" s="4">
        <v>3979</v>
      </c>
      <c r="ET81" s="4">
        <v>0</v>
      </c>
      <c r="EU81" s="4">
        <v>0</v>
      </c>
      <c r="EV81" s="4">
        <v>0</v>
      </c>
      <c r="EW81" s="4">
        <v>3979</v>
      </c>
      <c r="EX81" s="4">
        <v>3979</v>
      </c>
      <c r="EY81" s="1">
        <v>11824</v>
      </c>
      <c r="EZ81" s="1">
        <v>164058</v>
      </c>
      <c r="FA81" s="1">
        <v>36052</v>
      </c>
      <c r="FB81" s="1">
        <v>3062</v>
      </c>
      <c r="FC81" s="1">
        <v>23196</v>
      </c>
      <c r="FD81" s="1">
        <v>28932</v>
      </c>
      <c r="FE81">
        <v>101</v>
      </c>
      <c r="FF81" s="1">
        <v>8050</v>
      </c>
      <c r="FG81" s="1">
        <v>64984</v>
      </c>
      <c r="FH81" s="1">
        <v>3163</v>
      </c>
      <c r="FI81" s="1">
        <v>31246</v>
      </c>
      <c r="FJ81" s="1">
        <v>99393</v>
      </c>
      <c r="FK81">
        <v>509</v>
      </c>
      <c r="FL81">
        <v>250</v>
      </c>
      <c r="FN81" s="1">
        <v>99393</v>
      </c>
      <c r="FO81" s="1">
        <v>2820</v>
      </c>
      <c r="FP81" s="1">
        <v>5799</v>
      </c>
      <c r="FQ81" s="1">
        <v>1279</v>
      </c>
      <c r="FR81">
        <v>1</v>
      </c>
      <c r="FS81">
        <v>74</v>
      </c>
      <c r="FT81">
        <v>75</v>
      </c>
      <c r="FU81" s="1">
        <v>26725</v>
      </c>
      <c r="FV81" s="1">
        <v>2022</v>
      </c>
      <c r="FW81">
        <v>0</v>
      </c>
      <c r="GC81" s="1">
        <v>23798</v>
      </c>
      <c r="GD81" s="1">
        <v>1183</v>
      </c>
      <c r="GE81">
        <v>205</v>
      </c>
      <c r="GK81">
        <v>0</v>
      </c>
      <c r="GL81">
        <v>0</v>
      </c>
      <c r="GM81">
        <v>0</v>
      </c>
      <c r="GN81">
        <v>0</v>
      </c>
      <c r="GO81" s="1">
        <v>50523</v>
      </c>
      <c r="GP81" s="1">
        <v>3205</v>
      </c>
      <c r="GQ81">
        <v>205</v>
      </c>
      <c r="GR81">
        <v>0</v>
      </c>
      <c r="GS81">
        <v>15</v>
      </c>
      <c r="GU81" s="1">
        <v>66899</v>
      </c>
      <c r="GV81" s="1">
        <v>3827</v>
      </c>
      <c r="GW81" s="1">
        <v>44795</v>
      </c>
      <c r="GX81" s="1">
        <v>12248</v>
      </c>
      <c r="GY81">
        <v>71</v>
      </c>
      <c r="GZ81" s="1">
        <v>6267</v>
      </c>
      <c r="HA81" s="1">
        <v>79147</v>
      </c>
      <c r="HB81" s="1">
        <v>3898</v>
      </c>
      <c r="HC81" s="1">
        <v>51062</v>
      </c>
      <c r="HD81" s="1">
        <v>134107</v>
      </c>
      <c r="HE81" s="1">
        <v>1151</v>
      </c>
      <c r="HF81" s="1">
        <v>135258</v>
      </c>
      <c r="HG81" s="1">
        <v>7108</v>
      </c>
      <c r="HH81" s="1">
        <v>17010</v>
      </c>
      <c r="HI81">
        <v>0</v>
      </c>
      <c r="HJ81">
        <v>956</v>
      </c>
      <c r="HK81" s="1">
        <v>25074</v>
      </c>
      <c r="HL81" s="1">
        <v>160332</v>
      </c>
      <c r="HM81">
        <v>51</v>
      </c>
      <c r="HN81" s="1">
        <v>10144</v>
      </c>
      <c r="HO81" s="1">
        <v>10195</v>
      </c>
      <c r="HP81">
        <v>151</v>
      </c>
      <c r="HQ81" s="1">
        <v>1541</v>
      </c>
      <c r="HR81" s="1">
        <v>1692</v>
      </c>
      <c r="HS81">
        <v>0</v>
      </c>
      <c r="HT81">
        <v>18</v>
      </c>
      <c r="HU81">
        <v>18</v>
      </c>
      <c r="HV81">
        <v>0</v>
      </c>
      <c r="HW81" s="1">
        <v>11905</v>
      </c>
      <c r="HX81" s="1">
        <v>5244</v>
      </c>
      <c r="HZ81" s="1">
        <v>5244</v>
      </c>
      <c r="IA81" s="1">
        <v>17149</v>
      </c>
      <c r="IB81" s="1">
        <v>8800</v>
      </c>
      <c r="IC81" s="1">
        <v>25828</v>
      </c>
      <c r="ID81" s="1">
        <v>172237</v>
      </c>
      <c r="IE81" s="1">
        <v>172237</v>
      </c>
      <c r="IF81" s="1">
        <v>177481</v>
      </c>
      <c r="IG81" s="1">
        <v>46892</v>
      </c>
      <c r="IH81">
        <v>309</v>
      </c>
      <c r="IK81">
        <v>1</v>
      </c>
      <c r="IL81" s="3">
        <v>3.6600000000000001E-2</v>
      </c>
      <c r="IM81" s="3">
        <v>1.5E-3</v>
      </c>
      <c r="IN81" s="3">
        <v>0.32869999999999999</v>
      </c>
      <c r="IO81" s="3">
        <v>0</v>
      </c>
      <c r="IP81" s="3">
        <v>0.308</v>
      </c>
      <c r="IQ81" s="3">
        <v>5.0000000000000001E-4</v>
      </c>
      <c r="IR81" s="3">
        <v>0.60580000000000001</v>
      </c>
      <c r="IS81" s="3">
        <v>3.6700000000000003E-2</v>
      </c>
      <c r="IT81" s="3">
        <v>0.27229999999999999</v>
      </c>
      <c r="IU81" s="1">
        <v>19308</v>
      </c>
      <c r="IV81" s="1">
        <v>5269</v>
      </c>
      <c r="IW81" s="1">
        <v>24577</v>
      </c>
      <c r="IX81" s="3">
        <v>0.40139999999999998</v>
      </c>
      <c r="IY81" s="1">
        <v>128327</v>
      </c>
      <c r="JA81">
        <v>48</v>
      </c>
      <c r="JB81">
        <v>0</v>
      </c>
      <c r="JC81">
        <v>136</v>
      </c>
      <c r="JD81">
        <v>12</v>
      </c>
      <c r="JE81">
        <v>0</v>
      </c>
      <c r="JF81">
        <v>18</v>
      </c>
      <c r="JG81">
        <v>60</v>
      </c>
      <c r="JH81">
        <v>0</v>
      </c>
      <c r="JI81">
        <v>154</v>
      </c>
      <c r="JJ81">
        <v>214</v>
      </c>
      <c r="JK81">
        <v>184</v>
      </c>
      <c r="JL81">
        <v>30</v>
      </c>
      <c r="JM81">
        <v>683</v>
      </c>
      <c r="JN81">
        <v>0</v>
      </c>
      <c r="JO81" s="1">
        <v>4800</v>
      </c>
      <c r="JP81">
        <v>98</v>
      </c>
      <c r="JQ81">
        <v>0</v>
      </c>
      <c r="JR81" s="1">
        <v>2793</v>
      </c>
      <c r="JS81">
        <v>781</v>
      </c>
      <c r="JT81">
        <v>0</v>
      </c>
      <c r="JU81" s="1">
        <v>7593</v>
      </c>
      <c r="JV81" s="1">
        <v>8374</v>
      </c>
      <c r="JW81" s="1">
        <v>5483</v>
      </c>
      <c r="JX81" s="1">
        <v>2891</v>
      </c>
      <c r="JY81">
        <v>39.130000000000003</v>
      </c>
      <c r="JZ81">
        <v>13.02</v>
      </c>
      <c r="KA81">
        <v>49.31</v>
      </c>
      <c r="KB81">
        <v>0.09</v>
      </c>
      <c r="KC81">
        <v>0.91</v>
      </c>
      <c r="KD81">
        <v>0</v>
      </c>
      <c r="KE81">
        <v>0</v>
      </c>
      <c r="KF81">
        <v>34</v>
      </c>
      <c r="KG81">
        <v>47</v>
      </c>
      <c r="KN81" s="1">
        <v>21369</v>
      </c>
      <c r="KO81" s="1">
        <v>12674</v>
      </c>
      <c r="KP81">
        <v>897</v>
      </c>
      <c r="KR81">
        <v>66</v>
      </c>
      <c r="KS81">
        <v>977</v>
      </c>
      <c r="KT81">
        <v>22</v>
      </c>
      <c r="KU81">
        <v>41</v>
      </c>
      <c r="KV81">
        <v>20</v>
      </c>
      <c r="KW81">
        <v>42</v>
      </c>
      <c r="KX81" s="1">
        <v>18320</v>
      </c>
      <c r="KZ81" s="1">
        <v>32901</v>
      </c>
      <c r="LD81" t="s">
        <v>1364</v>
      </c>
      <c r="LE81" t="s">
        <v>379</v>
      </c>
      <c r="LF81" t="s">
        <v>1362</v>
      </c>
      <c r="LG81" t="s">
        <v>1363</v>
      </c>
      <c r="LH81">
        <v>28001</v>
      </c>
      <c r="LI81">
        <v>4993</v>
      </c>
      <c r="LJ81" t="s">
        <v>1362</v>
      </c>
      <c r="LK81" t="s">
        <v>1363</v>
      </c>
      <c r="LL81">
        <v>28001</v>
      </c>
      <c r="LM81">
        <v>4993</v>
      </c>
      <c r="LN81" t="s">
        <v>1365</v>
      </c>
      <c r="LO81">
        <v>7049863765</v>
      </c>
      <c r="LP81">
        <v>7049836713</v>
      </c>
      <c r="LQ81" s="1">
        <v>28135</v>
      </c>
      <c r="LR81">
        <v>15.16</v>
      </c>
      <c r="LT81" s="1">
        <v>8064</v>
      </c>
      <c r="LU81">
        <v>260</v>
      </c>
      <c r="LX81">
        <v>2</v>
      </c>
      <c r="LY81" t="s">
        <v>1370</v>
      </c>
      <c r="LZ81">
        <v>0</v>
      </c>
      <c r="MA81" t="s">
        <v>363</v>
      </c>
      <c r="MB81">
        <v>99.27</v>
      </c>
      <c r="MC81">
        <v>99.88</v>
      </c>
      <c r="ME81" s="574">
        <v>6.73</v>
      </c>
      <c r="MF81" s="574">
        <v>4.92</v>
      </c>
      <c r="MG81" s="574">
        <v>0.51</v>
      </c>
      <c r="MH81" s="574">
        <v>47.17</v>
      </c>
      <c r="MI81" s="574">
        <v>34.479999999999997</v>
      </c>
      <c r="MJ81" s="574">
        <v>3.56</v>
      </c>
      <c r="MK81" s="574">
        <v>9.0299999999999994</v>
      </c>
      <c r="ML81" s="574">
        <v>6.6</v>
      </c>
      <c r="MM81" s="574">
        <v>0.68</v>
      </c>
      <c r="MN81" s="574">
        <v>54.25</v>
      </c>
      <c r="MO81" s="574">
        <v>39.65</v>
      </c>
      <c r="MP81" s="574">
        <v>4.0999999999999996</v>
      </c>
      <c r="MQ81" s="574">
        <v>138.43</v>
      </c>
      <c r="MR81" s="574">
        <v>101.19</v>
      </c>
      <c r="MS81" s="574">
        <v>10.45</v>
      </c>
      <c r="MT81" s="574">
        <v>24.72</v>
      </c>
      <c r="MU81" s="574">
        <v>18.07</v>
      </c>
      <c r="MV81" s="574">
        <v>1.87</v>
      </c>
      <c r="MW81" s="1">
        <v>1554</v>
      </c>
      <c r="MX81" s="1">
        <v>5698</v>
      </c>
      <c r="MY81" s="1">
        <v>5698</v>
      </c>
      <c r="MZ81" s="1">
        <v>9333</v>
      </c>
      <c r="NA81" s="1">
        <v>34221</v>
      </c>
      <c r="NB81" s="1">
        <v>34221</v>
      </c>
      <c r="NC81" s="1">
        <v>45930</v>
      </c>
      <c r="ND81" s="1">
        <v>45930</v>
      </c>
      <c r="NE81">
        <v>1.05</v>
      </c>
      <c r="NF81" s="1">
        <v>12526</v>
      </c>
      <c r="NG81">
        <v>6.02</v>
      </c>
      <c r="NH81">
        <v>2.8130000000000002</v>
      </c>
      <c r="NI81">
        <v>2.1</v>
      </c>
      <c r="NJ81">
        <v>0.9</v>
      </c>
      <c r="NK81">
        <v>1.67</v>
      </c>
      <c r="NL81">
        <v>0.34899999999999998</v>
      </c>
      <c r="NM81">
        <v>0.76580000000000004</v>
      </c>
      <c r="NN81">
        <v>0.4</v>
      </c>
      <c r="NO81">
        <v>0.14000000000000001</v>
      </c>
      <c r="NP81">
        <v>0</v>
      </c>
      <c r="NQ81">
        <v>0</v>
      </c>
      <c r="NR81">
        <v>0.3</v>
      </c>
      <c r="NS81">
        <v>0.01</v>
      </c>
      <c r="NT81">
        <v>0.12</v>
      </c>
      <c r="NU81" s="574">
        <v>13.84</v>
      </c>
      <c r="NV81">
        <v>2.6789999999999998</v>
      </c>
      <c r="NW81">
        <v>0</v>
      </c>
      <c r="NX81">
        <v>4.0000000000000001E-3</v>
      </c>
      <c r="NY81">
        <v>0.82499999999999996</v>
      </c>
      <c r="NZ81">
        <v>1E-3</v>
      </c>
      <c r="OA81">
        <v>0.15260000000000001</v>
      </c>
      <c r="OB81">
        <v>0.5595</v>
      </c>
      <c r="OC81">
        <v>10.172000000000001</v>
      </c>
      <c r="OD81">
        <v>1.623</v>
      </c>
      <c r="OE81">
        <v>0.1633</v>
      </c>
      <c r="OF81" s="2">
        <v>2055.7020000000002</v>
      </c>
      <c r="OG81">
        <v>3.052</v>
      </c>
      <c r="OH81" s="574">
        <v>3.66</v>
      </c>
      <c r="OI81">
        <v>245</v>
      </c>
      <c r="OJ81">
        <v>244</v>
      </c>
      <c r="OK81" s="574">
        <v>18.93</v>
      </c>
      <c r="OL81" s="574">
        <v>1.43</v>
      </c>
      <c r="OM81" s="574">
        <v>1.1599999999999999</v>
      </c>
      <c r="ON81">
        <v>0.22459999999999999</v>
      </c>
      <c r="OO81">
        <v>6.1199999999999997E-2</v>
      </c>
      <c r="OP81">
        <v>0.40689999999999998</v>
      </c>
      <c r="OQ81" s="574">
        <v>1.88</v>
      </c>
      <c r="OR81" s="574">
        <v>20.25</v>
      </c>
      <c r="OS81" s="574">
        <v>0</v>
      </c>
      <c r="OT81" s="574">
        <v>0</v>
      </c>
      <c r="OU81" s="574">
        <v>22.13</v>
      </c>
      <c r="OV81">
        <v>0</v>
      </c>
      <c r="OW81">
        <v>1</v>
      </c>
      <c r="OX81">
        <v>1.34</v>
      </c>
      <c r="OY81" s="1">
        <v>3312</v>
      </c>
      <c r="OZ81">
        <v>15.91</v>
      </c>
      <c r="PA81" s="1">
        <v>2468</v>
      </c>
      <c r="PB81">
        <v>2.65</v>
      </c>
      <c r="PC81">
        <v>21.36</v>
      </c>
      <c r="PD81">
        <v>0.17</v>
      </c>
      <c r="PE81">
        <v>411</v>
      </c>
      <c r="PF81">
        <v>0.95</v>
      </c>
      <c r="PG81" s="574">
        <v>0.68</v>
      </c>
      <c r="PH81">
        <v>1.28</v>
      </c>
      <c r="PI81">
        <v>13.17</v>
      </c>
      <c r="PJ81">
        <v>7.01</v>
      </c>
      <c r="PK81" s="574">
        <v>9.0299999999999994</v>
      </c>
      <c r="PL81">
        <v>25.85</v>
      </c>
      <c r="PM81" s="4">
        <v>61628</v>
      </c>
      <c r="PN81" s="4">
        <v>46222</v>
      </c>
      <c r="PO81">
        <v>7.9799999999999996E-2</v>
      </c>
      <c r="PP81">
        <v>0.64349999999999996</v>
      </c>
      <c r="PQ81">
        <v>0.1072</v>
      </c>
      <c r="PR81">
        <v>2.18E-2</v>
      </c>
      <c r="PS81">
        <v>0.17549999999999999</v>
      </c>
      <c r="PT81">
        <v>2.92E-2</v>
      </c>
      <c r="PU81" s="3">
        <v>1</v>
      </c>
      <c r="PV81" s="3">
        <v>0.2727</v>
      </c>
      <c r="PW81" s="3">
        <v>0.72729999999999995</v>
      </c>
      <c r="PX81" s="3">
        <v>0.25</v>
      </c>
      <c r="PY81" s="3">
        <v>0.75</v>
      </c>
      <c r="PZ81" s="3">
        <v>7.5499999999999998E-2</v>
      </c>
      <c r="QA81" s="3">
        <v>2.5999999999999999E-3</v>
      </c>
      <c r="QB81" s="3">
        <v>0.1827</v>
      </c>
      <c r="QC81" s="3">
        <v>1.15E-2</v>
      </c>
      <c r="QD81" s="3">
        <v>0.19350000000000001</v>
      </c>
      <c r="QE81" s="3">
        <v>6.1400000000000003E-2</v>
      </c>
      <c r="QF81" s="3">
        <v>0.54830000000000001</v>
      </c>
      <c r="QG81" s="3">
        <v>0.73099999999999998</v>
      </c>
      <c r="QH81" s="3">
        <v>0</v>
      </c>
      <c r="QI81" s="3">
        <v>0.91490000000000005</v>
      </c>
      <c r="QJ81" s="3">
        <v>0</v>
      </c>
      <c r="QK81" s="3">
        <v>8.5099999999999995E-2</v>
      </c>
      <c r="QL81" s="4">
        <v>15406</v>
      </c>
      <c r="QM81">
        <v>5.22</v>
      </c>
      <c r="QN81" s="1">
        <v>16329</v>
      </c>
      <c r="QO81" s="1">
        <v>16329</v>
      </c>
      <c r="QP81" s="1">
        <v>4453</v>
      </c>
      <c r="QQ81" s="3">
        <v>0.81320000000000003</v>
      </c>
      <c r="QR81" s="3">
        <v>3.4299999999999997E-2</v>
      </c>
      <c r="QS81" s="3">
        <v>0.1525</v>
      </c>
      <c r="QT81" s="3">
        <v>0.2727</v>
      </c>
      <c r="QU81">
        <v>0.27</v>
      </c>
      <c r="QV81">
        <v>0.81</v>
      </c>
      <c r="QW81">
        <v>0.2</v>
      </c>
      <c r="QX81">
        <v>57</v>
      </c>
      <c r="QY81">
        <v>2.42</v>
      </c>
      <c r="QZ81">
        <v>13</v>
      </c>
      <c r="RA81">
        <v>1.97</v>
      </c>
      <c r="RB81">
        <v>0.15</v>
      </c>
      <c r="RC81">
        <v>0.13</v>
      </c>
    </row>
    <row r="82" spans="1:471" x14ac:dyDescent="0.25">
      <c r="A82" t="s">
        <v>1371</v>
      </c>
      <c r="B82">
        <v>11699</v>
      </c>
      <c r="C82" t="s">
        <v>1754</v>
      </c>
      <c r="D82" t="s">
        <v>1754</v>
      </c>
      <c r="E82" t="s">
        <v>1754</v>
      </c>
      <c r="F82" t="s">
        <v>1755</v>
      </c>
      <c r="G82" t="s">
        <v>1755</v>
      </c>
      <c r="H82" t="s">
        <v>1372</v>
      </c>
      <c r="I82" t="s">
        <v>342</v>
      </c>
      <c r="J82" t="s">
        <v>343</v>
      </c>
      <c r="K82" t="s">
        <v>344</v>
      </c>
      <c r="L82" t="s">
        <v>345</v>
      </c>
      <c r="M82" t="s">
        <v>346</v>
      </c>
      <c r="N82" t="s">
        <v>347</v>
      </c>
      <c r="O82" s="1">
        <v>33745</v>
      </c>
      <c r="P82" t="s">
        <v>348</v>
      </c>
      <c r="Q82">
        <v>747</v>
      </c>
      <c r="R82">
        <v>88</v>
      </c>
      <c r="S82">
        <v>88</v>
      </c>
      <c r="T82">
        <v>26</v>
      </c>
      <c r="U82" s="1">
        <v>3481</v>
      </c>
      <c r="V82">
        <v>385</v>
      </c>
      <c r="W82" s="1">
        <v>22668</v>
      </c>
      <c r="X82" s="1">
        <v>3305</v>
      </c>
      <c r="Y82" s="1">
        <v>419320</v>
      </c>
      <c r="Z82" s="1">
        <v>44100</v>
      </c>
      <c r="AC82" t="s">
        <v>1373</v>
      </c>
      <c r="AD82" t="s">
        <v>1374</v>
      </c>
      <c r="AE82">
        <v>28712</v>
      </c>
      <c r="AF82">
        <v>3729</v>
      </c>
      <c r="AG82" t="s">
        <v>1373</v>
      </c>
      <c r="AH82" t="s">
        <v>1374</v>
      </c>
      <c r="AI82">
        <v>28712</v>
      </c>
      <c r="AJ82">
        <v>2</v>
      </c>
      <c r="AK82" t="s">
        <v>1375</v>
      </c>
      <c r="AM82" t="s">
        <v>0</v>
      </c>
      <c r="AN82" t="s">
        <v>1376</v>
      </c>
      <c r="AO82" t="s">
        <v>1377</v>
      </c>
      <c r="AP82">
        <v>8288843151</v>
      </c>
      <c r="AQ82" t="s">
        <v>1378</v>
      </c>
      <c r="AR82" t="s">
        <v>1379</v>
      </c>
      <c r="AS82" t="s">
        <v>1380</v>
      </c>
      <c r="AT82" t="s">
        <v>1941</v>
      </c>
      <c r="AU82" t="s">
        <v>1942</v>
      </c>
      <c r="AV82" t="s">
        <v>1378</v>
      </c>
      <c r="AW82" t="s">
        <v>1943</v>
      </c>
      <c r="AX82" t="s">
        <v>1381</v>
      </c>
      <c r="AY82">
        <v>0</v>
      </c>
      <c r="AZ82">
        <v>0</v>
      </c>
      <c r="BA82">
        <v>0</v>
      </c>
      <c r="BB82" s="573">
        <v>42186</v>
      </c>
      <c r="BC82" s="573">
        <v>42551</v>
      </c>
      <c r="BD82">
        <v>1</v>
      </c>
      <c r="BE82">
        <v>0</v>
      </c>
      <c r="BF82">
        <v>1</v>
      </c>
      <c r="BG82">
        <v>0</v>
      </c>
      <c r="BH82">
        <v>2</v>
      </c>
      <c r="BJ82" s="1">
        <v>3440</v>
      </c>
      <c r="BK82">
        <v>4.6900000000000004</v>
      </c>
      <c r="BL82">
        <v>0.94</v>
      </c>
      <c r="BM82">
        <v>5.63</v>
      </c>
      <c r="BN82">
        <v>12.13</v>
      </c>
      <c r="BO82">
        <v>17.760000000000002</v>
      </c>
      <c r="BP82" s="3">
        <v>0.2641</v>
      </c>
      <c r="BQ82" s="1">
        <v>7099</v>
      </c>
      <c r="BR82" s="4">
        <v>79015</v>
      </c>
      <c r="DW82" s="4">
        <v>0</v>
      </c>
      <c r="DX82" s="4">
        <v>1178653</v>
      </c>
      <c r="DY82" s="4">
        <v>1178653</v>
      </c>
      <c r="DZ82" s="4">
        <v>88071</v>
      </c>
      <c r="EA82" s="4">
        <v>0</v>
      </c>
      <c r="EB82" s="4">
        <v>88071</v>
      </c>
      <c r="EC82" s="4">
        <v>0</v>
      </c>
      <c r="ED82" s="4">
        <v>15636</v>
      </c>
      <c r="EE82" s="4">
        <v>15636</v>
      </c>
      <c r="EF82" s="4">
        <v>0</v>
      </c>
      <c r="EG82" s="4">
        <v>1282360</v>
      </c>
      <c r="EH82" s="4">
        <v>676322</v>
      </c>
      <c r="EI82" s="4">
        <v>269375</v>
      </c>
      <c r="EJ82" s="4">
        <v>945697</v>
      </c>
      <c r="EK82" s="4">
        <v>93517</v>
      </c>
      <c r="EL82" s="4">
        <v>29590</v>
      </c>
      <c r="EM82" s="4">
        <v>20170</v>
      </c>
      <c r="EN82" s="4">
        <v>143277</v>
      </c>
      <c r="EO82" s="4">
        <v>164584</v>
      </c>
      <c r="EP82" s="4">
        <v>1253558</v>
      </c>
      <c r="EQ82" s="4">
        <v>28802</v>
      </c>
      <c r="ER82" s="3">
        <v>2.2499999999999999E-2</v>
      </c>
      <c r="ES82" s="4">
        <v>0</v>
      </c>
      <c r="ET82" s="4">
        <v>0</v>
      </c>
      <c r="EU82" s="4">
        <v>0</v>
      </c>
      <c r="EV82" s="4">
        <v>0</v>
      </c>
      <c r="EW82" s="4">
        <v>0</v>
      </c>
      <c r="EX82" s="4">
        <v>0</v>
      </c>
      <c r="EY82" s="1">
        <v>31314</v>
      </c>
      <c r="EZ82" s="1">
        <v>218145</v>
      </c>
      <c r="FA82" s="1">
        <v>37308</v>
      </c>
      <c r="FB82" s="1">
        <v>5257</v>
      </c>
      <c r="FC82" s="1">
        <v>21696</v>
      </c>
      <c r="FD82" s="1">
        <v>39638</v>
      </c>
      <c r="FE82" s="1">
        <v>1978</v>
      </c>
      <c r="FF82" s="1">
        <v>14875</v>
      </c>
      <c r="FG82" s="1">
        <v>76946</v>
      </c>
      <c r="FH82" s="1">
        <v>7235</v>
      </c>
      <c r="FI82" s="1">
        <v>36571</v>
      </c>
      <c r="FJ82" s="1">
        <v>120752</v>
      </c>
      <c r="FK82">
        <v>278</v>
      </c>
      <c r="FL82">
        <v>129</v>
      </c>
      <c r="FN82" s="1">
        <v>120752</v>
      </c>
      <c r="FO82" s="1">
        <v>6408</v>
      </c>
      <c r="FP82" s="1">
        <v>7719</v>
      </c>
      <c r="FQ82" s="1">
        <v>1905</v>
      </c>
      <c r="FR82">
        <v>9</v>
      </c>
      <c r="FS82">
        <v>74</v>
      </c>
      <c r="FT82">
        <v>83</v>
      </c>
      <c r="FU82" s="1">
        <v>26725</v>
      </c>
      <c r="FV82" s="1">
        <v>2022</v>
      </c>
      <c r="FW82">
        <v>0</v>
      </c>
      <c r="GG82" s="1">
        <v>34298</v>
      </c>
      <c r="GH82" s="1">
        <v>13913</v>
      </c>
      <c r="GI82">
        <v>370</v>
      </c>
      <c r="GJ82">
        <v>87</v>
      </c>
      <c r="GK82" s="1">
        <v>2528</v>
      </c>
      <c r="GL82">
        <v>468</v>
      </c>
      <c r="GM82">
        <v>414</v>
      </c>
      <c r="GN82">
        <v>46</v>
      </c>
      <c r="GO82" s="1">
        <v>63551</v>
      </c>
      <c r="GP82" s="1">
        <v>16403</v>
      </c>
      <c r="GQ82">
        <v>784</v>
      </c>
      <c r="GR82">
        <v>133</v>
      </c>
      <c r="GS82">
        <v>23</v>
      </c>
      <c r="GU82" s="1">
        <v>88000</v>
      </c>
      <c r="GV82" s="1">
        <v>9175</v>
      </c>
      <c r="GW82" s="1">
        <v>57495</v>
      </c>
      <c r="GX82" s="1">
        <v>36401</v>
      </c>
      <c r="GY82">
        <v>361</v>
      </c>
      <c r="GZ82" s="1">
        <v>21734</v>
      </c>
      <c r="HA82" s="1">
        <v>124401</v>
      </c>
      <c r="HB82" s="1">
        <v>9536</v>
      </c>
      <c r="HC82" s="1">
        <v>79229</v>
      </c>
      <c r="HD82" s="1">
        <v>213166</v>
      </c>
      <c r="HE82">
        <v>0</v>
      </c>
      <c r="HF82" s="1">
        <v>213166</v>
      </c>
      <c r="HG82" s="1">
        <v>20119</v>
      </c>
      <c r="HH82" s="1">
        <v>56252</v>
      </c>
      <c r="HI82">
        <v>0</v>
      </c>
      <c r="HJ82">
        <v>0</v>
      </c>
      <c r="HK82" s="1">
        <v>76371</v>
      </c>
      <c r="HL82" s="1">
        <v>289537</v>
      </c>
      <c r="HM82">
        <v>8</v>
      </c>
      <c r="HN82" s="1">
        <v>29596</v>
      </c>
      <c r="HO82" s="1">
        <v>29604</v>
      </c>
      <c r="HP82">
        <v>7</v>
      </c>
      <c r="HQ82" s="1">
        <v>7017</v>
      </c>
      <c r="HR82" s="1">
        <v>7024</v>
      </c>
      <c r="HS82">
        <v>0</v>
      </c>
      <c r="HT82">
        <v>90</v>
      </c>
      <c r="HU82">
        <v>90</v>
      </c>
      <c r="HV82" s="1">
        <v>3186</v>
      </c>
      <c r="HW82" s="1">
        <v>39904</v>
      </c>
      <c r="HX82" s="1">
        <v>13957</v>
      </c>
      <c r="HY82" s="1">
        <v>31417</v>
      </c>
      <c r="HZ82" s="1">
        <v>45374</v>
      </c>
      <c r="IA82" s="1">
        <v>85278</v>
      </c>
      <c r="IB82" s="1">
        <v>27143</v>
      </c>
      <c r="IC82" s="1">
        <v>83485</v>
      </c>
      <c r="ID82" s="1">
        <v>329441</v>
      </c>
      <c r="IE82" s="1">
        <v>329441</v>
      </c>
      <c r="IF82" s="1">
        <v>374815</v>
      </c>
      <c r="IG82" s="1">
        <v>113041</v>
      </c>
      <c r="IH82">
        <v>109</v>
      </c>
      <c r="IK82">
        <v>1</v>
      </c>
      <c r="IL82" s="3">
        <v>3.9E-2</v>
      </c>
      <c r="IM82" s="3">
        <v>5.9999999999999995E-4</v>
      </c>
      <c r="IN82" s="3">
        <v>0.37069999999999997</v>
      </c>
      <c r="IO82" s="3">
        <v>0</v>
      </c>
      <c r="IP82" s="3">
        <v>0.2913</v>
      </c>
      <c r="IQ82" s="3">
        <v>4.0000000000000002E-4</v>
      </c>
      <c r="IR82" s="3">
        <v>0.55349999999999999</v>
      </c>
      <c r="IS82" s="3">
        <v>0.1046</v>
      </c>
      <c r="IT82" s="3">
        <v>0.34310000000000002</v>
      </c>
      <c r="IU82" s="1">
        <v>14911</v>
      </c>
      <c r="IV82" s="1">
        <v>3047</v>
      </c>
      <c r="IW82" s="1">
        <v>17958</v>
      </c>
      <c r="IX82" s="3">
        <v>0.53220000000000001</v>
      </c>
      <c r="IY82" s="1">
        <v>212099</v>
      </c>
      <c r="JA82">
        <v>82</v>
      </c>
      <c r="JB82">
        <v>58</v>
      </c>
      <c r="JC82">
        <v>269</v>
      </c>
      <c r="JD82">
        <v>23</v>
      </c>
      <c r="JE82">
        <v>0</v>
      </c>
      <c r="JF82">
        <v>8</v>
      </c>
      <c r="JG82">
        <v>105</v>
      </c>
      <c r="JH82">
        <v>58</v>
      </c>
      <c r="JI82">
        <v>277</v>
      </c>
      <c r="JJ82">
        <v>440</v>
      </c>
      <c r="JK82">
        <v>409</v>
      </c>
      <c r="JL82">
        <v>31</v>
      </c>
      <c r="JM82" s="1">
        <v>6098</v>
      </c>
      <c r="JN82">
        <v>789</v>
      </c>
      <c r="JO82" s="1">
        <v>7271</v>
      </c>
      <c r="JP82">
        <v>761</v>
      </c>
      <c r="JQ82">
        <v>0</v>
      </c>
      <c r="JR82" s="1">
        <v>1455</v>
      </c>
      <c r="JS82" s="1">
        <v>6859</v>
      </c>
      <c r="JT82">
        <v>789</v>
      </c>
      <c r="JU82" s="1">
        <v>8726</v>
      </c>
      <c r="JV82" s="1">
        <v>16374</v>
      </c>
      <c r="JW82" s="1">
        <v>14158</v>
      </c>
      <c r="JX82" s="1">
        <v>2216</v>
      </c>
      <c r="JY82">
        <v>37.21</v>
      </c>
      <c r="JZ82">
        <v>65.319999999999993</v>
      </c>
      <c r="KA82">
        <v>31.5</v>
      </c>
      <c r="KB82">
        <v>0.42</v>
      </c>
      <c r="KC82">
        <v>0.53</v>
      </c>
      <c r="KD82">
        <v>0</v>
      </c>
      <c r="KE82">
        <v>0</v>
      </c>
      <c r="KF82">
        <v>0</v>
      </c>
      <c r="KG82">
        <v>0</v>
      </c>
      <c r="KN82" s="1">
        <v>14296</v>
      </c>
      <c r="KO82" s="1">
        <v>4630</v>
      </c>
      <c r="KP82">
        <v>410</v>
      </c>
      <c r="KR82">
        <v>859</v>
      </c>
      <c r="KS82" s="1">
        <v>6733</v>
      </c>
      <c r="KT82" s="1">
        <v>1436</v>
      </c>
      <c r="KU82">
        <v>298</v>
      </c>
      <c r="KV82">
        <v>36</v>
      </c>
      <c r="KW82">
        <v>50</v>
      </c>
      <c r="KX82" s="1">
        <v>29599</v>
      </c>
      <c r="KZ82" s="1">
        <v>138519</v>
      </c>
      <c r="LA82" s="1">
        <v>30057</v>
      </c>
      <c r="LD82" t="s">
        <v>1375</v>
      </c>
      <c r="LE82" t="s">
        <v>379</v>
      </c>
      <c r="LF82" t="s">
        <v>1373</v>
      </c>
      <c r="LG82" t="s">
        <v>1374</v>
      </c>
      <c r="LH82">
        <v>28712</v>
      </c>
      <c r="LI82">
        <v>3729</v>
      </c>
      <c r="LJ82" t="s">
        <v>1373</v>
      </c>
      <c r="LK82" t="s">
        <v>1374</v>
      </c>
      <c r="LL82">
        <v>28712</v>
      </c>
      <c r="LM82">
        <v>3729</v>
      </c>
      <c r="LN82" t="s">
        <v>1376</v>
      </c>
      <c r="LO82">
        <v>8288843151</v>
      </c>
      <c r="LP82">
        <v>8288774230</v>
      </c>
      <c r="LQ82" s="1">
        <v>34811</v>
      </c>
      <c r="LR82">
        <v>17.760000000000002</v>
      </c>
      <c r="LT82" s="1">
        <v>3440</v>
      </c>
      <c r="LU82">
        <v>104</v>
      </c>
      <c r="LX82">
        <v>2</v>
      </c>
      <c r="LY82" t="s">
        <v>1382</v>
      </c>
      <c r="LZ82">
        <v>0</v>
      </c>
      <c r="MA82" t="s">
        <v>363</v>
      </c>
      <c r="MB82">
        <v>94.75</v>
      </c>
      <c r="MC82">
        <v>86.64</v>
      </c>
      <c r="ME82" s="574">
        <v>3.81</v>
      </c>
      <c r="MF82" s="574">
        <v>2.87</v>
      </c>
      <c r="MG82" s="574">
        <v>0.43</v>
      </c>
      <c r="MH82" s="574">
        <v>69.8</v>
      </c>
      <c r="MI82" s="574">
        <v>52.66</v>
      </c>
      <c r="MJ82" s="574">
        <v>7.98</v>
      </c>
      <c r="MK82" s="574">
        <v>5.91</v>
      </c>
      <c r="ML82" s="574">
        <v>4.46</v>
      </c>
      <c r="MM82" s="574">
        <v>0.68</v>
      </c>
      <c r="MN82" s="574">
        <v>87.69</v>
      </c>
      <c r="MO82" s="574">
        <v>66.150000000000006</v>
      </c>
      <c r="MP82" s="574">
        <v>10.02</v>
      </c>
      <c r="MQ82" s="574">
        <v>76.56</v>
      </c>
      <c r="MR82" s="574">
        <v>57.76</v>
      </c>
      <c r="MS82" s="574">
        <v>8.75</v>
      </c>
      <c r="MT82" s="574">
        <v>11.09</v>
      </c>
      <c r="MU82" s="574">
        <v>8.3699999999999992</v>
      </c>
      <c r="MV82" s="574">
        <v>1.27</v>
      </c>
      <c r="MW82">
        <v>805</v>
      </c>
      <c r="MX82" s="1">
        <v>3048</v>
      </c>
      <c r="MY82" s="1">
        <v>2539</v>
      </c>
      <c r="MZ82" s="1">
        <v>11943</v>
      </c>
      <c r="NA82" s="1">
        <v>45224</v>
      </c>
      <c r="NB82" s="1">
        <v>37673</v>
      </c>
      <c r="NC82" s="1">
        <v>58515</v>
      </c>
      <c r="ND82" s="1">
        <v>70243</v>
      </c>
      <c r="NE82">
        <v>1.51</v>
      </c>
      <c r="NF82" s="1">
        <v>18550</v>
      </c>
      <c r="NG82">
        <v>8.92</v>
      </c>
      <c r="NH82">
        <v>9.7629999999999999</v>
      </c>
      <c r="NI82">
        <v>6.29</v>
      </c>
      <c r="NJ82">
        <v>79.959999999999994</v>
      </c>
      <c r="NK82">
        <v>16.59</v>
      </c>
      <c r="NL82">
        <v>0.42370000000000002</v>
      </c>
      <c r="NM82">
        <v>3.3498999999999999</v>
      </c>
      <c r="NN82">
        <v>0.53</v>
      </c>
      <c r="NO82">
        <v>0.49</v>
      </c>
      <c r="NP82">
        <v>0.04</v>
      </c>
      <c r="NQ82">
        <v>0.01</v>
      </c>
      <c r="NR82">
        <v>0.88</v>
      </c>
      <c r="NS82">
        <v>0.2</v>
      </c>
      <c r="NT82">
        <v>0.26</v>
      </c>
      <c r="NU82" s="574">
        <v>28.02</v>
      </c>
      <c r="NV82">
        <v>6.4649999999999999</v>
      </c>
      <c r="NW82">
        <v>0</v>
      </c>
      <c r="NX82">
        <v>4.0000000000000001E-3</v>
      </c>
      <c r="NY82">
        <v>1.883</v>
      </c>
      <c r="NZ82">
        <v>2E-3</v>
      </c>
      <c r="OA82">
        <v>0.26119999999999999</v>
      </c>
      <c r="OB82">
        <v>0.98899999999999999</v>
      </c>
      <c r="OC82">
        <v>7.1829999999999998</v>
      </c>
      <c r="OD82">
        <v>3.5779999999999998</v>
      </c>
      <c r="OE82">
        <v>0.35949999999999999</v>
      </c>
      <c r="OF82" s="2">
        <v>3538.8679999999999</v>
      </c>
      <c r="OG82">
        <v>4.6219999999999999</v>
      </c>
      <c r="OH82" s="574">
        <v>4.88</v>
      </c>
      <c r="OI82" s="1">
        <v>1270</v>
      </c>
      <c r="OJ82">
        <v>473</v>
      </c>
      <c r="OK82" s="574">
        <v>37.15</v>
      </c>
      <c r="OL82" s="574">
        <v>4.25</v>
      </c>
      <c r="OM82" s="574">
        <v>2.77</v>
      </c>
      <c r="ON82">
        <v>0.52629999999999999</v>
      </c>
      <c r="OO82">
        <v>0.13900000000000001</v>
      </c>
      <c r="OP82">
        <v>0.67549999999999999</v>
      </c>
      <c r="OQ82" s="574">
        <v>2.61</v>
      </c>
      <c r="OR82" s="574">
        <v>34.93</v>
      </c>
      <c r="OS82" s="574">
        <v>0.46</v>
      </c>
      <c r="OT82" s="574">
        <v>0</v>
      </c>
      <c r="OU82" s="574">
        <v>38</v>
      </c>
      <c r="OV82">
        <v>28</v>
      </c>
      <c r="OW82">
        <v>6</v>
      </c>
      <c r="OX82">
        <v>1.55</v>
      </c>
      <c r="OY82" s="1">
        <v>6335</v>
      </c>
      <c r="OZ82">
        <v>61.66</v>
      </c>
      <c r="PA82" s="1">
        <v>4079</v>
      </c>
      <c r="PB82">
        <v>4.16</v>
      </c>
      <c r="PC82">
        <v>95.77</v>
      </c>
      <c r="PD82">
        <v>7.0000000000000007E-2</v>
      </c>
      <c r="PE82">
        <v>275</v>
      </c>
      <c r="PF82">
        <v>0.66</v>
      </c>
      <c r="PG82" s="574">
        <v>0.68</v>
      </c>
      <c r="PH82">
        <v>1.03</v>
      </c>
      <c r="PI82">
        <v>10.19</v>
      </c>
      <c r="PJ82">
        <v>18.350000000000001</v>
      </c>
      <c r="PK82" s="574">
        <v>5.91</v>
      </c>
      <c r="PL82">
        <v>33.08</v>
      </c>
      <c r="PM82" s="4">
        <v>53249</v>
      </c>
      <c r="PN82" s="4">
        <v>38081</v>
      </c>
      <c r="PO82">
        <v>5.3900000000000003E-2</v>
      </c>
      <c r="PP82">
        <v>1.2423</v>
      </c>
      <c r="PQ82">
        <v>8.3699999999999997E-2</v>
      </c>
      <c r="PR82">
        <v>1.4200000000000001E-2</v>
      </c>
      <c r="PS82">
        <v>0.3281</v>
      </c>
      <c r="PT82">
        <v>2.2100000000000002E-2</v>
      </c>
      <c r="PU82" s="3">
        <v>0.83299999999999996</v>
      </c>
      <c r="PV82" s="3">
        <v>0.317</v>
      </c>
      <c r="PW82" s="3">
        <v>0.68300000000000005</v>
      </c>
      <c r="PX82" s="3">
        <v>0.2848</v>
      </c>
      <c r="PY82" s="3">
        <v>0.71519999999999995</v>
      </c>
      <c r="PZ82" s="3">
        <v>0.1143</v>
      </c>
      <c r="QA82" s="3">
        <v>2.3599999999999999E-2</v>
      </c>
      <c r="QB82" s="3">
        <v>0.21490000000000001</v>
      </c>
      <c r="QC82" s="3">
        <v>1.61E-2</v>
      </c>
      <c r="QD82" s="3">
        <v>0.1313</v>
      </c>
      <c r="QE82" s="3">
        <v>7.46E-2</v>
      </c>
      <c r="QF82" s="3">
        <v>0.53949999999999998</v>
      </c>
      <c r="QG82" s="3">
        <v>0.75439999999999996</v>
      </c>
      <c r="QH82" s="3">
        <v>1.2200000000000001E-2</v>
      </c>
      <c r="QI82" s="3">
        <v>0.91910000000000003</v>
      </c>
      <c r="QJ82" s="3">
        <v>0</v>
      </c>
      <c r="QK82" s="3">
        <v>6.8699999999999997E-2</v>
      </c>
      <c r="QL82" s="4">
        <v>15168</v>
      </c>
      <c r="QM82">
        <v>11.81</v>
      </c>
      <c r="QN82" s="1">
        <v>5994</v>
      </c>
      <c r="QO82" s="1">
        <v>7195</v>
      </c>
      <c r="QP82" s="1">
        <v>1900</v>
      </c>
      <c r="QQ82" s="3">
        <v>0.65269999999999995</v>
      </c>
      <c r="QR82" s="3">
        <v>0.20649999999999999</v>
      </c>
      <c r="QS82" s="3">
        <v>0.14080000000000001</v>
      </c>
      <c r="QT82" s="3">
        <v>0.2641</v>
      </c>
      <c r="QU82">
        <v>0.49</v>
      </c>
      <c r="QV82">
        <v>1.22</v>
      </c>
      <c r="QW82">
        <v>0.35</v>
      </c>
      <c r="QX82">
        <v>11</v>
      </c>
      <c r="QY82">
        <v>3.52</v>
      </c>
      <c r="QZ82">
        <v>16</v>
      </c>
      <c r="RA82">
        <v>2.2999999999999998</v>
      </c>
      <c r="RB82">
        <v>0.26</v>
      </c>
      <c r="RC82">
        <v>0.26</v>
      </c>
    </row>
    <row r="83" spans="1:471" x14ac:dyDescent="0.25">
      <c r="A83" t="s">
        <v>1383</v>
      </c>
      <c r="B83">
        <v>11700</v>
      </c>
      <c r="C83" t="s">
        <v>1756</v>
      </c>
      <c r="D83" t="s">
        <v>1754</v>
      </c>
      <c r="E83" t="s">
        <v>1754</v>
      </c>
      <c r="F83" t="s">
        <v>1755</v>
      </c>
      <c r="G83" t="s">
        <v>1755</v>
      </c>
      <c r="H83" t="s">
        <v>1384</v>
      </c>
      <c r="I83" t="s">
        <v>342</v>
      </c>
      <c r="J83" t="s">
        <v>343</v>
      </c>
      <c r="K83" t="s">
        <v>344</v>
      </c>
      <c r="L83" t="s">
        <v>345</v>
      </c>
      <c r="M83" t="s">
        <v>346</v>
      </c>
      <c r="N83" t="s">
        <v>347</v>
      </c>
      <c r="O83" s="1">
        <v>219992</v>
      </c>
      <c r="P83" t="s">
        <v>348</v>
      </c>
      <c r="Q83" s="1">
        <v>2238</v>
      </c>
      <c r="R83">
        <v>387</v>
      </c>
      <c r="S83">
        <v>288</v>
      </c>
      <c r="T83">
        <v>34</v>
      </c>
      <c r="U83" s="1">
        <v>7975</v>
      </c>
      <c r="V83">
        <v>352</v>
      </c>
      <c r="W83" s="1">
        <v>115376</v>
      </c>
      <c r="X83" s="1">
        <v>14236</v>
      </c>
      <c r="Y83" s="1">
        <v>474980</v>
      </c>
      <c r="Z83" s="1">
        <v>327600</v>
      </c>
      <c r="AC83" t="s">
        <v>1385</v>
      </c>
      <c r="AD83" t="s">
        <v>1386</v>
      </c>
      <c r="AE83">
        <v>28112</v>
      </c>
      <c r="AF83">
        <v>4842</v>
      </c>
      <c r="AG83" t="s">
        <v>1385</v>
      </c>
      <c r="AH83" t="s">
        <v>1386</v>
      </c>
      <c r="AI83">
        <v>28112</v>
      </c>
      <c r="AJ83">
        <v>3</v>
      </c>
      <c r="AK83" t="s">
        <v>1387</v>
      </c>
      <c r="AM83" t="s">
        <v>0</v>
      </c>
      <c r="AN83" t="s">
        <v>1388</v>
      </c>
      <c r="AO83" t="s">
        <v>1389</v>
      </c>
      <c r="AP83">
        <v>7042838184</v>
      </c>
      <c r="AQ83" t="s">
        <v>1391</v>
      </c>
      <c r="AR83" t="s">
        <v>1944</v>
      </c>
      <c r="AS83" t="s">
        <v>1945</v>
      </c>
      <c r="AT83" t="s">
        <v>1946</v>
      </c>
      <c r="AU83" t="s">
        <v>1390</v>
      </c>
      <c r="AV83" t="s">
        <v>1391</v>
      </c>
      <c r="AW83" t="s">
        <v>1947</v>
      </c>
      <c r="AX83" t="s">
        <v>1392</v>
      </c>
      <c r="AY83">
        <v>0</v>
      </c>
      <c r="AZ83">
        <v>0</v>
      </c>
      <c r="BA83">
        <v>0</v>
      </c>
      <c r="BB83" s="573">
        <v>42186</v>
      </c>
      <c r="BC83" s="573">
        <v>42551</v>
      </c>
      <c r="BD83">
        <v>1</v>
      </c>
      <c r="BE83">
        <v>3</v>
      </c>
      <c r="BF83">
        <v>0</v>
      </c>
      <c r="BG83">
        <v>0</v>
      </c>
      <c r="BH83">
        <v>4</v>
      </c>
      <c r="BJ83" s="1">
        <v>10798</v>
      </c>
      <c r="BK83">
        <v>5</v>
      </c>
      <c r="BL83">
        <v>4</v>
      </c>
      <c r="BM83">
        <v>9</v>
      </c>
      <c r="BN83">
        <v>45.03</v>
      </c>
      <c r="BO83">
        <v>54.03</v>
      </c>
      <c r="BP83" s="3">
        <v>9.2499999999999999E-2</v>
      </c>
      <c r="BQ83" s="1">
        <v>5114</v>
      </c>
      <c r="BR83" s="4">
        <v>78118</v>
      </c>
      <c r="DW83" s="4">
        <v>0</v>
      </c>
      <c r="DX83" s="4">
        <v>4114180</v>
      </c>
      <c r="DY83" s="4">
        <v>4114180</v>
      </c>
      <c r="DZ83" s="4">
        <v>193581</v>
      </c>
      <c r="EA83" s="4">
        <v>0</v>
      </c>
      <c r="EB83" s="4">
        <v>193581</v>
      </c>
      <c r="EC83" s="4">
        <v>0</v>
      </c>
      <c r="ED83" s="4">
        <v>0</v>
      </c>
      <c r="EE83" s="4">
        <v>0</v>
      </c>
      <c r="EF83" s="4">
        <v>183353</v>
      </c>
      <c r="EG83" s="4">
        <v>4491114</v>
      </c>
      <c r="EH83" s="4">
        <v>2095689</v>
      </c>
      <c r="EI83" s="4">
        <v>1159968</v>
      </c>
      <c r="EJ83" s="4">
        <v>3255657</v>
      </c>
      <c r="EK83" s="4">
        <v>308837</v>
      </c>
      <c r="EL83" s="4">
        <v>128494</v>
      </c>
      <c r="EM83" s="4">
        <v>46501</v>
      </c>
      <c r="EN83" s="4">
        <v>483832</v>
      </c>
      <c r="EO83" s="4">
        <v>682648</v>
      </c>
      <c r="EP83" s="4">
        <v>4422137</v>
      </c>
      <c r="EQ83" s="4">
        <v>68977</v>
      </c>
      <c r="ER83" s="3">
        <v>1.54E-2</v>
      </c>
      <c r="ES83" s="4">
        <v>0</v>
      </c>
      <c r="ET83" s="4">
        <v>0</v>
      </c>
      <c r="EU83" s="4">
        <v>0</v>
      </c>
      <c r="EV83" s="4">
        <v>0</v>
      </c>
      <c r="EW83" s="4">
        <v>0</v>
      </c>
      <c r="EX83" s="4">
        <v>0</v>
      </c>
      <c r="EY83" s="1">
        <v>24021</v>
      </c>
      <c r="EZ83" s="1">
        <v>244980</v>
      </c>
      <c r="FA83" s="1">
        <v>54252</v>
      </c>
      <c r="FB83" s="1">
        <v>11250</v>
      </c>
      <c r="FC83" s="1">
        <v>53505</v>
      </c>
      <c r="FD83" s="1">
        <v>45330</v>
      </c>
      <c r="FE83">
        <v>300</v>
      </c>
      <c r="FF83" s="1">
        <v>17020</v>
      </c>
      <c r="FG83" s="1">
        <v>99582</v>
      </c>
      <c r="FH83" s="1">
        <v>11550</v>
      </c>
      <c r="FI83" s="1">
        <v>70525</v>
      </c>
      <c r="FJ83" s="1">
        <v>181657</v>
      </c>
      <c r="FK83" s="1">
        <v>4728</v>
      </c>
      <c r="FL83">
        <v>229</v>
      </c>
      <c r="FN83" s="1">
        <v>181657</v>
      </c>
      <c r="FO83" s="1">
        <v>8661</v>
      </c>
      <c r="FP83" s="1">
        <v>12676</v>
      </c>
      <c r="FQ83" s="1">
        <v>2045</v>
      </c>
      <c r="FR83">
        <v>18</v>
      </c>
      <c r="FS83">
        <v>74</v>
      </c>
      <c r="FT83">
        <v>92</v>
      </c>
      <c r="FU83" s="1">
        <v>26725</v>
      </c>
      <c r="FV83" s="1">
        <v>2022</v>
      </c>
      <c r="FW83">
        <v>0</v>
      </c>
      <c r="GK83" s="1">
        <v>5448</v>
      </c>
      <c r="GL83">
        <v>662</v>
      </c>
      <c r="GM83">
        <v>0</v>
      </c>
      <c r="GN83">
        <v>35</v>
      </c>
      <c r="GO83" s="1">
        <v>32173</v>
      </c>
      <c r="GP83" s="1">
        <v>2684</v>
      </c>
      <c r="GQ83">
        <v>0</v>
      </c>
      <c r="GR83">
        <v>35</v>
      </c>
      <c r="GS83">
        <v>25</v>
      </c>
      <c r="GU83" s="1">
        <v>172159</v>
      </c>
      <c r="GV83" s="1">
        <v>39724</v>
      </c>
      <c r="GW83" s="1">
        <v>330551</v>
      </c>
      <c r="GX83" s="1">
        <v>66176</v>
      </c>
      <c r="GY83">
        <v>267</v>
      </c>
      <c r="GZ83" s="1">
        <v>48431</v>
      </c>
      <c r="HA83" s="1">
        <v>238335</v>
      </c>
      <c r="HB83" s="1">
        <v>39991</v>
      </c>
      <c r="HC83" s="1">
        <v>378982</v>
      </c>
      <c r="HD83" s="1">
        <v>657308</v>
      </c>
      <c r="HE83" s="1">
        <v>4574</v>
      </c>
      <c r="HF83" s="1">
        <v>663709</v>
      </c>
      <c r="HG83" s="1">
        <v>41335</v>
      </c>
      <c r="HH83" s="1">
        <v>161382</v>
      </c>
      <c r="HI83" s="1">
        <v>1827</v>
      </c>
      <c r="HJ83">
        <v>247</v>
      </c>
      <c r="HK83" s="1">
        <v>202964</v>
      </c>
      <c r="HL83" s="1">
        <v>866673</v>
      </c>
      <c r="HM83">
        <v>168</v>
      </c>
      <c r="HN83" s="1">
        <v>49491</v>
      </c>
      <c r="HO83" s="1">
        <v>49659</v>
      </c>
      <c r="HP83">
        <v>644</v>
      </c>
      <c r="HQ83" s="1">
        <v>9879</v>
      </c>
      <c r="HR83" s="1">
        <v>10523</v>
      </c>
      <c r="HS83">
        <v>0</v>
      </c>
      <c r="HT83">
        <v>0</v>
      </c>
      <c r="HU83">
        <v>0</v>
      </c>
      <c r="HV83" s="1">
        <v>2263</v>
      </c>
      <c r="HW83" s="1">
        <v>62445</v>
      </c>
      <c r="HX83" s="1">
        <v>66665</v>
      </c>
      <c r="HY83" s="1">
        <v>209443</v>
      </c>
      <c r="HZ83" s="1">
        <v>276108</v>
      </c>
      <c r="IA83" s="1">
        <v>338553</v>
      </c>
      <c r="IB83" s="1">
        <v>51858</v>
      </c>
      <c r="IC83" s="1">
        <v>213240</v>
      </c>
      <c r="ID83" s="1">
        <v>929118</v>
      </c>
      <c r="IE83" s="1">
        <v>929118</v>
      </c>
      <c r="IF83" s="1">
        <v>1205226</v>
      </c>
      <c r="IG83" s="1">
        <v>476397</v>
      </c>
      <c r="IH83">
        <v>94</v>
      </c>
      <c r="IK83">
        <v>3</v>
      </c>
      <c r="IL83" s="3">
        <v>5.1700000000000003E-2</v>
      </c>
      <c r="IM83" s="3">
        <v>8.9999999999999998E-4</v>
      </c>
      <c r="IN83" s="3">
        <v>0.1424</v>
      </c>
      <c r="IO83" s="3">
        <v>0</v>
      </c>
      <c r="IP83" s="3">
        <v>0.1313</v>
      </c>
      <c r="IQ83" s="3">
        <v>4.0000000000000002E-4</v>
      </c>
      <c r="IR83" s="3">
        <v>0.74150000000000005</v>
      </c>
      <c r="IS83" s="3">
        <v>4.6300000000000001E-2</v>
      </c>
      <c r="IT83" s="3">
        <v>0.51270000000000004</v>
      </c>
      <c r="IU83" s="1">
        <v>65097</v>
      </c>
      <c r="IV83" s="1">
        <v>26404</v>
      </c>
      <c r="IW83" s="1">
        <v>91501</v>
      </c>
      <c r="IX83" s="3">
        <v>0.41589999999999999</v>
      </c>
      <c r="IY83" s="1">
        <v>614431</v>
      </c>
      <c r="JA83">
        <v>380</v>
      </c>
      <c r="JB83">
        <v>78</v>
      </c>
      <c r="JC83" s="1">
        <v>1082</v>
      </c>
      <c r="JD83">
        <v>23</v>
      </c>
      <c r="JE83">
        <v>7</v>
      </c>
      <c r="JF83">
        <v>34</v>
      </c>
      <c r="JG83">
        <v>403</v>
      </c>
      <c r="JH83">
        <v>85</v>
      </c>
      <c r="JI83" s="1">
        <v>1116</v>
      </c>
      <c r="JJ83" s="1">
        <v>1604</v>
      </c>
      <c r="JK83" s="1">
        <v>1540</v>
      </c>
      <c r="JL83">
        <v>64</v>
      </c>
      <c r="JM83" s="1">
        <v>2560</v>
      </c>
      <c r="JN83">
        <v>837</v>
      </c>
      <c r="JO83" s="1">
        <v>29767</v>
      </c>
      <c r="JP83" s="1">
        <v>2147</v>
      </c>
      <c r="JQ83" s="1">
        <v>1831</v>
      </c>
      <c r="JR83" s="1">
        <v>2772</v>
      </c>
      <c r="JS83" s="1">
        <v>4707</v>
      </c>
      <c r="JT83" s="1">
        <v>2668</v>
      </c>
      <c r="JU83" s="1">
        <v>32539</v>
      </c>
      <c r="JV83" s="1">
        <v>39914</v>
      </c>
      <c r="JW83" s="1">
        <v>33164</v>
      </c>
      <c r="JX83" s="1">
        <v>6750</v>
      </c>
      <c r="JY83">
        <v>24.88</v>
      </c>
      <c r="JZ83">
        <v>11.68</v>
      </c>
      <c r="KA83">
        <v>29.16</v>
      </c>
      <c r="KB83">
        <v>0.12</v>
      </c>
      <c r="KC83">
        <v>0.82</v>
      </c>
      <c r="KD83">
        <v>52</v>
      </c>
      <c r="KE83">
        <v>52</v>
      </c>
      <c r="KF83">
        <v>158</v>
      </c>
      <c r="KG83">
        <v>434</v>
      </c>
      <c r="KN83" s="1">
        <v>160563</v>
      </c>
      <c r="KO83" s="1">
        <v>48862</v>
      </c>
      <c r="KP83" s="1">
        <v>5783</v>
      </c>
      <c r="KR83">
        <v>518</v>
      </c>
      <c r="KS83" s="1">
        <v>13188</v>
      </c>
      <c r="KT83">
        <v>0</v>
      </c>
      <c r="KU83">
        <v>0</v>
      </c>
      <c r="KV83">
        <v>74</v>
      </c>
      <c r="KW83">
        <v>157</v>
      </c>
      <c r="KX83" s="1">
        <v>76958</v>
      </c>
      <c r="KZ83" s="1">
        <v>327308</v>
      </c>
      <c r="LD83" t="s">
        <v>1387</v>
      </c>
      <c r="LE83" t="s">
        <v>379</v>
      </c>
      <c r="LF83" t="s">
        <v>1385</v>
      </c>
      <c r="LG83" t="s">
        <v>1386</v>
      </c>
      <c r="LH83">
        <v>28112</v>
      </c>
      <c r="LI83">
        <v>4844</v>
      </c>
      <c r="LJ83" t="s">
        <v>1385</v>
      </c>
      <c r="LK83" t="s">
        <v>1386</v>
      </c>
      <c r="LL83">
        <v>28112</v>
      </c>
      <c r="LM83">
        <v>4844</v>
      </c>
      <c r="LN83" t="s">
        <v>1388</v>
      </c>
      <c r="LO83">
        <v>7042838184</v>
      </c>
      <c r="LP83">
        <v>7042820657</v>
      </c>
      <c r="LQ83" s="1">
        <v>66148</v>
      </c>
      <c r="LR83">
        <v>54.03</v>
      </c>
      <c r="LT83" s="1">
        <v>10798</v>
      </c>
      <c r="LU83">
        <v>208</v>
      </c>
      <c r="LX83">
        <v>2</v>
      </c>
      <c r="LY83" t="s">
        <v>1393</v>
      </c>
      <c r="LZ83">
        <v>0</v>
      </c>
      <c r="MA83" t="s">
        <v>363</v>
      </c>
      <c r="MB83">
        <v>8.06</v>
      </c>
      <c r="MC83">
        <v>40.4</v>
      </c>
      <c r="ME83" s="574">
        <v>4.76</v>
      </c>
      <c r="MF83" s="574">
        <v>3.5</v>
      </c>
      <c r="MG83" s="574">
        <v>0.52</v>
      </c>
      <c r="MH83" s="574">
        <v>48.33</v>
      </c>
      <c r="MI83" s="574">
        <v>35.58</v>
      </c>
      <c r="MJ83" s="574">
        <v>5.29</v>
      </c>
      <c r="MK83" s="574">
        <v>7.2</v>
      </c>
      <c r="ML83" s="574">
        <v>5.3</v>
      </c>
      <c r="MM83" s="574">
        <v>0.79</v>
      </c>
      <c r="MN83" s="574">
        <v>27.54</v>
      </c>
      <c r="MO83" s="574">
        <v>20.28</v>
      </c>
      <c r="MP83" s="574">
        <v>3.01</v>
      </c>
      <c r="MQ83" s="574">
        <v>110.79</v>
      </c>
      <c r="MR83" s="574">
        <v>81.569999999999993</v>
      </c>
      <c r="MS83" s="574">
        <v>12.12</v>
      </c>
      <c r="MT83" s="574">
        <v>9.2799999999999994</v>
      </c>
      <c r="MU83" s="574">
        <v>6.83</v>
      </c>
      <c r="MV83" s="574">
        <v>1.02</v>
      </c>
      <c r="MW83" s="1">
        <v>2972</v>
      </c>
      <c r="MX83" s="1">
        <v>32113</v>
      </c>
      <c r="MY83" s="1">
        <v>17840</v>
      </c>
      <c r="MZ83" s="1">
        <v>11372</v>
      </c>
      <c r="NA83" s="1">
        <v>122886</v>
      </c>
      <c r="NB83" s="1">
        <v>68270</v>
      </c>
      <c r="NC83" s="1">
        <v>103235</v>
      </c>
      <c r="ND83" s="1">
        <v>185824</v>
      </c>
      <c r="NE83">
        <v>3.79</v>
      </c>
      <c r="NF83" s="1">
        <v>17196</v>
      </c>
      <c r="NG83">
        <v>8.27</v>
      </c>
      <c r="NH83">
        <v>4.2229999999999999</v>
      </c>
      <c r="NI83">
        <v>2.79</v>
      </c>
      <c r="NJ83">
        <v>0</v>
      </c>
      <c r="NK83">
        <v>0</v>
      </c>
      <c r="NL83">
        <v>0.72989999999999999</v>
      </c>
      <c r="NM83">
        <v>2.1655000000000002</v>
      </c>
      <c r="NN83">
        <v>0.42</v>
      </c>
      <c r="NO83">
        <v>0.18</v>
      </c>
      <c r="NP83">
        <v>0</v>
      </c>
      <c r="NQ83">
        <v>0</v>
      </c>
      <c r="NR83">
        <v>0.35</v>
      </c>
      <c r="NS83">
        <v>0.02</v>
      </c>
      <c r="NT83">
        <v>0.15</v>
      </c>
      <c r="NU83" s="574">
        <v>14.8</v>
      </c>
      <c r="NV83">
        <v>1.1140000000000001</v>
      </c>
      <c r="NW83">
        <v>0</v>
      </c>
      <c r="NX83">
        <v>1E-3</v>
      </c>
      <c r="NY83">
        <v>0.14599999999999999</v>
      </c>
      <c r="NZ83">
        <v>0</v>
      </c>
      <c r="OA83">
        <v>5.4600000000000003E-2</v>
      </c>
      <c r="OB83">
        <v>0.59050000000000002</v>
      </c>
      <c r="OC83">
        <v>2.5030000000000001</v>
      </c>
      <c r="OD83">
        <v>0.82599999999999996</v>
      </c>
      <c r="OE83">
        <v>0.20469999999999999</v>
      </c>
      <c r="OF83">
        <v>351.61399999999998</v>
      </c>
      <c r="OG83">
        <v>1.0049999999999999</v>
      </c>
      <c r="OH83" s="574">
        <v>3.1</v>
      </c>
      <c r="OI83">
        <v>124</v>
      </c>
      <c r="OJ83">
        <v>139</v>
      </c>
      <c r="OK83" s="574">
        <v>20.100000000000001</v>
      </c>
      <c r="OL83" s="574">
        <v>2.2000000000000002</v>
      </c>
      <c r="OM83" s="574">
        <v>1.4</v>
      </c>
      <c r="ON83">
        <v>0.24560000000000001</v>
      </c>
      <c r="OO83">
        <v>2.2700000000000001E-2</v>
      </c>
      <c r="OP83">
        <v>0.49209999999999998</v>
      </c>
      <c r="OQ83" s="574">
        <v>0.88</v>
      </c>
      <c r="OR83" s="574">
        <v>18.7</v>
      </c>
      <c r="OS83" s="574">
        <v>0</v>
      </c>
      <c r="OT83" s="574">
        <v>0.83</v>
      </c>
      <c r="OU83" s="574">
        <v>20.41</v>
      </c>
      <c r="OV83">
        <v>0</v>
      </c>
      <c r="OW83">
        <v>0</v>
      </c>
      <c r="OX83">
        <v>1.51</v>
      </c>
      <c r="OY83" s="1">
        <v>17868</v>
      </c>
      <c r="OZ83">
        <v>56.9</v>
      </c>
      <c r="PA83" s="1">
        <v>11816</v>
      </c>
      <c r="PB83">
        <v>14.87</v>
      </c>
      <c r="PC83">
        <v>86.05</v>
      </c>
      <c r="PD83">
        <v>0.26</v>
      </c>
      <c r="PE83" s="1">
        <v>3088</v>
      </c>
      <c r="PF83">
        <v>0.26</v>
      </c>
      <c r="PG83" s="574">
        <v>0.79</v>
      </c>
      <c r="PH83">
        <v>0.4</v>
      </c>
      <c r="PI83">
        <v>4.91</v>
      </c>
      <c r="PJ83">
        <v>10.15</v>
      </c>
      <c r="PK83" s="574">
        <v>7.2</v>
      </c>
      <c r="PL83">
        <v>51.91</v>
      </c>
      <c r="PM83" s="4">
        <v>60256</v>
      </c>
      <c r="PN83" s="4">
        <v>38788</v>
      </c>
      <c r="PO83">
        <v>5.8200000000000002E-2</v>
      </c>
      <c r="PP83">
        <v>0.33650000000000002</v>
      </c>
      <c r="PQ83">
        <v>8.7900000000000006E-2</v>
      </c>
      <c r="PR83">
        <v>5.4000000000000003E-3</v>
      </c>
      <c r="PS83">
        <v>3.1099999999999999E-2</v>
      </c>
      <c r="PT83">
        <v>8.0999999999999996E-3</v>
      </c>
      <c r="PU83" s="3">
        <v>0.55559999999999998</v>
      </c>
      <c r="PV83" s="3">
        <v>0.1666</v>
      </c>
      <c r="PW83" s="3">
        <v>0.83340000000000003</v>
      </c>
      <c r="PX83" s="3">
        <v>0.35630000000000001</v>
      </c>
      <c r="PY83" s="3">
        <v>0.64370000000000005</v>
      </c>
      <c r="PZ83" s="3">
        <v>0.1094</v>
      </c>
      <c r="QA83" s="3">
        <v>2.9100000000000001E-2</v>
      </c>
      <c r="QB83" s="3">
        <v>0.26229999999999998</v>
      </c>
      <c r="QC83" s="3">
        <v>1.0500000000000001E-2</v>
      </c>
      <c r="QD83" s="3">
        <v>0.15440000000000001</v>
      </c>
      <c r="QE83" s="3">
        <v>6.9800000000000001E-2</v>
      </c>
      <c r="QF83" s="3">
        <v>0.47389999999999999</v>
      </c>
      <c r="QG83" s="3">
        <v>0.73619999999999997</v>
      </c>
      <c r="QH83" s="3">
        <v>0</v>
      </c>
      <c r="QI83" s="3">
        <v>0.91610000000000003</v>
      </c>
      <c r="QJ83" s="3">
        <v>4.0800000000000003E-2</v>
      </c>
      <c r="QK83" s="3">
        <v>4.3099999999999999E-2</v>
      </c>
      <c r="QL83" s="4">
        <v>21469</v>
      </c>
      <c r="QM83">
        <v>6.72</v>
      </c>
      <c r="QN83" s="1">
        <v>24444</v>
      </c>
      <c r="QO83" s="1">
        <v>43998</v>
      </c>
      <c r="QP83" s="1">
        <v>4072</v>
      </c>
      <c r="QQ83" s="3">
        <v>0.63829999999999998</v>
      </c>
      <c r="QR83" s="3">
        <v>0.2656</v>
      </c>
      <c r="QS83" s="3">
        <v>9.6100000000000005E-2</v>
      </c>
      <c r="QT83" s="3">
        <v>9.2499999999999999E-2</v>
      </c>
      <c r="QU83">
        <v>0.44</v>
      </c>
      <c r="QV83">
        <v>0.8</v>
      </c>
      <c r="QW83">
        <v>0.28999999999999998</v>
      </c>
      <c r="QX83">
        <v>7</v>
      </c>
      <c r="QY83">
        <v>3.01</v>
      </c>
      <c r="QZ83">
        <v>20</v>
      </c>
      <c r="RA83">
        <v>1.92</v>
      </c>
      <c r="RB83">
        <v>0.21</v>
      </c>
      <c r="RC83">
        <v>0.21</v>
      </c>
    </row>
    <row r="84" spans="1:471" x14ac:dyDescent="0.25">
      <c r="A84" t="s">
        <v>1394</v>
      </c>
      <c r="B84">
        <v>11702</v>
      </c>
      <c r="H84" t="s">
        <v>1395</v>
      </c>
      <c r="I84" t="s">
        <v>342</v>
      </c>
      <c r="J84" t="s">
        <v>343</v>
      </c>
      <c r="K84" t="s">
        <v>395</v>
      </c>
      <c r="L84" t="s">
        <v>345</v>
      </c>
      <c r="M84" t="s">
        <v>346</v>
      </c>
      <c r="N84" t="s">
        <v>347</v>
      </c>
      <c r="O84" s="1">
        <v>1007631</v>
      </c>
      <c r="P84" t="s">
        <v>472</v>
      </c>
      <c r="Q84" s="1">
        <v>28400</v>
      </c>
      <c r="R84" s="1">
        <v>5876</v>
      </c>
      <c r="S84" s="1">
        <v>1923</v>
      </c>
      <c r="T84">
        <v>67</v>
      </c>
      <c r="U84" s="1">
        <v>84352</v>
      </c>
      <c r="V84" s="1">
        <v>1315</v>
      </c>
      <c r="W84" s="1">
        <v>1607982</v>
      </c>
      <c r="X84" s="1">
        <v>134700</v>
      </c>
      <c r="AC84" t="s">
        <v>1396</v>
      </c>
      <c r="AD84" t="s">
        <v>1397</v>
      </c>
      <c r="AE84">
        <v>27610</v>
      </c>
      <c r="AF84">
        <v>2913</v>
      </c>
      <c r="AG84" t="s">
        <v>1396</v>
      </c>
      <c r="AH84" t="s">
        <v>1397</v>
      </c>
      <c r="AI84">
        <v>27610</v>
      </c>
      <c r="AJ84">
        <v>3</v>
      </c>
      <c r="AK84" t="s">
        <v>1398</v>
      </c>
      <c r="AM84" t="s">
        <v>0</v>
      </c>
      <c r="AN84" t="s">
        <v>1399</v>
      </c>
      <c r="AO84" t="s">
        <v>1400</v>
      </c>
      <c r="AP84">
        <v>9192504532</v>
      </c>
      <c r="AQ84" t="s">
        <v>1401</v>
      </c>
      <c r="AR84" t="s">
        <v>1402</v>
      </c>
      <c r="AS84" t="s">
        <v>1403</v>
      </c>
      <c r="AT84" t="s">
        <v>1404</v>
      </c>
      <c r="AU84" t="s">
        <v>1405</v>
      </c>
      <c r="AV84" t="s">
        <v>1401</v>
      </c>
      <c r="AW84" t="s">
        <v>1406</v>
      </c>
      <c r="AX84" t="s">
        <v>1407</v>
      </c>
      <c r="AY84">
        <v>0</v>
      </c>
      <c r="AZ84">
        <v>0</v>
      </c>
      <c r="BA84">
        <v>0</v>
      </c>
      <c r="BB84" s="573">
        <v>42186</v>
      </c>
      <c r="BC84" s="573">
        <v>42551</v>
      </c>
      <c r="BD84">
        <v>0</v>
      </c>
      <c r="BE84">
        <v>21</v>
      </c>
      <c r="BF84">
        <v>0</v>
      </c>
      <c r="BG84">
        <v>0</v>
      </c>
      <c r="BH84">
        <v>21</v>
      </c>
      <c r="BJ84" s="1">
        <v>60480</v>
      </c>
      <c r="BK84">
        <v>124</v>
      </c>
      <c r="BL84">
        <v>1</v>
      </c>
      <c r="BM84">
        <v>125</v>
      </c>
      <c r="BN84">
        <v>114</v>
      </c>
      <c r="BO84">
        <v>239</v>
      </c>
      <c r="BP84" s="3">
        <v>0.51880000000000004</v>
      </c>
      <c r="BQ84" s="1">
        <v>29429</v>
      </c>
      <c r="BR84" s="4">
        <v>122110</v>
      </c>
      <c r="DW84" s="4">
        <v>0</v>
      </c>
      <c r="DX84" s="4">
        <v>19843646</v>
      </c>
      <c r="DY84" s="4">
        <v>19843646</v>
      </c>
      <c r="DZ84" s="4">
        <v>580320</v>
      </c>
      <c r="EA84" s="4">
        <v>0</v>
      </c>
      <c r="EB84" s="4">
        <v>580320</v>
      </c>
      <c r="EC84" s="4">
        <v>0</v>
      </c>
      <c r="ED84" s="4">
        <v>0</v>
      </c>
      <c r="EE84" s="4">
        <v>0</v>
      </c>
      <c r="EF84" s="4">
        <v>0</v>
      </c>
      <c r="EG84" s="4">
        <v>20423966</v>
      </c>
      <c r="EH84" s="4">
        <v>10563985</v>
      </c>
      <c r="EI84" s="4">
        <v>3383977</v>
      </c>
      <c r="EJ84" s="4">
        <v>13947962</v>
      </c>
      <c r="EK84" s="4">
        <v>2123896</v>
      </c>
      <c r="EL84" s="4">
        <v>200000</v>
      </c>
      <c r="EM84" s="4">
        <v>0</v>
      </c>
      <c r="EN84" s="4">
        <v>2323896</v>
      </c>
      <c r="EO84" s="4">
        <v>3771788</v>
      </c>
      <c r="EP84" s="4">
        <v>20043646</v>
      </c>
      <c r="EQ84" s="4">
        <v>380320</v>
      </c>
      <c r="ER84" s="3">
        <v>1.8599999999999998E-2</v>
      </c>
      <c r="ES84" s="4">
        <v>8987000</v>
      </c>
      <c r="ET84" s="4">
        <v>0</v>
      </c>
      <c r="EU84" s="4">
        <v>0</v>
      </c>
      <c r="EV84" s="4">
        <v>0</v>
      </c>
      <c r="EW84" s="4">
        <v>8987000</v>
      </c>
      <c r="EX84" s="4">
        <v>8987000</v>
      </c>
      <c r="EY84" s="1">
        <v>43938</v>
      </c>
      <c r="EZ84" s="1">
        <v>1446382</v>
      </c>
      <c r="FA84" s="1">
        <v>330305</v>
      </c>
      <c r="FB84" s="1">
        <v>66385</v>
      </c>
      <c r="FC84" s="1">
        <v>478732</v>
      </c>
      <c r="FD84" s="1">
        <v>318537</v>
      </c>
      <c r="FE84" s="1">
        <v>2797</v>
      </c>
      <c r="FF84" s="1">
        <v>125466</v>
      </c>
      <c r="FG84" s="1">
        <v>648842</v>
      </c>
      <c r="FH84" s="1">
        <v>69182</v>
      </c>
      <c r="FI84" s="1">
        <v>604198</v>
      </c>
      <c r="FJ84" s="1">
        <v>1322222</v>
      </c>
      <c r="FK84">
        <v>0</v>
      </c>
      <c r="FL84" s="1">
        <v>1207</v>
      </c>
      <c r="FN84" s="1">
        <v>1322222</v>
      </c>
      <c r="FO84" s="1">
        <v>29856</v>
      </c>
      <c r="FP84">
        <v>0</v>
      </c>
      <c r="FQ84" s="1">
        <v>18136</v>
      </c>
      <c r="FR84">
        <v>7</v>
      </c>
      <c r="FS84">
        <v>74</v>
      </c>
      <c r="FT84">
        <v>81</v>
      </c>
      <c r="FU84" s="1">
        <v>26725</v>
      </c>
      <c r="FV84" s="1">
        <v>2022</v>
      </c>
      <c r="FW84">
        <v>0</v>
      </c>
      <c r="GK84" s="1">
        <v>34073</v>
      </c>
      <c r="GL84" s="1">
        <v>12060</v>
      </c>
      <c r="GM84">
        <v>0</v>
      </c>
      <c r="GN84">
        <v>0</v>
      </c>
      <c r="GO84" s="1">
        <v>60798</v>
      </c>
      <c r="GP84" s="1">
        <v>14082</v>
      </c>
      <c r="GQ84">
        <v>0</v>
      </c>
      <c r="GR84">
        <v>0</v>
      </c>
      <c r="GS84">
        <v>97</v>
      </c>
      <c r="GU84" s="1">
        <v>1800970</v>
      </c>
      <c r="GV84" s="1">
        <v>413791</v>
      </c>
      <c r="GW84" s="1">
        <v>4779330</v>
      </c>
      <c r="GX84" s="1">
        <v>1216194</v>
      </c>
      <c r="GY84" s="1">
        <v>8359</v>
      </c>
      <c r="GZ84" s="1">
        <v>938236</v>
      </c>
      <c r="HA84" s="1">
        <v>3017164</v>
      </c>
      <c r="HB84" s="1">
        <v>422150</v>
      </c>
      <c r="HC84" s="1">
        <v>5717566</v>
      </c>
      <c r="HD84" s="1">
        <v>9156880</v>
      </c>
      <c r="HE84" s="1">
        <v>53920</v>
      </c>
      <c r="HF84" s="1">
        <v>9210800</v>
      </c>
      <c r="HG84" s="1">
        <v>278021</v>
      </c>
      <c r="HH84">
        <v>0</v>
      </c>
      <c r="HI84">
        <v>0</v>
      </c>
      <c r="HJ84">
        <v>0</v>
      </c>
      <c r="HK84" s="1">
        <v>278021</v>
      </c>
      <c r="HL84" s="1">
        <v>9488821</v>
      </c>
      <c r="HM84">
        <v>879</v>
      </c>
      <c r="HN84" s="1">
        <v>589277</v>
      </c>
      <c r="HO84" s="1">
        <v>590156</v>
      </c>
      <c r="HP84">
        <v>461</v>
      </c>
      <c r="HQ84" s="1">
        <v>256253</v>
      </c>
      <c r="HR84" s="1">
        <v>256714</v>
      </c>
      <c r="HS84">
        <v>0</v>
      </c>
      <c r="HT84">
        <v>0</v>
      </c>
      <c r="HU84">
        <v>0</v>
      </c>
      <c r="HV84">
        <v>0</v>
      </c>
      <c r="HW84" s="1">
        <v>846870</v>
      </c>
      <c r="HX84" s="1">
        <v>551642</v>
      </c>
      <c r="HZ84" s="1">
        <v>551642</v>
      </c>
      <c r="IA84" s="1">
        <v>1398512</v>
      </c>
      <c r="IB84" s="1">
        <v>534735</v>
      </c>
      <c r="IC84" s="1">
        <v>534735</v>
      </c>
      <c r="ID84" s="1">
        <v>10335691</v>
      </c>
      <c r="IE84" s="1">
        <v>10335691</v>
      </c>
      <c r="IF84" s="1">
        <v>10887333</v>
      </c>
      <c r="IG84" s="1">
        <v>6243695</v>
      </c>
      <c r="IH84">
        <v>0</v>
      </c>
      <c r="IL84" s="3">
        <v>0</v>
      </c>
      <c r="IM84" s="3">
        <v>8.0000000000000004E-4</v>
      </c>
      <c r="IN84" s="3">
        <v>5.1799999999999999E-2</v>
      </c>
      <c r="IO84" s="3">
        <v>0</v>
      </c>
      <c r="IP84" s="3">
        <v>4.2000000000000003E-2</v>
      </c>
      <c r="IQ84" s="3">
        <v>1E-4</v>
      </c>
      <c r="IR84" s="3">
        <v>0.91420000000000001</v>
      </c>
      <c r="IS84" s="3">
        <v>3.04E-2</v>
      </c>
      <c r="IT84" s="3">
        <v>0.60409999999999997</v>
      </c>
      <c r="IU84" s="1">
        <v>332855</v>
      </c>
      <c r="IV84" s="1">
        <v>76312</v>
      </c>
      <c r="IW84" s="1">
        <v>409167</v>
      </c>
      <c r="IX84" s="3">
        <v>0.40610000000000002</v>
      </c>
      <c r="IY84" s="1">
        <v>3385289</v>
      </c>
      <c r="JA84">
        <v>923</v>
      </c>
      <c r="JB84">
        <v>530</v>
      </c>
      <c r="JC84" s="1">
        <v>7433</v>
      </c>
      <c r="JD84">
        <v>5</v>
      </c>
      <c r="JE84">
        <v>3</v>
      </c>
      <c r="JF84">
        <v>342</v>
      </c>
      <c r="JG84">
        <v>928</v>
      </c>
      <c r="JH84">
        <v>533</v>
      </c>
      <c r="JI84" s="1">
        <v>7775</v>
      </c>
      <c r="JJ84" s="1">
        <v>9236</v>
      </c>
      <c r="JK84" s="1">
        <v>8886</v>
      </c>
      <c r="JL84">
        <v>350</v>
      </c>
      <c r="JM84" s="1">
        <v>18423</v>
      </c>
      <c r="JN84" s="1">
        <v>13528</v>
      </c>
      <c r="JO84" s="1">
        <v>296679</v>
      </c>
      <c r="JP84">
        <v>206</v>
      </c>
      <c r="JQ84">
        <v>950</v>
      </c>
      <c r="JR84" s="1">
        <v>7297</v>
      </c>
      <c r="JS84" s="1">
        <v>18629</v>
      </c>
      <c r="JT84" s="1">
        <v>14478</v>
      </c>
      <c r="JU84" s="1">
        <v>303976</v>
      </c>
      <c r="JV84" s="1">
        <v>337083</v>
      </c>
      <c r="JW84" s="1">
        <v>328630</v>
      </c>
      <c r="JX84" s="1">
        <v>8453</v>
      </c>
      <c r="JY84">
        <v>36.5</v>
      </c>
      <c r="JZ84">
        <v>20.07</v>
      </c>
      <c r="KA84">
        <v>39.1</v>
      </c>
      <c r="KB84">
        <v>0.06</v>
      </c>
      <c r="KC84">
        <v>0.9</v>
      </c>
      <c r="KD84">
        <v>80</v>
      </c>
      <c r="KE84" s="1">
        <v>1074</v>
      </c>
      <c r="KF84">
        <v>17</v>
      </c>
      <c r="KG84">
        <v>311</v>
      </c>
      <c r="KN84" s="1">
        <v>417465</v>
      </c>
      <c r="KO84" s="1">
        <v>110578</v>
      </c>
      <c r="KP84" s="1">
        <v>17770</v>
      </c>
      <c r="KR84" s="1">
        <v>16682</v>
      </c>
      <c r="KS84" s="1">
        <v>69056</v>
      </c>
      <c r="KT84" s="1">
        <v>1191</v>
      </c>
      <c r="KU84" s="1">
        <v>20887</v>
      </c>
      <c r="KV84">
        <v>368</v>
      </c>
      <c r="KW84">
        <v>473</v>
      </c>
      <c r="KX84" s="1">
        <v>628335</v>
      </c>
      <c r="KZ84" s="1">
        <v>4328007</v>
      </c>
      <c r="LQ84" s="1">
        <v>281215</v>
      </c>
      <c r="LR84">
        <v>207</v>
      </c>
      <c r="LT84" s="1">
        <v>60480</v>
      </c>
      <c r="LU84" s="1">
        <v>1027</v>
      </c>
      <c r="LZ84">
        <v>0</v>
      </c>
      <c r="MB84">
        <v>0</v>
      </c>
      <c r="MC84">
        <v>0</v>
      </c>
      <c r="ME84" s="574">
        <v>1.94</v>
      </c>
      <c r="MF84" s="574">
        <v>1.35</v>
      </c>
      <c r="MG84" s="574">
        <v>0.22</v>
      </c>
      <c r="MH84" s="574">
        <v>48.99</v>
      </c>
      <c r="MI84" s="574">
        <v>34.090000000000003</v>
      </c>
      <c r="MJ84" s="574">
        <v>5.68</v>
      </c>
      <c r="MK84" s="574">
        <v>5.92</v>
      </c>
      <c r="ML84" s="574">
        <v>4.12</v>
      </c>
      <c r="MM84" s="574">
        <v>0.69</v>
      </c>
      <c r="MN84" s="574">
        <v>48.01</v>
      </c>
      <c r="MO84" s="574">
        <v>33.409999999999997</v>
      </c>
      <c r="MP84" s="574">
        <v>5.57</v>
      </c>
      <c r="MQ84" s="574">
        <v>59.46</v>
      </c>
      <c r="MR84" s="574">
        <v>41.38</v>
      </c>
      <c r="MS84" s="574">
        <v>6.89</v>
      </c>
      <c r="MT84" s="574">
        <v>3.21</v>
      </c>
      <c r="MU84" s="574">
        <v>2.23</v>
      </c>
      <c r="MV84" s="574">
        <v>0.37</v>
      </c>
      <c r="MW84" s="1">
        <v>1747</v>
      </c>
      <c r="MX84" s="1">
        <v>3367</v>
      </c>
      <c r="MY84" s="1">
        <v>3340</v>
      </c>
      <c r="MZ84" s="1">
        <v>14164</v>
      </c>
      <c r="NA84" s="1">
        <v>27301</v>
      </c>
      <c r="NB84" s="1">
        <v>27082</v>
      </c>
      <c r="NC84" s="1">
        <v>82686</v>
      </c>
      <c r="ND84" s="1">
        <v>83352</v>
      </c>
      <c r="NE84">
        <v>7.15</v>
      </c>
      <c r="NF84" s="1">
        <v>43246</v>
      </c>
      <c r="NG84">
        <v>20.79</v>
      </c>
      <c r="NH84">
        <v>10.257</v>
      </c>
      <c r="NI84">
        <v>3.36</v>
      </c>
      <c r="NJ84">
        <v>2.91</v>
      </c>
      <c r="NK84">
        <v>51.05</v>
      </c>
      <c r="NL84">
        <v>0.4143</v>
      </c>
      <c r="NM84">
        <v>6.1963999999999997</v>
      </c>
      <c r="NN84">
        <v>0.41</v>
      </c>
      <c r="NO84">
        <v>0.33</v>
      </c>
      <c r="NP84">
        <v>0</v>
      </c>
      <c r="NQ84">
        <v>0.02</v>
      </c>
      <c r="NR84">
        <v>0.62</v>
      </c>
      <c r="NS84">
        <v>0.02</v>
      </c>
      <c r="NT84">
        <v>0.3</v>
      </c>
      <c r="NU84" s="574">
        <v>13.84</v>
      </c>
      <c r="NV84">
        <v>1.4350000000000001</v>
      </c>
      <c r="NW84">
        <v>0</v>
      </c>
      <c r="NX84">
        <v>1E-3</v>
      </c>
      <c r="NY84">
        <v>0.06</v>
      </c>
      <c r="NZ84">
        <v>0</v>
      </c>
      <c r="OA84">
        <v>0.30309999999999998</v>
      </c>
      <c r="OB84">
        <v>0.58409999999999995</v>
      </c>
      <c r="OC84">
        <v>2.95</v>
      </c>
      <c r="OD84">
        <v>1.3120000000000001</v>
      </c>
      <c r="OE84">
        <v>0.11310000000000001</v>
      </c>
      <c r="OF84">
        <v>148.59</v>
      </c>
      <c r="OG84">
        <v>0.19800000000000001</v>
      </c>
      <c r="OH84" s="574">
        <v>3.74</v>
      </c>
      <c r="OI84">
        <v>107</v>
      </c>
      <c r="OJ84">
        <v>0</v>
      </c>
      <c r="OK84" s="574">
        <v>19.89</v>
      </c>
      <c r="OL84" s="574">
        <v>2.31</v>
      </c>
      <c r="OM84" s="574">
        <v>2.11</v>
      </c>
      <c r="ON84">
        <v>0.23719999999999999</v>
      </c>
      <c r="OO84">
        <v>0.1231</v>
      </c>
      <c r="OP84">
        <v>0.27860000000000001</v>
      </c>
      <c r="OQ84" s="574">
        <v>0.57999999999999996</v>
      </c>
      <c r="OR84" s="574">
        <v>19.690000000000001</v>
      </c>
      <c r="OS84" s="574">
        <v>0</v>
      </c>
      <c r="OT84" s="574">
        <v>0</v>
      </c>
      <c r="OU84" s="574">
        <v>20.27</v>
      </c>
      <c r="OV84">
        <v>23</v>
      </c>
      <c r="OW84">
        <v>402</v>
      </c>
      <c r="OX84">
        <v>3.05</v>
      </c>
      <c r="OY84" s="1">
        <v>198763</v>
      </c>
      <c r="OZ84">
        <v>55.97</v>
      </c>
      <c r="PA84" s="1">
        <v>65102</v>
      </c>
      <c r="PB84">
        <v>6.9</v>
      </c>
      <c r="PC84">
        <v>170.89</v>
      </c>
      <c r="PD84">
        <v>0.12</v>
      </c>
      <c r="PE84" s="1">
        <v>8028</v>
      </c>
      <c r="PF84">
        <v>0.14000000000000001</v>
      </c>
      <c r="PG84" s="574">
        <v>0.69</v>
      </c>
      <c r="PH84">
        <v>0.43</v>
      </c>
      <c r="PI84">
        <v>6</v>
      </c>
      <c r="PJ84">
        <v>25.26</v>
      </c>
      <c r="PK84" s="574">
        <v>5.92</v>
      </c>
      <c r="PL84">
        <v>55.38</v>
      </c>
      <c r="PM84" s="4">
        <v>58360</v>
      </c>
      <c r="PN84" s="4">
        <v>44201</v>
      </c>
      <c r="PO84">
        <v>2.3099999999999999E-2</v>
      </c>
      <c r="PP84">
        <v>0.57250000000000001</v>
      </c>
      <c r="PQ84">
        <v>7.0599999999999996E-2</v>
      </c>
      <c r="PR84">
        <v>1.2E-2</v>
      </c>
      <c r="PS84">
        <v>0.29699999999999999</v>
      </c>
      <c r="PT84">
        <v>3.6600000000000001E-2</v>
      </c>
      <c r="PU84" s="3">
        <v>0.99199999999999999</v>
      </c>
      <c r="PV84" s="3">
        <v>0.52300000000000002</v>
      </c>
      <c r="PW84" s="3">
        <v>0.47699999999999998</v>
      </c>
      <c r="PX84" s="3">
        <v>0.24260000000000001</v>
      </c>
      <c r="PY84" s="3">
        <v>0.75739999999999996</v>
      </c>
      <c r="PZ84" s="3">
        <v>0.1159</v>
      </c>
      <c r="QA84" s="3">
        <v>0.01</v>
      </c>
      <c r="QB84" s="3">
        <v>0.16880000000000001</v>
      </c>
      <c r="QC84" s="3">
        <v>0</v>
      </c>
      <c r="QD84" s="3">
        <v>0.18820000000000001</v>
      </c>
      <c r="QE84" s="3">
        <v>0.106</v>
      </c>
      <c r="QF84" s="3">
        <v>0.52700000000000002</v>
      </c>
      <c r="QG84" s="3">
        <v>0.69589999999999996</v>
      </c>
      <c r="QH84" s="3">
        <v>0</v>
      </c>
      <c r="QI84" s="3">
        <v>0.97160000000000002</v>
      </c>
      <c r="QJ84" s="3">
        <v>0</v>
      </c>
      <c r="QK84" s="3">
        <v>2.8400000000000002E-2</v>
      </c>
      <c r="QL84" s="4">
        <v>14159</v>
      </c>
      <c r="QM84">
        <v>8.27</v>
      </c>
      <c r="QN84" s="1">
        <v>8061</v>
      </c>
      <c r="QO84" s="1">
        <v>8126</v>
      </c>
      <c r="QP84" s="1">
        <v>4216</v>
      </c>
      <c r="QQ84" s="3">
        <v>0.91390000000000005</v>
      </c>
      <c r="QR84" s="3">
        <v>8.6099999999999996E-2</v>
      </c>
      <c r="QS84" s="3">
        <v>0</v>
      </c>
      <c r="QT84" s="3">
        <v>0.51880000000000004</v>
      </c>
      <c r="QU84">
        <v>0.98</v>
      </c>
      <c r="QV84">
        <v>3.05</v>
      </c>
      <c r="QW84">
        <v>0.74</v>
      </c>
      <c r="QX84">
        <v>52</v>
      </c>
      <c r="QY84">
        <v>4.87</v>
      </c>
      <c r="QZ84">
        <v>0</v>
      </c>
      <c r="RA84">
        <v>4.45</v>
      </c>
      <c r="RB84">
        <v>0.52</v>
      </c>
      <c r="RC84">
        <v>0.51</v>
      </c>
    </row>
    <row r="85" spans="1:471" x14ac:dyDescent="0.25">
      <c r="A85" t="s">
        <v>1408</v>
      </c>
      <c r="B85">
        <v>11713</v>
      </c>
      <c r="H85" t="s">
        <v>1409</v>
      </c>
      <c r="I85" t="s">
        <v>342</v>
      </c>
      <c r="J85" t="s">
        <v>343</v>
      </c>
      <c r="K85" t="s">
        <v>533</v>
      </c>
      <c r="L85" t="s">
        <v>345</v>
      </c>
      <c r="M85" t="s">
        <v>346</v>
      </c>
      <c r="N85" t="s">
        <v>347</v>
      </c>
      <c r="O85" s="1">
        <v>20473</v>
      </c>
      <c r="P85" t="s">
        <v>348</v>
      </c>
      <c r="Q85">
        <v>250</v>
      </c>
      <c r="R85">
        <v>70</v>
      </c>
      <c r="S85">
        <v>35</v>
      </c>
      <c r="T85">
        <v>10</v>
      </c>
      <c r="U85" s="1">
        <v>1275</v>
      </c>
      <c r="V85">
        <v>350</v>
      </c>
      <c r="W85">
        <v>-1</v>
      </c>
      <c r="X85">
        <v>628</v>
      </c>
      <c r="AC85" t="s">
        <v>1410</v>
      </c>
      <c r="AD85" t="s">
        <v>1411</v>
      </c>
      <c r="AE85">
        <v>27589</v>
      </c>
      <c r="AG85" t="s">
        <v>1410</v>
      </c>
      <c r="AH85" t="s">
        <v>1411</v>
      </c>
      <c r="AI85">
        <v>27589</v>
      </c>
      <c r="AJ85">
        <v>1</v>
      </c>
      <c r="AK85" t="s">
        <v>1412</v>
      </c>
      <c r="AM85" t="s">
        <v>0</v>
      </c>
      <c r="AN85" t="s">
        <v>1413</v>
      </c>
      <c r="AO85" t="s">
        <v>1414</v>
      </c>
      <c r="AP85">
        <v>2522574990</v>
      </c>
      <c r="AQ85" t="s">
        <v>1416</v>
      </c>
      <c r="AR85" t="s">
        <v>1417</v>
      </c>
      <c r="AS85" t="s">
        <v>1414</v>
      </c>
      <c r="AT85" t="s">
        <v>376</v>
      </c>
      <c r="AU85" t="s">
        <v>1415</v>
      </c>
      <c r="AV85" t="s">
        <v>1416</v>
      </c>
      <c r="AW85" t="s">
        <v>1417</v>
      </c>
      <c r="AX85" t="s">
        <v>1418</v>
      </c>
      <c r="AY85">
        <v>0</v>
      </c>
      <c r="AZ85">
        <v>0</v>
      </c>
      <c r="BA85">
        <v>0</v>
      </c>
      <c r="BB85" s="573">
        <v>42186</v>
      </c>
      <c r="BC85" s="573">
        <v>42551</v>
      </c>
      <c r="BD85">
        <v>1</v>
      </c>
      <c r="BE85">
        <v>0</v>
      </c>
      <c r="BF85">
        <v>0</v>
      </c>
      <c r="BG85">
        <v>1</v>
      </c>
      <c r="BH85">
        <v>2</v>
      </c>
      <c r="BJ85" s="1">
        <v>2704</v>
      </c>
      <c r="BK85">
        <v>1</v>
      </c>
      <c r="BL85">
        <v>0</v>
      </c>
      <c r="BM85">
        <v>1</v>
      </c>
      <c r="BN85">
        <v>7</v>
      </c>
      <c r="BO85">
        <v>8</v>
      </c>
      <c r="BP85" s="3">
        <v>0.125</v>
      </c>
      <c r="BQ85">
        <v>603</v>
      </c>
      <c r="BR85" s="4">
        <v>63056</v>
      </c>
      <c r="DW85" s="4">
        <v>0</v>
      </c>
      <c r="DX85" s="4">
        <v>396875</v>
      </c>
      <c r="DY85" s="4">
        <v>396875</v>
      </c>
      <c r="DZ85" s="4">
        <v>82326</v>
      </c>
      <c r="EA85" s="4">
        <v>9500</v>
      </c>
      <c r="EB85" s="4">
        <v>91826</v>
      </c>
      <c r="EC85" s="4">
        <v>0</v>
      </c>
      <c r="ED85" s="4">
        <v>0</v>
      </c>
      <c r="EE85" s="4">
        <v>0</v>
      </c>
      <c r="EF85" s="4">
        <v>15200</v>
      </c>
      <c r="EG85" s="4">
        <v>503901</v>
      </c>
      <c r="EH85" s="4">
        <v>267868</v>
      </c>
      <c r="EI85" s="4">
        <v>98799</v>
      </c>
      <c r="EJ85" s="4">
        <v>366667</v>
      </c>
      <c r="EK85" s="4">
        <v>17522</v>
      </c>
      <c r="EL85" s="4">
        <v>0</v>
      </c>
      <c r="EM85" s="4">
        <v>2185</v>
      </c>
      <c r="EN85" s="4">
        <v>19707</v>
      </c>
      <c r="EO85" s="4">
        <v>102327</v>
      </c>
      <c r="EP85" s="4">
        <v>488701</v>
      </c>
      <c r="EQ85" s="4">
        <v>15200</v>
      </c>
      <c r="ER85" s="3">
        <v>3.0200000000000001E-2</v>
      </c>
      <c r="ES85" s="4">
        <v>0</v>
      </c>
      <c r="ET85" s="4">
        <v>0</v>
      </c>
      <c r="EU85" s="4">
        <v>0</v>
      </c>
      <c r="EV85" s="4">
        <v>0</v>
      </c>
      <c r="EW85" s="4">
        <v>0</v>
      </c>
      <c r="EX85" s="4">
        <v>0</v>
      </c>
      <c r="EY85" s="1">
        <v>6304</v>
      </c>
      <c r="EZ85" s="1">
        <v>55886</v>
      </c>
      <c r="FA85" s="1">
        <v>10677</v>
      </c>
      <c r="FC85">
        <v>-1</v>
      </c>
      <c r="FD85" s="1">
        <v>11791</v>
      </c>
      <c r="FF85">
        <v>-1</v>
      </c>
      <c r="FG85" s="1">
        <v>22468</v>
      </c>
      <c r="FI85">
        <v>-2</v>
      </c>
      <c r="FJ85" s="1">
        <v>22466</v>
      </c>
      <c r="FK85">
        <v>0</v>
      </c>
      <c r="FL85">
        <v>132</v>
      </c>
      <c r="FN85" s="1">
        <v>22466</v>
      </c>
      <c r="FO85" s="1">
        <v>1360</v>
      </c>
      <c r="FP85" s="1">
        <v>2922</v>
      </c>
      <c r="FQ85">
        <v>185</v>
      </c>
      <c r="FR85">
        <v>0</v>
      </c>
      <c r="FS85">
        <v>74</v>
      </c>
      <c r="FT85">
        <v>74</v>
      </c>
      <c r="FU85" s="1">
        <v>26725</v>
      </c>
      <c r="FV85" s="1">
        <v>2022</v>
      </c>
      <c r="FW85">
        <v>0</v>
      </c>
      <c r="GK85">
        <v>0</v>
      </c>
      <c r="GL85">
        <v>0</v>
      </c>
      <c r="GM85">
        <v>0</v>
      </c>
      <c r="GN85">
        <v>0</v>
      </c>
      <c r="GO85" s="1">
        <v>26725</v>
      </c>
      <c r="GP85" s="1">
        <v>2022</v>
      </c>
      <c r="GQ85">
        <v>0</v>
      </c>
      <c r="GR85">
        <v>0</v>
      </c>
      <c r="GS85">
        <v>49</v>
      </c>
      <c r="GU85" s="1">
        <v>12878</v>
      </c>
      <c r="GW85" s="1">
        <v>10776</v>
      </c>
      <c r="GX85" s="1">
        <v>5486</v>
      </c>
      <c r="GZ85" s="1">
        <v>2279</v>
      </c>
      <c r="HA85" s="1">
        <v>18364</v>
      </c>
      <c r="HC85" s="1">
        <v>13055</v>
      </c>
      <c r="HD85" s="1">
        <v>31419</v>
      </c>
      <c r="HE85" s="1">
        <v>3646</v>
      </c>
      <c r="HF85" s="1">
        <v>35065</v>
      </c>
      <c r="HG85" s="1">
        <v>1780</v>
      </c>
      <c r="HH85" s="1">
        <v>8328</v>
      </c>
      <c r="HI85">
        <v>0</v>
      </c>
      <c r="HJ85" s="1">
        <v>1629</v>
      </c>
      <c r="HK85" s="1">
        <v>11737</v>
      </c>
      <c r="HL85" s="1">
        <v>46802</v>
      </c>
      <c r="HM85">
        <v>73</v>
      </c>
      <c r="HN85">
        <v>0</v>
      </c>
      <c r="HO85">
        <v>73</v>
      </c>
      <c r="HP85">
        <v>143</v>
      </c>
      <c r="HQ85">
        <v>0</v>
      </c>
      <c r="HR85">
        <v>143</v>
      </c>
      <c r="HS85">
        <v>0</v>
      </c>
      <c r="HT85">
        <v>0</v>
      </c>
      <c r="HU85">
        <v>0</v>
      </c>
      <c r="HV85">
        <v>0</v>
      </c>
      <c r="HW85">
        <v>216</v>
      </c>
      <c r="HX85">
        <v>625</v>
      </c>
      <c r="HY85">
        <v>0</v>
      </c>
      <c r="HZ85">
        <v>625</v>
      </c>
      <c r="IA85">
        <v>841</v>
      </c>
      <c r="IB85" s="1">
        <v>1923</v>
      </c>
      <c r="IC85" s="1">
        <v>10251</v>
      </c>
      <c r="ID85" s="1">
        <v>47018</v>
      </c>
      <c r="IE85" s="1">
        <v>47018</v>
      </c>
      <c r="IF85" s="1">
        <v>47643</v>
      </c>
      <c r="IG85" s="1">
        <v>13055</v>
      </c>
      <c r="IH85">
        <v>221</v>
      </c>
      <c r="IK85">
        <v>1</v>
      </c>
      <c r="IL85" s="3">
        <v>5.2299999999999999E-2</v>
      </c>
      <c r="IM85" s="3">
        <v>2.3999999999999998E-3</v>
      </c>
      <c r="IN85" s="3">
        <v>0.51439999999999997</v>
      </c>
      <c r="IO85" s="3">
        <v>0</v>
      </c>
      <c r="IP85" s="3">
        <v>0.47820000000000001</v>
      </c>
      <c r="IQ85" s="3">
        <v>1.2999999999999999E-3</v>
      </c>
      <c r="IR85" s="3">
        <v>0.40200000000000002</v>
      </c>
      <c r="IS85" s="3">
        <v>6.0499999999999998E-2</v>
      </c>
      <c r="IT85" s="3">
        <v>0.2777</v>
      </c>
      <c r="IU85" s="1">
        <v>7618</v>
      </c>
      <c r="IV85" s="1">
        <v>2656</v>
      </c>
      <c r="IW85" s="1">
        <v>10274</v>
      </c>
      <c r="IX85" s="3">
        <v>0.50180000000000002</v>
      </c>
      <c r="IY85" s="1">
        <v>60286</v>
      </c>
      <c r="JA85">
        <v>96</v>
      </c>
      <c r="JB85">
        <v>14</v>
      </c>
      <c r="JC85">
        <v>91</v>
      </c>
      <c r="JD85">
        <v>9</v>
      </c>
      <c r="JE85">
        <v>5</v>
      </c>
      <c r="JF85">
        <v>10</v>
      </c>
      <c r="JG85">
        <v>105</v>
      </c>
      <c r="JH85">
        <v>19</v>
      </c>
      <c r="JI85">
        <v>101</v>
      </c>
      <c r="JJ85">
        <v>225</v>
      </c>
      <c r="JK85">
        <v>201</v>
      </c>
      <c r="JL85">
        <v>24</v>
      </c>
      <c r="JM85">
        <v>821</v>
      </c>
      <c r="JN85">
        <v>193</v>
      </c>
      <c r="JO85" s="1">
        <v>1802</v>
      </c>
      <c r="JP85">
        <v>471</v>
      </c>
      <c r="JQ85">
        <v>174</v>
      </c>
      <c r="JR85">
        <v>347</v>
      </c>
      <c r="JS85" s="1">
        <v>1292</v>
      </c>
      <c r="JT85">
        <v>367</v>
      </c>
      <c r="JU85" s="1">
        <v>2149</v>
      </c>
      <c r="JV85" s="1">
        <v>3808</v>
      </c>
      <c r="JW85" s="1">
        <v>2816</v>
      </c>
      <c r="JX85">
        <v>992</v>
      </c>
      <c r="JY85">
        <v>16.920000000000002</v>
      </c>
      <c r="JZ85">
        <v>12.3</v>
      </c>
      <c r="KA85">
        <v>21.28</v>
      </c>
      <c r="KB85">
        <v>0.34</v>
      </c>
      <c r="KC85">
        <v>0.56000000000000005</v>
      </c>
      <c r="KD85">
        <v>20</v>
      </c>
      <c r="KE85">
        <v>110</v>
      </c>
      <c r="KF85">
        <v>24</v>
      </c>
      <c r="KG85">
        <v>135</v>
      </c>
      <c r="KN85" s="1">
        <v>15643</v>
      </c>
      <c r="KO85" s="1">
        <v>8372</v>
      </c>
      <c r="KP85" s="1">
        <v>2015</v>
      </c>
      <c r="KR85">
        <v>261</v>
      </c>
      <c r="KS85" s="1">
        <v>2475</v>
      </c>
      <c r="KT85">
        <v>61</v>
      </c>
      <c r="KU85">
        <v>168</v>
      </c>
      <c r="KV85">
        <v>19</v>
      </c>
      <c r="KW85">
        <v>27</v>
      </c>
      <c r="KX85" s="1">
        <v>21123</v>
      </c>
      <c r="LD85" t="s">
        <v>1412</v>
      </c>
      <c r="LE85" t="s">
        <v>379</v>
      </c>
      <c r="LF85" t="s">
        <v>1410</v>
      </c>
      <c r="LG85" t="s">
        <v>1411</v>
      </c>
      <c r="LH85">
        <v>27589</v>
      </c>
      <c r="LI85">
        <v>1929</v>
      </c>
      <c r="LJ85" t="s">
        <v>1410</v>
      </c>
      <c r="LK85" t="s">
        <v>1411</v>
      </c>
      <c r="LL85">
        <v>27589</v>
      </c>
      <c r="LM85">
        <v>1929</v>
      </c>
      <c r="LN85" t="s">
        <v>1413</v>
      </c>
      <c r="LO85">
        <v>2522574990</v>
      </c>
      <c r="LP85">
        <v>2522574089</v>
      </c>
      <c r="LQ85" s="1">
        <v>13770</v>
      </c>
      <c r="LR85">
        <v>8</v>
      </c>
      <c r="LT85" s="1">
        <v>2704</v>
      </c>
      <c r="LU85">
        <v>52</v>
      </c>
      <c r="LX85">
        <v>2</v>
      </c>
      <c r="LY85" t="s">
        <v>1419</v>
      </c>
      <c r="LZ85">
        <v>0</v>
      </c>
      <c r="MA85" t="s">
        <v>363</v>
      </c>
      <c r="MB85">
        <v>4.9000000000000004</v>
      </c>
      <c r="MC85">
        <v>9.9</v>
      </c>
      <c r="ME85" s="574">
        <v>10.39</v>
      </c>
      <c r="MF85" s="574">
        <v>7.8</v>
      </c>
      <c r="MG85" s="574">
        <v>0.42</v>
      </c>
      <c r="MH85" s="574">
        <v>47.57</v>
      </c>
      <c r="MI85" s="574">
        <v>35.69</v>
      </c>
      <c r="MJ85" s="574">
        <v>1.92</v>
      </c>
      <c r="MK85" s="574">
        <v>8.11</v>
      </c>
      <c r="ML85" s="574">
        <v>6.08</v>
      </c>
      <c r="MM85" s="574">
        <v>0.33</v>
      </c>
      <c r="MN85" s="574">
        <v>31.24</v>
      </c>
      <c r="MO85" s="574">
        <v>23.44</v>
      </c>
      <c r="MP85" s="574">
        <v>1.26</v>
      </c>
      <c r="MQ85" s="574">
        <v>128.34</v>
      </c>
      <c r="MR85" s="574">
        <v>96.29</v>
      </c>
      <c r="MS85" s="574">
        <v>5.18</v>
      </c>
      <c r="MT85" s="574">
        <v>37.43</v>
      </c>
      <c r="MU85" s="574">
        <v>28.09</v>
      </c>
      <c r="MV85" s="574">
        <v>1.51</v>
      </c>
      <c r="MW85" s="1">
        <v>1955</v>
      </c>
      <c r="MX85" s="1">
        <v>15643</v>
      </c>
      <c r="MY85" s="1">
        <v>15643</v>
      </c>
      <c r="MZ85" s="1">
        <v>7536</v>
      </c>
      <c r="NA85" s="1">
        <v>60286</v>
      </c>
      <c r="NB85" s="1">
        <v>60286</v>
      </c>
      <c r="NC85" s="1">
        <v>47018</v>
      </c>
      <c r="ND85" s="1">
        <v>47018</v>
      </c>
      <c r="NE85">
        <v>0.84</v>
      </c>
      <c r="NF85" s="1">
        <v>5877</v>
      </c>
      <c r="NG85">
        <v>2.83</v>
      </c>
      <c r="NH85">
        <v>2.2970000000000002</v>
      </c>
      <c r="NI85">
        <v>2.94</v>
      </c>
      <c r="NJ85">
        <v>5.94</v>
      </c>
      <c r="NK85">
        <v>16.350000000000001</v>
      </c>
      <c r="NL85">
        <v>0.7641</v>
      </c>
      <c r="NM85">
        <v>0.63770000000000004</v>
      </c>
      <c r="NN85">
        <v>0.5</v>
      </c>
      <c r="NO85">
        <v>0.19</v>
      </c>
      <c r="NP85">
        <v>0</v>
      </c>
      <c r="NQ85">
        <v>0.01</v>
      </c>
      <c r="NR85">
        <v>1.03</v>
      </c>
      <c r="NS85">
        <v>0.06</v>
      </c>
      <c r="NT85">
        <v>0.1</v>
      </c>
      <c r="NU85" s="574">
        <v>17.91</v>
      </c>
      <c r="NV85">
        <v>2.73</v>
      </c>
      <c r="NW85">
        <v>0</v>
      </c>
      <c r="NX85">
        <v>6.0000000000000001E-3</v>
      </c>
      <c r="NY85">
        <v>1.3049999999999999</v>
      </c>
      <c r="NZ85">
        <v>4.0000000000000001E-3</v>
      </c>
      <c r="OA85">
        <v>9.7299999999999998E-2</v>
      </c>
      <c r="OB85">
        <v>0.77869999999999995</v>
      </c>
      <c r="OC85">
        <v>12.848000000000001</v>
      </c>
      <c r="OD85">
        <v>1.097</v>
      </c>
      <c r="OE85">
        <v>0.34189999999999998</v>
      </c>
      <c r="OF85" s="2">
        <v>2601.2260000000001</v>
      </c>
      <c r="OG85">
        <v>7.2030000000000003</v>
      </c>
      <c r="OH85" s="574">
        <v>5</v>
      </c>
      <c r="OI85">
        <v>329</v>
      </c>
      <c r="OJ85">
        <v>284</v>
      </c>
      <c r="OK85" s="574">
        <v>23.87</v>
      </c>
      <c r="OL85" s="574">
        <v>0.96</v>
      </c>
      <c r="OM85" s="574">
        <v>0.86</v>
      </c>
      <c r="ON85">
        <v>0.39079999999999998</v>
      </c>
      <c r="OO85">
        <v>4.8800000000000003E-2</v>
      </c>
      <c r="OP85">
        <v>0.68130000000000002</v>
      </c>
      <c r="OQ85" s="574">
        <v>4.49</v>
      </c>
      <c r="OR85" s="574">
        <v>19.39</v>
      </c>
      <c r="OS85" s="574">
        <v>0</v>
      </c>
      <c r="OT85" s="574">
        <v>0.74</v>
      </c>
      <c r="OU85" s="574">
        <v>24.61</v>
      </c>
      <c r="OV85">
        <v>1</v>
      </c>
      <c r="OW85">
        <v>3</v>
      </c>
      <c r="OX85">
        <v>0.78</v>
      </c>
      <c r="OY85">
        <v>904</v>
      </c>
      <c r="OZ85">
        <v>22.3</v>
      </c>
      <c r="PA85" s="1">
        <v>1159</v>
      </c>
      <c r="PB85">
        <v>5.79</v>
      </c>
      <c r="PC85">
        <v>17.39</v>
      </c>
      <c r="PD85">
        <v>0.26</v>
      </c>
      <c r="PE85">
        <v>301</v>
      </c>
      <c r="PF85">
        <v>1.19</v>
      </c>
      <c r="PG85" s="574">
        <v>0.33</v>
      </c>
      <c r="PH85">
        <v>0.93</v>
      </c>
      <c r="PI85">
        <v>13.21</v>
      </c>
      <c r="PJ85">
        <v>4.58</v>
      </c>
      <c r="PK85" s="574">
        <v>8.11</v>
      </c>
      <c r="PL85">
        <v>26</v>
      </c>
      <c r="PM85" s="4">
        <v>45833</v>
      </c>
      <c r="PN85" s="4">
        <v>33484</v>
      </c>
      <c r="PO85">
        <v>0.17019999999999999</v>
      </c>
      <c r="PP85">
        <v>0.51139999999999997</v>
      </c>
      <c r="PQ85">
        <v>0.13270000000000001</v>
      </c>
      <c r="PR85">
        <v>2.1299999999999999E-2</v>
      </c>
      <c r="PS85">
        <v>6.3899999999999998E-2</v>
      </c>
      <c r="PT85">
        <v>1.66E-2</v>
      </c>
      <c r="PU85" s="3">
        <v>1</v>
      </c>
      <c r="PV85" s="3">
        <v>0.125</v>
      </c>
      <c r="PW85" s="3">
        <v>0.875</v>
      </c>
      <c r="PX85" s="3">
        <v>0.26950000000000002</v>
      </c>
      <c r="PY85" s="3">
        <v>0.73050000000000004</v>
      </c>
      <c r="PZ85" s="3">
        <v>4.0300000000000002E-2</v>
      </c>
      <c r="QA85" s="3">
        <v>0</v>
      </c>
      <c r="QB85" s="3">
        <v>0.20219999999999999</v>
      </c>
      <c r="QC85" s="3">
        <v>4.4999999999999997E-3</v>
      </c>
      <c r="QD85" s="3">
        <v>0.2094</v>
      </c>
      <c r="QE85" s="3">
        <v>3.5900000000000001E-2</v>
      </c>
      <c r="QF85" s="3">
        <v>0.54810000000000003</v>
      </c>
      <c r="QG85" s="3">
        <v>0.75029999999999997</v>
      </c>
      <c r="QH85" s="3">
        <v>0</v>
      </c>
      <c r="QI85" s="3">
        <v>0.78759999999999997</v>
      </c>
      <c r="QJ85" s="3">
        <v>3.0200000000000001E-2</v>
      </c>
      <c r="QK85" s="3">
        <v>0.1822</v>
      </c>
      <c r="QL85" s="4">
        <v>12350</v>
      </c>
      <c r="QM85">
        <v>5.87</v>
      </c>
      <c r="QN85" s="1">
        <v>20473</v>
      </c>
      <c r="QO85" s="1">
        <v>20473</v>
      </c>
      <c r="QP85" s="1">
        <v>2559</v>
      </c>
      <c r="QQ85" s="3">
        <v>0.8891</v>
      </c>
      <c r="QR85" s="3">
        <v>0</v>
      </c>
      <c r="QS85" s="3">
        <v>0.1109</v>
      </c>
      <c r="QT85" s="3">
        <v>0.125</v>
      </c>
      <c r="QU85">
        <v>0.18</v>
      </c>
      <c r="QV85">
        <v>0.48</v>
      </c>
      <c r="QW85">
        <v>0.13</v>
      </c>
      <c r="QX85">
        <v>0</v>
      </c>
      <c r="QY85">
        <v>2.68</v>
      </c>
      <c r="QZ85">
        <v>22</v>
      </c>
      <c r="RA85">
        <v>2.39</v>
      </c>
      <c r="RB85">
        <v>0.1</v>
      </c>
      <c r="RC85">
        <v>0.09</v>
      </c>
    </row>
    <row r="86" spans="1:471" s="5" customFormat="1" x14ac:dyDescent="0.25">
      <c r="A86" t="s">
        <v>1420</v>
      </c>
      <c r="B86">
        <v>11703</v>
      </c>
      <c r="C86" s="5">
        <v>1375</v>
      </c>
      <c r="D86" s="5">
        <v>2017</v>
      </c>
      <c r="E86" s="5">
        <v>0</v>
      </c>
      <c r="H86" t="s">
        <v>1421</v>
      </c>
      <c r="I86" t="s">
        <v>342</v>
      </c>
      <c r="J86" t="s">
        <v>343</v>
      </c>
      <c r="K86" t="s">
        <v>344</v>
      </c>
      <c r="L86" t="s">
        <v>345</v>
      </c>
      <c r="M86" t="s">
        <v>346</v>
      </c>
      <c r="N86" t="s">
        <v>347</v>
      </c>
      <c r="O86" s="1">
        <v>124984</v>
      </c>
      <c r="P86" t="s">
        <v>348</v>
      </c>
      <c r="Q86">
        <v>868</v>
      </c>
      <c r="R86">
        <v>45</v>
      </c>
      <c r="S86">
        <v>72</v>
      </c>
      <c r="T86">
        <v>13</v>
      </c>
      <c r="U86" s="1">
        <v>3190</v>
      </c>
      <c r="V86">
        <v>138</v>
      </c>
      <c r="W86" s="1">
        <v>29725</v>
      </c>
      <c r="X86" s="1">
        <v>3602</v>
      </c>
      <c r="Y86" s="1">
        <v>169890</v>
      </c>
      <c r="Z86" s="1">
        <v>7141</v>
      </c>
      <c r="AA86"/>
      <c r="AB86"/>
      <c r="AC86" t="s">
        <v>1422</v>
      </c>
      <c r="AD86" t="s">
        <v>1423</v>
      </c>
      <c r="AE86">
        <v>27530</v>
      </c>
      <c r="AF86">
        <v>3807</v>
      </c>
      <c r="AG86" t="s">
        <v>1422</v>
      </c>
      <c r="AH86" t="s">
        <v>1423</v>
      </c>
      <c r="AI86">
        <v>27530</v>
      </c>
      <c r="AJ86">
        <v>2</v>
      </c>
      <c r="AK86" t="s">
        <v>1424</v>
      </c>
      <c r="AL86"/>
      <c r="AM86" t="s">
        <v>1948</v>
      </c>
      <c r="AN86" t="s">
        <v>1425</v>
      </c>
      <c r="AO86" t="s">
        <v>1426</v>
      </c>
      <c r="AP86">
        <v>9197351880</v>
      </c>
      <c r="AQ86" t="s">
        <v>1427</v>
      </c>
      <c r="AR86" t="s">
        <v>1428</v>
      </c>
      <c r="AS86" t="s">
        <v>1949</v>
      </c>
      <c r="AT86" t="s">
        <v>1950</v>
      </c>
      <c r="AU86" t="s">
        <v>1951</v>
      </c>
      <c r="AV86" t="s">
        <v>1427</v>
      </c>
      <c r="AW86" t="s">
        <v>1952</v>
      </c>
      <c r="AX86" t="s">
        <v>1429</v>
      </c>
      <c r="AY86">
        <v>0</v>
      </c>
      <c r="AZ86">
        <v>0</v>
      </c>
      <c r="BA86">
        <v>0</v>
      </c>
      <c r="BB86" s="573">
        <v>42186</v>
      </c>
      <c r="BC86" s="573">
        <v>42551</v>
      </c>
      <c r="BD86">
        <v>1</v>
      </c>
      <c r="BE86">
        <v>3</v>
      </c>
      <c r="BF86">
        <v>0</v>
      </c>
      <c r="BG86">
        <v>1</v>
      </c>
      <c r="BH86">
        <v>5</v>
      </c>
      <c r="BI86"/>
      <c r="BJ86" s="1">
        <v>8122</v>
      </c>
      <c r="BK86">
        <v>9</v>
      </c>
      <c r="BL86">
        <v>3.15</v>
      </c>
      <c r="BM86">
        <v>12.15</v>
      </c>
      <c r="BN86">
        <v>23.76</v>
      </c>
      <c r="BO86">
        <v>35.909999999999997</v>
      </c>
      <c r="BP86" s="3">
        <v>0.25059999999999999</v>
      </c>
      <c r="BQ86" s="1">
        <v>1285</v>
      </c>
      <c r="BR86" s="4">
        <v>81706</v>
      </c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 s="4">
        <v>0</v>
      </c>
      <c r="DX86" s="4">
        <v>1658233</v>
      </c>
      <c r="DY86" s="4">
        <v>1658233</v>
      </c>
      <c r="DZ86" s="4">
        <v>165002</v>
      </c>
      <c r="EA86" s="4">
        <v>34118</v>
      </c>
      <c r="EB86" s="4">
        <v>199120</v>
      </c>
      <c r="EC86" s="4">
        <v>12027</v>
      </c>
      <c r="ED86" s="4">
        <v>3000</v>
      </c>
      <c r="EE86" s="4">
        <v>15027</v>
      </c>
      <c r="EF86" s="4">
        <v>0</v>
      </c>
      <c r="EG86" s="4">
        <v>1872380</v>
      </c>
      <c r="EH86" s="4">
        <v>1135460</v>
      </c>
      <c r="EI86" s="4">
        <v>351765</v>
      </c>
      <c r="EJ86" s="4">
        <v>1487225</v>
      </c>
      <c r="EK86" s="4">
        <v>159365</v>
      </c>
      <c r="EL86" s="4">
        <v>47444</v>
      </c>
      <c r="EM86" s="4">
        <v>23371</v>
      </c>
      <c r="EN86" s="4">
        <v>230180</v>
      </c>
      <c r="EO86" s="4">
        <v>154975</v>
      </c>
      <c r="EP86" s="4">
        <v>1872380</v>
      </c>
      <c r="EQ86" s="4">
        <v>0</v>
      </c>
      <c r="ER86" s="3">
        <v>0</v>
      </c>
      <c r="ES86" s="4">
        <v>0</v>
      </c>
      <c r="ET86" s="4">
        <v>0</v>
      </c>
      <c r="EU86" s="4">
        <v>0</v>
      </c>
      <c r="EV86" s="4">
        <v>19090</v>
      </c>
      <c r="EW86" s="4">
        <v>19090</v>
      </c>
      <c r="EX86" s="4">
        <v>21102</v>
      </c>
      <c r="EY86" s="1">
        <v>13664</v>
      </c>
      <c r="EZ86" s="1">
        <v>205077</v>
      </c>
      <c r="FA86" s="1">
        <v>46572</v>
      </c>
      <c r="FB86" s="1">
        <v>5099</v>
      </c>
      <c r="FC86" s="1">
        <v>32863</v>
      </c>
      <c r="FD86" s="1">
        <v>32425</v>
      </c>
      <c r="FE86" s="1">
        <v>2004</v>
      </c>
      <c r="FF86" s="1">
        <v>18499</v>
      </c>
      <c r="FG86" s="1">
        <v>78997</v>
      </c>
      <c r="FH86" s="1">
        <v>7103</v>
      </c>
      <c r="FI86" s="1">
        <v>51362</v>
      </c>
      <c r="FJ86" s="1">
        <v>137462</v>
      </c>
      <c r="FK86">
        <v>99</v>
      </c>
      <c r="FL86">
        <v>288</v>
      </c>
      <c r="FM86"/>
      <c r="FN86" s="1">
        <v>137462</v>
      </c>
      <c r="FO86" s="1">
        <v>4909</v>
      </c>
      <c r="FP86" s="1">
        <v>5550</v>
      </c>
      <c r="FQ86" s="1">
        <v>2663</v>
      </c>
      <c r="FR86">
        <v>12</v>
      </c>
      <c r="FS86">
        <v>74</v>
      </c>
      <c r="FT86">
        <v>86</v>
      </c>
      <c r="FU86" s="1">
        <v>26725</v>
      </c>
      <c r="FV86" s="1">
        <v>2022</v>
      </c>
      <c r="FW86">
        <v>0</v>
      </c>
      <c r="FX86"/>
      <c r="FY86"/>
      <c r="FZ86"/>
      <c r="GA86"/>
      <c r="GB86"/>
      <c r="GC86" s="1">
        <v>23798</v>
      </c>
      <c r="GD86" s="1">
        <v>1183</v>
      </c>
      <c r="GE86">
        <v>205</v>
      </c>
      <c r="GF86"/>
      <c r="GG86"/>
      <c r="GH86"/>
      <c r="GI86"/>
      <c r="GJ86"/>
      <c r="GK86">
        <v>47</v>
      </c>
      <c r="GL86">
        <v>0</v>
      </c>
      <c r="GM86">
        <v>0</v>
      </c>
      <c r="GN86">
        <v>40</v>
      </c>
      <c r="GO86" s="1">
        <v>50570</v>
      </c>
      <c r="GP86" s="1">
        <v>3205</v>
      </c>
      <c r="GQ86">
        <v>205</v>
      </c>
      <c r="GR86">
        <v>40</v>
      </c>
      <c r="GS86">
        <v>74</v>
      </c>
      <c r="GT86"/>
      <c r="GU86" s="1">
        <v>79197</v>
      </c>
      <c r="GV86" s="1">
        <v>9604</v>
      </c>
      <c r="GW86" s="1">
        <v>79023</v>
      </c>
      <c r="GX86" s="1">
        <v>24362</v>
      </c>
      <c r="GY86" s="1">
        <v>4075</v>
      </c>
      <c r="GZ86" s="1">
        <v>19604</v>
      </c>
      <c r="HA86" s="1">
        <v>103559</v>
      </c>
      <c r="HB86" s="1">
        <v>13679</v>
      </c>
      <c r="HC86" s="1">
        <v>98627</v>
      </c>
      <c r="HD86" s="1">
        <v>215865</v>
      </c>
      <c r="HE86" s="1">
        <v>2633</v>
      </c>
      <c r="HF86" s="1">
        <v>218647</v>
      </c>
      <c r="HG86" s="1">
        <v>10447</v>
      </c>
      <c r="HH86" s="1">
        <v>35453</v>
      </c>
      <c r="HI86">
        <v>149</v>
      </c>
      <c r="HJ86">
        <v>9</v>
      </c>
      <c r="HK86" s="1">
        <v>45909</v>
      </c>
      <c r="HL86" s="1">
        <v>264556</v>
      </c>
      <c r="HM86">
        <v>80</v>
      </c>
      <c r="HN86" s="1">
        <v>21197</v>
      </c>
      <c r="HO86" s="1">
        <v>21277</v>
      </c>
      <c r="HP86">
        <v>374</v>
      </c>
      <c r="HQ86" s="1">
        <v>1972</v>
      </c>
      <c r="HR86" s="1">
        <v>2346</v>
      </c>
      <c r="HS86">
        <v>0</v>
      </c>
      <c r="HT86">
        <v>52</v>
      </c>
      <c r="HU86">
        <v>52</v>
      </c>
      <c r="HV86">
        <v>511</v>
      </c>
      <c r="HW86" s="1">
        <v>24186</v>
      </c>
      <c r="HX86" s="1">
        <v>6066</v>
      </c>
      <c r="HY86" s="1">
        <v>83191</v>
      </c>
      <c r="HZ86" s="1">
        <v>89257</v>
      </c>
      <c r="IA86" s="1">
        <v>113443</v>
      </c>
      <c r="IB86" s="1">
        <v>12793</v>
      </c>
      <c r="IC86" s="1">
        <v>48298</v>
      </c>
      <c r="ID86" s="1">
        <v>288742</v>
      </c>
      <c r="IE86" s="1">
        <v>288742</v>
      </c>
      <c r="IF86" s="1">
        <v>377999</v>
      </c>
      <c r="IG86" s="1">
        <v>112306</v>
      </c>
      <c r="IH86" s="1">
        <v>1006</v>
      </c>
      <c r="II86"/>
      <c r="IJ86"/>
      <c r="IK86">
        <v>1</v>
      </c>
      <c r="IL86" s="3">
        <v>2.81E-2</v>
      </c>
      <c r="IM86" s="3">
        <v>1.4E-3</v>
      </c>
      <c r="IN86" s="3">
        <v>0.26340000000000002</v>
      </c>
      <c r="IO86" s="3">
        <v>0</v>
      </c>
      <c r="IP86" s="3">
        <v>0.24660000000000001</v>
      </c>
      <c r="IQ86" s="3">
        <v>4.0000000000000002E-4</v>
      </c>
      <c r="IR86" s="3">
        <v>0.67030000000000001</v>
      </c>
      <c r="IS86" s="3">
        <v>3.9600000000000003E-2</v>
      </c>
      <c r="IT86" s="3">
        <v>0.38890000000000002</v>
      </c>
      <c r="IU86" s="1">
        <v>37195</v>
      </c>
      <c r="IV86" s="1">
        <v>11673</v>
      </c>
      <c r="IW86" s="1">
        <v>48868</v>
      </c>
      <c r="IX86" s="3">
        <v>0.39100000000000001</v>
      </c>
      <c r="IY86" s="1">
        <v>280344</v>
      </c>
      <c r="IZ86"/>
      <c r="JA86">
        <v>226</v>
      </c>
      <c r="JB86">
        <v>89</v>
      </c>
      <c r="JC86">
        <v>455</v>
      </c>
      <c r="JD86">
        <v>45</v>
      </c>
      <c r="JE86">
        <v>26</v>
      </c>
      <c r="JF86">
        <v>133</v>
      </c>
      <c r="JG86">
        <v>271</v>
      </c>
      <c r="JH86">
        <v>115</v>
      </c>
      <c r="JI86">
        <v>588</v>
      </c>
      <c r="JJ86">
        <v>974</v>
      </c>
      <c r="JK86">
        <v>770</v>
      </c>
      <c r="JL86">
        <v>204</v>
      </c>
      <c r="JM86" s="1">
        <v>2172</v>
      </c>
      <c r="JN86">
        <v>874</v>
      </c>
      <c r="JO86" s="1">
        <v>9827</v>
      </c>
      <c r="JP86" s="1">
        <v>1655</v>
      </c>
      <c r="JQ86">
        <v>994</v>
      </c>
      <c r="JR86" s="1">
        <v>5009</v>
      </c>
      <c r="JS86" s="1">
        <v>3827</v>
      </c>
      <c r="JT86" s="1">
        <v>1868</v>
      </c>
      <c r="JU86" s="1">
        <v>14836</v>
      </c>
      <c r="JV86" s="1">
        <v>20531</v>
      </c>
      <c r="JW86" s="1">
        <v>12873</v>
      </c>
      <c r="JX86" s="1">
        <v>7658</v>
      </c>
      <c r="JY86">
        <v>21.08</v>
      </c>
      <c r="JZ86">
        <v>14.12</v>
      </c>
      <c r="KA86">
        <v>25.23</v>
      </c>
      <c r="KB86">
        <v>0.19</v>
      </c>
      <c r="KC86">
        <v>0.72</v>
      </c>
      <c r="KD86">
        <v>14</v>
      </c>
      <c r="KE86">
        <v>741</v>
      </c>
      <c r="KF86">
        <v>124</v>
      </c>
      <c r="KG86">
        <v>851</v>
      </c>
      <c r="KH86"/>
      <c r="KI86"/>
      <c r="KJ86"/>
      <c r="KK86"/>
      <c r="KL86"/>
      <c r="KM86"/>
      <c r="KN86" s="1">
        <v>93635</v>
      </c>
      <c r="KO86" s="1">
        <v>43527</v>
      </c>
      <c r="KP86" s="1">
        <v>6523</v>
      </c>
      <c r="KQ86"/>
      <c r="KR86">
        <v>909</v>
      </c>
      <c r="KS86" s="1">
        <v>3608</v>
      </c>
      <c r="KT86" s="1">
        <v>22142</v>
      </c>
      <c r="KU86" s="1">
        <v>22207</v>
      </c>
      <c r="KV86">
        <v>49</v>
      </c>
      <c r="KW86">
        <v>123</v>
      </c>
      <c r="KX86" s="1">
        <v>85252</v>
      </c>
      <c r="KY86"/>
      <c r="KZ86" s="1">
        <v>128262</v>
      </c>
      <c r="LA86" s="1">
        <v>91448</v>
      </c>
      <c r="LB86"/>
      <c r="LC86"/>
      <c r="LD86" t="s">
        <v>1430</v>
      </c>
      <c r="LE86" t="s">
        <v>379</v>
      </c>
      <c r="LF86" t="s">
        <v>1422</v>
      </c>
      <c r="LG86" t="s">
        <v>1423</v>
      </c>
      <c r="LH86">
        <v>27530</v>
      </c>
      <c r="LI86">
        <v>3850</v>
      </c>
      <c r="LJ86" t="s">
        <v>1422</v>
      </c>
      <c r="LK86" t="s">
        <v>1423</v>
      </c>
      <c r="LL86">
        <v>27530</v>
      </c>
      <c r="LM86">
        <v>3850</v>
      </c>
      <c r="LN86" t="s">
        <v>1425</v>
      </c>
      <c r="LO86">
        <v>9197351824</v>
      </c>
      <c r="LP86">
        <v>9197312889</v>
      </c>
      <c r="LQ86" s="1">
        <v>46670</v>
      </c>
      <c r="LR86">
        <v>35.909999999999997</v>
      </c>
      <c r="LS86"/>
      <c r="LT86" s="1">
        <v>8122</v>
      </c>
      <c r="LU86">
        <v>208</v>
      </c>
      <c r="LV86"/>
      <c r="LW86"/>
      <c r="LX86">
        <v>2</v>
      </c>
      <c r="LY86" t="s">
        <v>1431</v>
      </c>
      <c r="LZ86">
        <v>0</v>
      </c>
      <c r="MA86" t="s">
        <v>363</v>
      </c>
      <c r="MB86">
        <v>2.17</v>
      </c>
      <c r="MC86">
        <v>53.76</v>
      </c>
      <c r="MD86"/>
      <c r="ME86" s="574">
        <v>6.48</v>
      </c>
      <c r="MF86" s="574">
        <v>5.15</v>
      </c>
      <c r="MG86" s="574">
        <v>0.8</v>
      </c>
      <c r="MH86" s="574">
        <v>38.32</v>
      </c>
      <c r="MI86" s="574">
        <v>30.43</v>
      </c>
      <c r="MJ86" s="574">
        <v>4.71</v>
      </c>
      <c r="MK86" s="574">
        <v>6.68</v>
      </c>
      <c r="ML86" s="574">
        <v>5.31</v>
      </c>
      <c r="MM86" s="574">
        <v>0.82</v>
      </c>
      <c r="MN86" s="574">
        <v>20</v>
      </c>
      <c r="MO86" s="574">
        <v>15.88</v>
      </c>
      <c r="MP86" s="574">
        <v>2.46</v>
      </c>
      <c r="MQ86" s="574">
        <v>91.2</v>
      </c>
      <c r="MR86" s="574">
        <v>72.44</v>
      </c>
      <c r="MS86" s="574">
        <v>11.21</v>
      </c>
      <c r="MT86" s="574">
        <v>16.670000000000002</v>
      </c>
      <c r="MU86" s="574">
        <v>13.24</v>
      </c>
      <c r="MV86" s="574">
        <v>2.0499999999999998</v>
      </c>
      <c r="MW86" s="1">
        <v>2607</v>
      </c>
      <c r="MX86" s="1">
        <v>10404</v>
      </c>
      <c r="MY86" s="1">
        <v>7707</v>
      </c>
      <c r="MZ86" s="1">
        <v>7807</v>
      </c>
      <c r="NA86" s="1">
        <v>31149</v>
      </c>
      <c r="NB86" s="1">
        <v>23074</v>
      </c>
      <c r="NC86" s="1">
        <v>23765</v>
      </c>
      <c r="ND86" s="1">
        <v>32082</v>
      </c>
      <c r="NE86">
        <v>1.41</v>
      </c>
      <c r="NF86" s="1">
        <v>8041</v>
      </c>
      <c r="NG86">
        <v>3.87</v>
      </c>
      <c r="NH86">
        <v>2.31</v>
      </c>
      <c r="NI86">
        <v>2.2400000000000002</v>
      </c>
      <c r="NJ86">
        <v>453.1</v>
      </c>
      <c r="NK86">
        <v>454.43</v>
      </c>
      <c r="NL86">
        <v>0.74919999999999998</v>
      </c>
      <c r="NM86">
        <v>0.89859999999999995</v>
      </c>
      <c r="NN86">
        <v>0.39</v>
      </c>
      <c r="NO86">
        <v>0.16</v>
      </c>
      <c r="NP86">
        <v>0.18</v>
      </c>
      <c r="NQ86">
        <v>0.18</v>
      </c>
      <c r="NR86">
        <v>0.68</v>
      </c>
      <c r="NS86">
        <v>0.03</v>
      </c>
      <c r="NT86">
        <v>0.12</v>
      </c>
      <c r="NU86" s="574">
        <v>11.9</v>
      </c>
      <c r="NV86">
        <v>1.641</v>
      </c>
      <c r="NW86">
        <v>0</v>
      </c>
      <c r="NX86">
        <v>2E-3</v>
      </c>
      <c r="NY86">
        <v>0.40500000000000003</v>
      </c>
      <c r="NZ86">
        <v>1E-3</v>
      </c>
      <c r="OA86">
        <v>0.1842</v>
      </c>
      <c r="OB86">
        <v>0.73480000000000001</v>
      </c>
      <c r="OC86">
        <v>5.8929999999999998</v>
      </c>
      <c r="OD86">
        <v>1.1000000000000001</v>
      </c>
      <c r="OE86">
        <v>0.19009999999999999</v>
      </c>
      <c r="OF86" s="2">
        <v>1034.829</v>
      </c>
      <c r="OG86">
        <v>1.76</v>
      </c>
      <c r="OH86" s="574">
        <v>1.24</v>
      </c>
      <c r="OI86">
        <v>166</v>
      </c>
      <c r="OJ86">
        <v>118</v>
      </c>
      <c r="OK86" s="574">
        <v>14.98</v>
      </c>
      <c r="OL86" s="574">
        <v>1.84</v>
      </c>
      <c r="OM86" s="574">
        <v>1.28</v>
      </c>
      <c r="ON86">
        <v>0.2873</v>
      </c>
      <c r="OO86">
        <v>7.1999999999999995E-2</v>
      </c>
      <c r="OP86">
        <v>0.48620000000000002</v>
      </c>
      <c r="OQ86" s="574">
        <v>1.59</v>
      </c>
      <c r="OR86" s="574">
        <v>13.27</v>
      </c>
      <c r="OS86" s="574">
        <v>0.12</v>
      </c>
      <c r="OT86" s="574">
        <v>0</v>
      </c>
      <c r="OU86" s="574">
        <v>14.98</v>
      </c>
      <c r="OV86">
        <v>426</v>
      </c>
      <c r="OW86">
        <v>427</v>
      </c>
      <c r="OX86">
        <v>1.03</v>
      </c>
      <c r="OY86" s="1">
        <v>5553</v>
      </c>
      <c r="OZ86">
        <v>34.520000000000003</v>
      </c>
      <c r="PA86" s="1">
        <v>5391</v>
      </c>
      <c r="PB86">
        <v>11.53</v>
      </c>
      <c r="PC86">
        <v>35.549999999999997</v>
      </c>
      <c r="PD86">
        <v>0.33</v>
      </c>
      <c r="PE86" s="1">
        <v>1801</v>
      </c>
      <c r="PF86">
        <v>0.71</v>
      </c>
      <c r="PG86" s="574">
        <v>0.82</v>
      </c>
      <c r="PH86">
        <v>0.73</v>
      </c>
      <c r="PI86">
        <v>6.5</v>
      </c>
      <c r="PJ86">
        <v>5.91</v>
      </c>
      <c r="PK86" s="574">
        <v>6.68</v>
      </c>
      <c r="PL86">
        <v>31.24</v>
      </c>
      <c r="PM86" s="4">
        <v>41415</v>
      </c>
      <c r="PN86" s="4">
        <v>31620</v>
      </c>
      <c r="PO86">
        <v>0.1244</v>
      </c>
      <c r="PP86">
        <v>0.38350000000000001</v>
      </c>
      <c r="PQ86">
        <v>0.12809999999999999</v>
      </c>
      <c r="PR86">
        <v>3.1199999999999999E-2</v>
      </c>
      <c r="PS86">
        <v>9.6100000000000005E-2</v>
      </c>
      <c r="PT86">
        <v>3.2099999999999997E-2</v>
      </c>
      <c r="PU86" s="3">
        <v>0.74070000000000003</v>
      </c>
      <c r="PV86" s="3">
        <v>0.33829999999999999</v>
      </c>
      <c r="PW86" s="3">
        <v>0.66169999999999995</v>
      </c>
      <c r="PX86" s="3">
        <v>0.23649999999999999</v>
      </c>
      <c r="PY86" s="3">
        <v>0.76349999999999996</v>
      </c>
      <c r="PZ86" s="3">
        <v>0.1229</v>
      </c>
      <c r="QA86" s="3">
        <v>2.53E-2</v>
      </c>
      <c r="QB86" s="3">
        <v>0.18790000000000001</v>
      </c>
      <c r="QC86" s="3">
        <v>1.2500000000000001E-2</v>
      </c>
      <c r="QD86" s="3">
        <v>8.2799999999999999E-2</v>
      </c>
      <c r="QE86" s="3">
        <v>8.5099999999999995E-2</v>
      </c>
      <c r="QF86" s="3">
        <v>0.60640000000000005</v>
      </c>
      <c r="QG86" s="3">
        <v>0.79430000000000001</v>
      </c>
      <c r="QH86" s="3">
        <v>8.0000000000000002E-3</v>
      </c>
      <c r="QI86" s="3">
        <v>0.88560000000000005</v>
      </c>
      <c r="QJ86" s="3">
        <v>0</v>
      </c>
      <c r="QK86" s="3">
        <v>0.10630000000000001</v>
      </c>
      <c r="QL86" s="4">
        <v>9796</v>
      </c>
      <c r="QM86">
        <v>5.74</v>
      </c>
      <c r="QN86" s="1">
        <v>10287</v>
      </c>
      <c r="QO86" s="1">
        <v>13887</v>
      </c>
      <c r="QP86" s="1">
        <v>3480</v>
      </c>
      <c r="QQ86" s="3">
        <v>0.69230000000000003</v>
      </c>
      <c r="QR86" s="3">
        <v>0.20610000000000001</v>
      </c>
      <c r="QS86" s="3">
        <v>0.10150000000000001</v>
      </c>
      <c r="QT86" s="3">
        <v>0.25059999999999999</v>
      </c>
      <c r="QU86">
        <v>0.25</v>
      </c>
      <c r="QV86">
        <v>0.82</v>
      </c>
      <c r="QW86">
        <v>0.19</v>
      </c>
      <c r="QX86">
        <v>6</v>
      </c>
      <c r="QY86">
        <v>1.81</v>
      </c>
      <c r="QZ86">
        <v>12</v>
      </c>
      <c r="RA86">
        <v>1.25</v>
      </c>
      <c r="RB86">
        <v>0.15</v>
      </c>
      <c r="RC86">
        <v>0.15</v>
      </c>
    </row>
    <row r="87" spans="1:471" x14ac:dyDescent="0.25">
      <c r="A87" t="s">
        <v>1432</v>
      </c>
      <c r="B87">
        <v>11704</v>
      </c>
      <c r="H87" t="s">
        <v>1433</v>
      </c>
      <c r="I87" t="s">
        <v>342</v>
      </c>
      <c r="J87" t="s">
        <v>343</v>
      </c>
      <c r="K87" t="s">
        <v>344</v>
      </c>
      <c r="L87" t="s">
        <v>345</v>
      </c>
      <c r="M87" t="s">
        <v>346</v>
      </c>
      <c r="N87" t="s">
        <v>347</v>
      </c>
      <c r="O87" s="1">
        <v>81689</v>
      </c>
      <c r="P87" t="s">
        <v>348</v>
      </c>
      <c r="Q87">
        <v>607</v>
      </c>
      <c r="R87">
        <v>78</v>
      </c>
      <c r="S87">
        <v>99</v>
      </c>
      <c r="T87">
        <v>18</v>
      </c>
      <c r="U87" s="1">
        <v>3025</v>
      </c>
      <c r="V87">
        <v>211</v>
      </c>
      <c r="W87" s="1">
        <v>27678</v>
      </c>
      <c r="X87" s="1">
        <v>2659</v>
      </c>
      <c r="AC87" t="s">
        <v>1434</v>
      </c>
      <c r="AD87" t="s">
        <v>1435</v>
      </c>
      <c r="AE87">
        <v>27893</v>
      </c>
      <c r="AF87">
        <v>3801</v>
      </c>
      <c r="AG87" t="s">
        <v>1434</v>
      </c>
      <c r="AH87" t="s">
        <v>1435</v>
      </c>
      <c r="AI87">
        <v>27893</v>
      </c>
      <c r="AJ87">
        <v>2</v>
      </c>
      <c r="AK87" t="s">
        <v>1436</v>
      </c>
      <c r="AM87" t="s">
        <v>0</v>
      </c>
      <c r="AN87" t="s">
        <v>1435</v>
      </c>
      <c r="AO87" t="s">
        <v>1953</v>
      </c>
      <c r="AP87">
        <v>2522375355</v>
      </c>
      <c r="AQ87" t="s">
        <v>1438</v>
      </c>
      <c r="AR87" t="s">
        <v>1954</v>
      </c>
      <c r="AS87" t="s">
        <v>1953</v>
      </c>
      <c r="AT87" t="s">
        <v>376</v>
      </c>
      <c r="AU87" t="s">
        <v>1437</v>
      </c>
      <c r="AV87" t="s">
        <v>1438</v>
      </c>
      <c r="AW87" t="s">
        <v>1954</v>
      </c>
      <c r="AX87" t="s">
        <v>1439</v>
      </c>
      <c r="AY87">
        <v>0</v>
      </c>
      <c r="AZ87">
        <v>0</v>
      </c>
      <c r="BA87">
        <v>0</v>
      </c>
      <c r="BB87" s="573">
        <v>42186</v>
      </c>
      <c r="BC87" s="573">
        <v>42551</v>
      </c>
      <c r="BD87">
        <v>1</v>
      </c>
      <c r="BE87">
        <v>5</v>
      </c>
      <c r="BF87">
        <v>1</v>
      </c>
      <c r="BG87">
        <v>0</v>
      </c>
      <c r="BH87">
        <v>7</v>
      </c>
      <c r="BJ87" s="1">
        <v>10881</v>
      </c>
      <c r="BK87">
        <v>6</v>
      </c>
      <c r="BL87">
        <v>3</v>
      </c>
      <c r="BM87">
        <v>9</v>
      </c>
      <c r="BN87">
        <v>19.190000000000001</v>
      </c>
      <c r="BO87">
        <v>28.19</v>
      </c>
      <c r="BP87" s="3">
        <v>0.21279999999999999</v>
      </c>
      <c r="BQ87">
        <v>492</v>
      </c>
      <c r="BR87" s="4">
        <v>79968</v>
      </c>
      <c r="DW87" s="4">
        <v>0</v>
      </c>
      <c r="DX87" s="4">
        <v>1634942</v>
      </c>
      <c r="DY87" s="4">
        <v>1634942</v>
      </c>
      <c r="DZ87" s="4">
        <v>131115</v>
      </c>
      <c r="EA87" s="4">
        <v>0</v>
      </c>
      <c r="EB87" s="4">
        <v>131115</v>
      </c>
      <c r="EC87" s="4">
        <v>0</v>
      </c>
      <c r="ED87" s="4">
        <v>0</v>
      </c>
      <c r="EE87" s="4">
        <v>0</v>
      </c>
      <c r="EF87" s="4">
        <v>57755</v>
      </c>
      <c r="EG87" s="4">
        <v>1823812</v>
      </c>
      <c r="EH87" s="4">
        <v>1015372</v>
      </c>
      <c r="EI87" s="4">
        <v>346696</v>
      </c>
      <c r="EJ87" s="4">
        <v>1362068</v>
      </c>
      <c r="EK87" s="4">
        <v>76742</v>
      </c>
      <c r="EL87" s="4">
        <v>16191</v>
      </c>
      <c r="EM87" s="4">
        <v>15917</v>
      </c>
      <c r="EN87" s="4">
        <v>108850</v>
      </c>
      <c r="EO87" s="4">
        <v>329300</v>
      </c>
      <c r="EP87" s="4">
        <v>1800218</v>
      </c>
      <c r="EQ87" s="4">
        <v>23594</v>
      </c>
      <c r="ER87" s="3">
        <v>1.29E-2</v>
      </c>
      <c r="ES87" s="4">
        <v>0</v>
      </c>
      <c r="ET87" s="4">
        <v>0</v>
      </c>
      <c r="EU87" s="4">
        <v>0</v>
      </c>
      <c r="EV87" s="4">
        <v>0</v>
      </c>
      <c r="EW87" s="4">
        <v>0</v>
      </c>
      <c r="EX87" s="4">
        <v>0</v>
      </c>
      <c r="EY87" s="1">
        <v>9736</v>
      </c>
      <c r="EZ87" s="1">
        <v>236038</v>
      </c>
      <c r="FA87" s="1">
        <v>59083</v>
      </c>
      <c r="FB87" s="1">
        <v>9270</v>
      </c>
      <c r="FC87" s="1">
        <v>50156</v>
      </c>
      <c r="FD87" s="1">
        <v>56406</v>
      </c>
      <c r="FE87">
        <v>338</v>
      </c>
      <c r="FF87" s="1">
        <v>21906</v>
      </c>
      <c r="FG87" s="1">
        <v>115489</v>
      </c>
      <c r="FH87" s="1">
        <v>9608</v>
      </c>
      <c r="FI87" s="1">
        <v>72062</v>
      </c>
      <c r="FJ87" s="1">
        <v>197159</v>
      </c>
      <c r="FK87">
        <v>0</v>
      </c>
      <c r="FL87">
        <v>155</v>
      </c>
      <c r="FN87" s="1">
        <v>197159</v>
      </c>
      <c r="FO87" s="1">
        <v>2615</v>
      </c>
      <c r="FP87" s="1">
        <v>5099</v>
      </c>
      <c r="FQ87" s="1">
        <v>1261</v>
      </c>
      <c r="FR87">
        <v>2</v>
      </c>
      <c r="FS87">
        <v>74</v>
      </c>
      <c r="FT87">
        <v>76</v>
      </c>
      <c r="FU87" s="1">
        <v>26725</v>
      </c>
      <c r="FV87" s="1">
        <v>2022</v>
      </c>
      <c r="FW87">
        <v>0</v>
      </c>
      <c r="GK87">
        <v>926</v>
      </c>
      <c r="GL87">
        <v>0</v>
      </c>
      <c r="GM87">
        <v>0</v>
      </c>
      <c r="GN87">
        <v>0</v>
      </c>
      <c r="GO87" s="1">
        <v>27651</v>
      </c>
      <c r="GP87" s="1">
        <v>2022</v>
      </c>
      <c r="GQ87">
        <v>0</v>
      </c>
      <c r="GR87">
        <v>0</v>
      </c>
      <c r="GS87">
        <v>57</v>
      </c>
      <c r="GU87" s="1">
        <v>72816</v>
      </c>
      <c r="GV87" s="1">
        <v>10539</v>
      </c>
      <c r="GW87" s="1">
        <v>82412</v>
      </c>
      <c r="GX87" s="1">
        <v>25715</v>
      </c>
      <c r="GY87">
        <v>378</v>
      </c>
      <c r="GZ87" s="1">
        <v>18123</v>
      </c>
      <c r="HA87" s="1">
        <v>98531</v>
      </c>
      <c r="HB87" s="1">
        <v>10917</v>
      </c>
      <c r="HC87" s="1">
        <v>100535</v>
      </c>
      <c r="HD87" s="1">
        <v>209983</v>
      </c>
      <c r="HE87" s="1">
        <v>5111</v>
      </c>
      <c r="HF87" s="1">
        <v>215094</v>
      </c>
      <c r="HG87" s="1">
        <v>11652</v>
      </c>
      <c r="HH87" s="1">
        <v>34114</v>
      </c>
      <c r="HI87">
        <v>0</v>
      </c>
      <c r="HJ87">
        <v>0</v>
      </c>
      <c r="HK87" s="1">
        <v>45766</v>
      </c>
      <c r="HL87" s="1">
        <v>260860</v>
      </c>
      <c r="HM87">
        <v>153</v>
      </c>
      <c r="HN87" s="1">
        <v>6964</v>
      </c>
      <c r="HO87" s="1">
        <v>7117</v>
      </c>
      <c r="HP87" s="1">
        <v>1222</v>
      </c>
      <c r="HQ87">
        <v>0</v>
      </c>
      <c r="HR87" s="1">
        <v>1222</v>
      </c>
      <c r="HS87">
        <v>0</v>
      </c>
      <c r="HT87">
        <v>0</v>
      </c>
      <c r="HU87">
        <v>0</v>
      </c>
      <c r="HV87">
        <v>0</v>
      </c>
      <c r="HW87" s="1">
        <v>8339</v>
      </c>
      <c r="HX87" s="1">
        <v>6277</v>
      </c>
      <c r="HY87" s="1">
        <v>67045</v>
      </c>
      <c r="HZ87" s="1">
        <v>73322</v>
      </c>
      <c r="IA87" s="1">
        <v>81661</v>
      </c>
      <c r="IB87" s="1">
        <v>12874</v>
      </c>
      <c r="IC87" s="1">
        <v>46988</v>
      </c>
      <c r="ID87" s="1">
        <v>269199</v>
      </c>
      <c r="IE87" s="1">
        <v>269199</v>
      </c>
      <c r="IF87" s="1">
        <v>342521</v>
      </c>
      <c r="IG87" s="1">
        <v>111452</v>
      </c>
      <c r="IH87">
        <v>4</v>
      </c>
      <c r="IK87">
        <v>1</v>
      </c>
      <c r="IL87" s="3">
        <v>2.1600000000000001E-2</v>
      </c>
      <c r="IM87" s="3">
        <v>6.9999999999999999E-4</v>
      </c>
      <c r="IN87" s="3">
        <v>0.12570000000000001</v>
      </c>
      <c r="IO87" s="3">
        <v>0</v>
      </c>
      <c r="IP87" s="3">
        <v>0.1171</v>
      </c>
      <c r="IQ87" s="3">
        <v>2.9999999999999997E-4</v>
      </c>
      <c r="IR87" s="3">
        <v>0.83530000000000004</v>
      </c>
      <c r="IS87" s="3">
        <v>1.9599999999999999E-2</v>
      </c>
      <c r="IT87" s="3">
        <v>0.41399999999999998</v>
      </c>
      <c r="IU87" s="1">
        <v>45431</v>
      </c>
      <c r="IV87" s="1">
        <v>14674</v>
      </c>
      <c r="IW87" s="1">
        <v>60105</v>
      </c>
      <c r="IX87" s="3">
        <v>0.73580000000000001</v>
      </c>
      <c r="IY87" s="1">
        <v>215347</v>
      </c>
      <c r="JA87">
        <v>42</v>
      </c>
      <c r="JB87">
        <v>79</v>
      </c>
      <c r="JC87">
        <v>378</v>
      </c>
      <c r="JD87">
        <v>0</v>
      </c>
      <c r="JE87">
        <v>0</v>
      </c>
      <c r="JF87">
        <v>14</v>
      </c>
      <c r="JG87">
        <v>42</v>
      </c>
      <c r="JH87">
        <v>79</v>
      </c>
      <c r="JI87">
        <v>392</v>
      </c>
      <c r="JJ87">
        <v>513</v>
      </c>
      <c r="JK87">
        <v>499</v>
      </c>
      <c r="JL87">
        <v>14</v>
      </c>
      <c r="JM87">
        <v>503</v>
      </c>
      <c r="JN87">
        <v>578</v>
      </c>
      <c r="JO87" s="1">
        <v>8444</v>
      </c>
      <c r="JP87">
        <v>0</v>
      </c>
      <c r="JQ87">
        <v>0</v>
      </c>
      <c r="JR87" s="1">
        <v>1546</v>
      </c>
      <c r="JS87">
        <v>503</v>
      </c>
      <c r="JT87">
        <v>578</v>
      </c>
      <c r="JU87" s="1">
        <v>9990</v>
      </c>
      <c r="JV87" s="1">
        <v>11071</v>
      </c>
      <c r="JW87" s="1">
        <v>9525</v>
      </c>
      <c r="JX87" s="1">
        <v>1546</v>
      </c>
      <c r="JY87">
        <v>21.58</v>
      </c>
      <c r="JZ87">
        <v>11.98</v>
      </c>
      <c r="KA87">
        <v>25.48</v>
      </c>
      <c r="KB87">
        <v>0.05</v>
      </c>
      <c r="KC87">
        <v>0.9</v>
      </c>
      <c r="KD87">
        <v>2</v>
      </c>
      <c r="KE87">
        <v>8</v>
      </c>
      <c r="KF87">
        <v>125</v>
      </c>
      <c r="KG87">
        <v>332</v>
      </c>
      <c r="KN87" s="1">
        <v>35814</v>
      </c>
      <c r="KO87" s="1">
        <v>8486</v>
      </c>
      <c r="KP87" s="1">
        <v>1788</v>
      </c>
      <c r="KR87">
        <v>714</v>
      </c>
      <c r="KS87" s="1">
        <v>7244</v>
      </c>
      <c r="KT87">
        <v>178</v>
      </c>
      <c r="KU87">
        <v>117</v>
      </c>
      <c r="KV87">
        <v>33</v>
      </c>
      <c r="KW87">
        <v>55</v>
      </c>
      <c r="KX87" s="1">
        <v>43432</v>
      </c>
      <c r="KZ87" s="1">
        <v>96938</v>
      </c>
      <c r="LA87" s="1">
        <v>37400</v>
      </c>
      <c r="LD87" t="s">
        <v>1436</v>
      </c>
      <c r="LE87" t="s">
        <v>379</v>
      </c>
      <c r="LF87" t="s">
        <v>1434</v>
      </c>
      <c r="LG87" t="s">
        <v>1435</v>
      </c>
      <c r="LH87">
        <v>27893</v>
      </c>
      <c r="LI87">
        <v>3801</v>
      </c>
      <c r="LJ87" t="s">
        <v>1434</v>
      </c>
      <c r="LK87" t="s">
        <v>1435</v>
      </c>
      <c r="LL87">
        <v>27893</v>
      </c>
      <c r="LM87">
        <v>3801</v>
      </c>
      <c r="LN87" t="s">
        <v>1435</v>
      </c>
      <c r="LO87">
        <v>2522375355</v>
      </c>
      <c r="LP87">
        <v>2522655569</v>
      </c>
      <c r="LQ87" s="1">
        <v>53723</v>
      </c>
      <c r="LR87">
        <v>28.19</v>
      </c>
      <c r="LT87" s="1">
        <v>10881</v>
      </c>
      <c r="LU87">
        <v>338</v>
      </c>
      <c r="LX87">
        <v>2</v>
      </c>
      <c r="LY87" t="s">
        <v>1440</v>
      </c>
      <c r="LZ87">
        <v>0</v>
      </c>
      <c r="MA87" t="s">
        <v>363</v>
      </c>
      <c r="MB87">
        <v>90</v>
      </c>
      <c r="MC87">
        <v>90</v>
      </c>
      <c r="ME87" s="574">
        <v>6.69</v>
      </c>
      <c r="MF87" s="574">
        <v>5.0599999999999996</v>
      </c>
      <c r="MG87" s="574">
        <v>0.4</v>
      </c>
      <c r="MH87" s="574">
        <v>29.95</v>
      </c>
      <c r="MI87" s="574">
        <v>22.66</v>
      </c>
      <c r="MJ87" s="574">
        <v>1.81</v>
      </c>
      <c r="MK87" s="574">
        <v>8.36</v>
      </c>
      <c r="ML87" s="574">
        <v>6.32</v>
      </c>
      <c r="MM87" s="574">
        <v>0.51</v>
      </c>
      <c r="MN87" s="574">
        <v>50.27</v>
      </c>
      <c r="MO87" s="574">
        <v>38.03</v>
      </c>
      <c r="MP87" s="574">
        <v>3.04</v>
      </c>
      <c r="MQ87" s="574">
        <v>162.61000000000001</v>
      </c>
      <c r="MR87" s="574">
        <v>123.03</v>
      </c>
      <c r="MS87" s="574">
        <v>9.83</v>
      </c>
      <c r="MT87" s="574">
        <v>16.149999999999999</v>
      </c>
      <c r="MU87" s="574">
        <v>12.22</v>
      </c>
      <c r="MV87" s="574">
        <v>0.98</v>
      </c>
      <c r="MW87" s="1">
        <v>1270</v>
      </c>
      <c r="MX87" s="1">
        <v>5969</v>
      </c>
      <c r="MY87" s="1">
        <v>3979</v>
      </c>
      <c r="MZ87" s="1">
        <v>7639</v>
      </c>
      <c r="NA87" s="1">
        <v>35891</v>
      </c>
      <c r="NB87" s="1">
        <v>23927</v>
      </c>
      <c r="NC87" s="1">
        <v>29911</v>
      </c>
      <c r="ND87" s="1">
        <v>44867</v>
      </c>
      <c r="NE87">
        <v>1.1399999999999999</v>
      </c>
      <c r="NF87" s="1">
        <v>9549</v>
      </c>
      <c r="NG87">
        <v>4.59</v>
      </c>
      <c r="NH87">
        <v>3.2949999999999999</v>
      </c>
      <c r="NI87">
        <v>2.64</v>
      </c>
      <c r="NJ87">
        <v>2.96</v>
      </c>
      <c r="NK87">
        <v>1.95</v>
      </c>
      <c r="NL87">
        <v>0.43840000000000001</v>
      </c>
      <c r="NM87">
        <v>1.3644000000000001</v>
      </c>
      <c r="NN87">
        <v>0.74</v>
      </c>
      <c r="NO87">
        <v>0.14000000000000001</v>
      </c>
      <c r="NP87">
        <v>0</v>
      </c>
      <c r="NQ87">
        <v>0</v>
      </c>
      <c r="NR87">
        <v>0.53</v>
      </c>
      <c r="NS87">
        <v>0.01</v>
      </c>
      <c r="NT87">
        <v>0.12</v>
      </c>
      <c r="NU87" s="574">
        <v>16.670000000000002</v>
      </c>
      <c r="NV87">
        <v>2.8889999999999998</v>
      </c>
      <c r="NW87">
        <v>0</v>
      </c>
      <c r="NX87">
        <v>2E-3</v>
      </c>
      <c r="NY87">
        <v>0.33800000000000002</v>
      </c>
      <c r="NZ87">
        <v>1E-3</v>
      </c>
      <c r="OA87">
        <v>9.98E-2</v>
      </c>
      <c r="OB87">
        <v>0.46899999999999997</v>
      </c>
      <c r="OC87">
        <v>2.5790000000000002</v>
      </c>
      <c r="OD87">
        <v>2.4140000000000001</v>
      </c>
      <c r="OE87">
        <v>0.2349</v>
      </c>
      <c r="OF87">
        <v>460.04500000000002</v>
      </c>
      <c r="OG87">
        <v>1.264</v>
      </c>
      <c r="OH87" s="574">
        <v>4.03</v>
      </c>
      <c r="OI87">
        <v>77</v>
      </c>
      <c r="OJ87">
        <v>85</v>
      </c>
      <c r="OK87" s="574">
        <v>22.04</v>
      </c>
      <c r="OL87" s="574">
        <v>1.33</v>
      </c>
      <c r="OM87" s="574">
        <v>0.94</v>
      </c>
      <c r="ON87">
        <v>0.34510000000000002</v>
      </c>
      <c r="OO87">
        <v>7.3499999999999996E-2</v>
      </c>
      <c r="OP87">
        <v>0.31929999999999997</v>
      </c>
      <c r="OQ87" s="574">
        <v>1.61</v>
      </c>
      <c r="OR87" s="574">
        <v>20.010000000000002</v>
      </c>
      <c r="OS87" s="574">
        <v>0</v>
      </c>
      <c r="OT87" s="574">
        <v>0.71</v>
      </c>
      <c r="OU87" s="574">
        <v>22.33</v>
      </c>
      <c r="OV87">
        <v>3</v>
      </c>
      <c r="OW87">
        <v>2</v>
      </c>
      <c r="OX87">
        <v>1.25</v>
      </c>
      <c r="OY87" s="1">
        <v>5177</v>
      </c>
      <c r="OZ87">
        <v>19.79</v>
      </c>
      <c r="PA87" s="1">
        <v>4141</v>
      </c>
      <c r="PB87">
        <v>3.29</v>
      </c>
      <c r="PC87">
        <v>24.74</v>
      </c>
      <c r="PD87">
        <v>0.17</v>
      </c>
      <c r="PE87">
        <v>689</v>
      </c>
      <c r="PF87">
        <v>0.88</v>
      </c>
      <c r="PG87" s="574">
        <v>0.51</v>
      </c>
      <c r="PH87">
        <v>1.1000000000000001</v>
      </c>
      <c r="PI87">
        <v>13.32</v>
      </c>
      <c r="PJ87">
        <v>4.4800000000000004</v>
      </c>
      <c r="PK87" s="574">
        <v>8.36</v>
      </c>
      <c r="PL87">
        <v>29.89</v>
      </c>
      <c r="PM87" s="4">
        <v>48317</v>
      </c>
      <c r="PN87" s="4">
        <v>36019</v>
      </c>
      <c r="PO87">
        <v>0.1047</v>
      </c>
      <c r="PP87">
        <v>0.78710000000000002</v>
      </c>
      <c r="PQ87">
        <v>0.13089999999999999</v>
      </c>
      <c r="PR87">
        <v>2.23E-2</v>
      </c>
      <c r="PS87">
        <v>0.16750000000000001</v>
      </c>
      <c r="PT87">
        <v>2.7900000000000001E-2</v>
      </c>
      <c r="PU87" s="3">
        <v>0.66669999999999996</v>
      </c>
      <c r="PV87" s="3">
        <v>0.31929999999999997</v>
      </c>
      <c r="PW87" s="3">
        <v>0.68069999999999997</v>
      </c>
      <c r="PX87" s="3">
        <v>0.2545</v>
      </c>
      <c r="PY87" s="3">
        <v>0.74550000000000005</v>
      </c>
      <c r="PZ87" s="3">
        <v>6.0499999999999998E-2</v>
      </c>
      <c r="QA87" s="3">
        <v>8.9999999999999993E-3</v>
      </c>
      <c r="QB87" s="3">
        <v>0.19259999999999999</v>
      </c>
      <c r="QC87" s="3">
        <v>8.8000000000000005E-3</v>
      </c>
      <c r="QD87" s="3">
        <v>0.18290000000000001</v>
      </c>
      <c r="QE87" s="3">
        <v>4.2599999999999999E-2</v>
      </c>
      <c r="QF87" s="3">
        <v>0.56399999999999995</v>
      </c>
      <c r="QG87" s="3">
        <v>0.75660000000000005</v>
      </c>
      <c r="QH87" s="3">
        <v>0</v>
      </c>
      <c r="QI87" s="3">
        <v>0.89639999999999997</v>
      </c>
      <c r="QJ87" s="3">
        <v>3.1699999999999999E-2</v>
      </c>
      <c r="QK87" s="3">
        <v>7.1900000000000006E-2</v>
      </c>
      <c r="QL87" s="4">
        <v>12299</v>
      </c>
      <c r="QM87">
        <v>3.58</v>
      </c>
      <c r="QN87" s="1">
        <v>9077</v>
      </c>
      <c r="QO87" s="1">
        <v>13615</v>
      </c>
      <c r="QP87" s="1">
        <v>2898</v>
      </c>
      <c r="QQ87" s="3">
        <v>0.70499999999999996</v>
      </c>
      <c r="QR87" s="3">
        <v>0.1487</v>
      </c>
      <c r="QS87" s="3">
        <v>0.1462</v>
      </c>
      <c r="QT87" s="3">
        <v>0.21279999999999999</v>
      </c>
      <c r="QU87">
        <v>0.27</v>
      </c>
      <c r="QV87">
        <v>0.78</v>
      </c>
      <c r="QW87">
        <v>0.2</v>
      </c>
      <c r="QX87">
        <v>17</v>
      </c>
      <c r="QY87">
        <v>3.51</v>
      </c>
      <c r="QZ87">
        <v>17</v>
      </c>
      <c r="RA87">
        <v>2.4700000000000002</v>
      </c>
      <c r="RB87">
        <v>0.15</v>
      </c>
      <c r="RC87">
        <v>0.15</v>
      </c>
    </row>
  </sheetData>
  <conditionalFormatting sqref="B2:B8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6"/>
  <sheetViews>
    <sheetView topLeftCell="A49" workbookViewId="0">
      <selection activeCell="I69" sqref="I69"/>
    </sheetView>
  </sheetViews>
  <sheetFormatPr defaultColWidth="8.85546875" defaultRowHeight="15" x14ac:dyDescent="0.25"/>
  <cols>
    <col min="1" max="1" width="7.7109375" style="12" customWidth="1"/>
    <col min="2" max="2" width="23" style="12" customWidth="1"/>
    <col min="3" max="3" width="15.7109375" style="71" customWidth="1"/>
    <col min="4" max="4" width="14" style="72" customWidth="1"/>
    <col min="5" max="5" width="9.85546875" style="73" customWidth="1"/>
    <col min="6" max="6" width="10.42578125" style="73" customWidth="1"/>
    <col min="7" max="7" width="13.85546875" style="73" customWidth="1"/>
    <col min="8" max="8" width="17.42578125" style="72" customWidth="1"/>
    <col min="9" max="9" width="12.140625" style="72" customWidth="1"/>
    <col min="10" max="16384" width="8.85546875" style="12"/>
  </cols>
  <sheetData>
    <row r="1" spans="1:9" x14ac:dyDescent="0.25">
      <c r="A1" s="6"/>
      <c r="B1" s="7"/>
      <c r="C1" s="8"/>
      <c r="D1" s="9"/>
      <c r="E1" s="10"/>
      <c r="F1" s="10"/>
      <c r="G1" s="10"/>
      <c r="H1" s="9"/>
      <c r="I1" s="11" t="s">
        <v>1758</v>
      </c>
    </row>
    <row r="2" spans="1:9" ht="15.75" x14ac:dyDescent="0.25">
      <c r="A2" s="13" t="s">
        <v>1442</v>
      </c>
      <c r="B2" s="14"/>
      <c r="C2" s="15"/>
      <c r="D2" s="16"/>
      <c r="E2" s="17"/>
      <c r="F2" s="17"/>
      <c r="G2" s="17"/>
      <c r="H2" s="16"/>
      <c r="I2" s="18" t="s">
        <v>1759</v>
      </c>
    </row>
    <row r="3" spans="1:9" ht="11.25" customHeight="1" thickBot="1" x14ac:dyDescent="0.3">
      <c r="A3" s="19"/>
      <c r="B3" s="20"/>
      <c r="C3" s="15"/>
      <c r="D3" s="16"/>
      <c r="E3" s="17"/>
      <c r="F3" s="17"/>
      <c r="G3" s="17"/>
      <c r="H3" s="16"/>
      <c r="I3" s="21"/>
    </row>
    <row r="4" spans="1:9" ht="33.75" customHeight="1" thickTop="1" x14ac:dyDescent="0.25">
      <c r="A4" s="609"/>
      <c r="B4" s="612"/>
      <c r="C4" s="615" t="s">
        <v>1443</v>
      </c>
      <c r="D4" s="618" t="s">
        <v>1444</v>
      </c>
      <c r="E4" s="619" t="s">
        <v>1445</v>
      </c>
      <c r="F4" s="620"/>
      <c r="G4" s="620"/>
      <c r="H4" s="621"/>
      <c r="I4" s="607" t="s">
        <v>1446</v>
      </c>
    </row>
    <row r="5" spans="1:9" ht="16.5" customHeight="1" thickBot="1" x14ac:dyDescent="0.3">
      <c r="A5" s="610"/>
      <c r="B5" s="613"/>
      <c r="C5" s="616"/>
      <c r="D5" s="607"/>
      <c r="E5" s="24" t="s">
        <v>1447</v>
      </c>
      <c r="F5" s="24" t="s">
        <v>1448</v>
      </c>
      <c r="G5" s="25" t="s">
        <v>1449</v>
      </c>
      <c r="H5" s="26" t="s">
        <v>1450</v>
      </c>
      <c r="I5" s="607"/>
    </row>
    <row r="6" spans="1:9" ht="15.75" hidden="1" customHeight="1" x14ac:dyDescent="0.25">
      <c r="A6" s="611"/>
      <c r="B6" s="614"/>
      <c r="C6" s="617"/>
      <c r="D6" s="608"/>
      <c r="E6" s="28" t="s">
        <v>1447</v>
      </c>
      <c r="F6" s="24" t="s">
        <v>1448</v>
      </c>
      <c r="G6" s="24" t="s">
        <v>1449</v>
      </c>
      <c r="H6" s="29" t="s">
        <v>1451</v>
      </c>
      <c r="I6" s="608"/>
    </row>
    <row r="7" spans="1:9" ht="16.5" thickTop="1" thickBot="1" x14ac:dyDescent="0.3">
      <c r="A7" s="30"/>
      <c r="B7" s="571" t="s">
        <v>1452</v>
      </c>
      <c r="C7" s="32"/>
      <c r="D7" s="33"/>
      <c r="E7" s="34"/>
      <c r="F7" s="34"/>
      <c r="G7" s="34"/>
      <c r="H7" s="33"/>
      <c r="I7" s="35"/>
    </row>
    <row r="8" spans="1:9" ht="15.75" thickTop="1" x14ac:dyDescent="0.25">
      <c r="A8" s="36" t="s">
        <v>340</v>
      </c>
      <c r="B8" s="37" t="s">
        <v>1506</v>
      </c>
      <c r="C8" s="38"/>
      <c r="D8" s="39">
        <v>159054</v>
      </c>
      <c r="E8" s="78">
        <f>VLOOKUP($A8,[1]!Data,55,FALSE)</f>
        <v>1</v>
      </c>
      <c r="F8" s="39">
        <f>VLOOKUP($A8,[1]!Data,56,FALSE)</f>
        <v>4</v>
      </c>
      <c r="G8" s="39">
        <f>VLOOKUP($A8,[1]!Data,57,FALSE)</f>
        <v>0</v>
      </c>
      <c r="H8" s="39">
        <f>VLOOKUP($A8,[1]!Data,58,FALSE)</f>
        <v>0</v>
      </c>
      <c r="I8" s="79">
        <f>VLOOKUP($A8,[1]!Data,61,FALSE)</f>
        <v>11648</v>
      </c>
    </row>
    <row r="9" spans="1:9" x14ac:dyDescent="0.25">
      <c r="A9" s="36" t="s">
        <v>381</v>
      </c>
      <c r="B9" s="37" t="s">
        <v>1507</v>
      </c>
      <c r="C9" s="38"/>
      <c r="D9" s="39">
        <v>38284</v>
      </c>
      <c r="E9" s="78">
        <f>VLOOKUP($A9,[1]!Data,55,FALSE)</f>
        <v>1</v>
      </c>
      <c r="F9" s="39">
        <f>VLOOKUP($A9,[1]!Data,56,FALSE)</f>
        <v>1</v>
      </c>
      <c r="G9" s="39">
        <f>VLOOKUP($A9,[1]!Data,57,FALSE)</f>
        <v>0</v>
      </c>
      <c r="H9" s="39">
        <f>VLOOKUP($A9,[1]!Data,58,FALSE)</f>
        <v>0</v>
      </c>
      <c r="I9" s="79">
        <f>VLOOKUP($A9,[1]!Data,61,FALSE)</f>
        <v>3801</v>
      </c>
    </row>
    <row r="10" spans="1:9" x14ac:dyDescent="0.25">
      <c r="A10" s="36" t="s">
        <v>442</v>
      </c>
      <c r="B10" s="37" t="s">
        <v>1508</v>
      </c>
      <c r="C10" s="38"/>
      <c r="D10" s="39">
        <v>34667</v>
      </c>
      <c r="E10" s="78">
        <f>VLOOKUP($A10,[1]!Data,55,FALSE)</f>
        <v>1</v>
      </c>
      <c r="F10" s="39">
        <f>VLOOKUP($A10,[1]!Data,56,FALSE)</f>
        <v>2</v>
      </c>
      <c r="G10" s="39">
        <f>VLOOKUP($A10,[1]!Data,57,FALSE)</f>
        <v>1</v>
      </c>
      <c r="H10" s="39">
        <f>VLOOKUP($A10,[1]!Data,58,FALSE)</f>
        <v>2</v>
      </c>
      <c r="I10" s="79">
        <f>VLOOKUP($A10,[1]!Data,61,FALSE)</f>
        <v>6494</v>
      </c>
    </row>
    <row r="11" spans="1:9" x14ac:dyDescent="0.25">
      <c r="A11" s="36" t="s">
        <v>470</v>
      </c>
      <c r="B11" s="37" t="s">
        <v>1509</v>
      </c>
      <c r="C11" s="38"/>
      <c r="D11" s="39">
        <v>127750</v>
      </c>
      <c r="E11" s="78">
        <f>VLOOKUP($A11,[1]!Data,55,FALSE)</f>
        <v>0</v>
      </c>
      <c r="F11" s="39">
        <f>VLOOKUP($A11,[1]!Data,56,FALSE)</f>
        <v>5</v>
      </c>
      <c r="G11" s="39">
        <f>VLOOKUP($A11,[1]!Data,57,FALSE)</f>
        <v>0</v>
      </c>
      <c r="H11" s="39">
        <f>VLOOKUP($A11,[1]!Data,58,FALSE)</f>
        <v>0</v>
      </c>
      <c r="I11" s="79">
        <f>VLOOKUP($A11,[1]!Data,61,FALSE)</f>
        <v>11850</v>
      </c>
    </row>
    <row r="12" spans="1:9" x14ac:dyDescent="0.25">
      <c r="A12" s="36" t="s">
        <v>484</v>
      </c>
      <c r="B12" s="37" t="s">
        <v>1510</v>
      </c>
      <c r="C12" s="38"/>
      <c r="D12" s="39">
        <v>258406</v>
      </c>
      <c r="E12" s="78">
        <f>VLOOKUP($A12,[1]!Data,55,FALSE)</f>
        <v>1</v>
      </c>
      <c r="F12" s="39">
        <f>VLOOKUP($A12,[1]!Data,56,FALSE)</f>
        <v>12</v>
      </c>
      <c r="G12" s="39">
        <f>VLOOKUP($A12,[1]!Data,57,FALSE)</f>
        <v>0</v>
      </c>
      <c r="H12" s="39">
        <f>VLOOKUP($A12,[1]!Data,58,FALSE)</f>
        <v>0</v>
      </c>
      <c r="I12" s="79">
        <f>VLOOKUP($A12,[1]!Data,61,FALSE)</f>
        <v>32084</v>
      </c>
    </row>
    <row r="13" spans="1:9" x14ac:dyDescent="0.25">
      <c r="A13" s="36" t="s">
        <v>497</v>
      </c>
      <c r="B13" s="37" t="s">
        <v>1511</v>
      </c>
      <c r="C13" s="38"/>
      <c r="D13" s="39">
        <v>89747</v>
      </c>
      <c r="E13" s="78">
        <f>VLOOKUP($A13,[1]!Data,55,FALSE)</f>
        <v>1</v>
      </c>
      <c r="F13" s="39">
        <f>VLOOKUP($A13,[1]!Data,56,FALSE)</f>
        <v>2</v>
      </c>
      <c r="G13" s="39">
        <f>VLOOKUP($A13,[1]!Data,57,FALSE)</f>
        <v>0</v>
      </c>
      <c r="H13" s="39">
        <f>VLOOKUP($A13,[1]!Data,58,FALSE)</f>
        <v>1</v>
      </c>
      <c r="I13" s="79">
        <f>VLOOKUP($A13,[1]!Data,61,FALSE)</f>
        <v>7332</v>
      </c>
    </row>
    <row r="14" spans="1:9" x14ac:dyDescent="0.25">
      <c r="A14" s="36" t="s">
        <v>509</v>
      </c>
      <c r="B14" s="37" t="s">
        <v>1512</v>
      </c>
      <c r="C14" s="38"/>
      <c r="D14" s="39">
        <v>200663</v>
      </c>
      <c r="E14" s="78">
        <f>VLOOKUP($A14,[1]!Data,55,FALSE)</f>
        <v>1</v>
      </c>
      <c r="F14" s="39">
        <f>VLOOKUP($A14,[1]!Data,56,FALSE)</f>
        <v>3</v>
      </c>
      <c r="G14" s="39">
        <f>VLOOKUP($A14,[1]!Data,57,FALSE)</f>
        <v>0</v>
      </c>
      <c r="H14" s="39">
        <f>VLOOKUP($A14,[1]!Data,58,FALSE)</f>
        <v>1</v>
      </c>
      <c r="I14" s="79">
        <f>VLOOKUP($A14,[1]!Data,61,FALSE)</f>
        <v>11354</v>
      </c>
    </row>
    <row r="15" spans="1:9" x14ac:dyDescent="0.25">
      <c r="A15" s="36" t="s">
        <v>521</v>
      </c>
      <c r="B15" s="37" t="s">
        <v>1513</v>
      </c>
      <c r="C15" s="38"/>
      <c r="D15" s="39">
        <v>82772</v>
      </c>
      <c r="E15" s="78">
        <f>VLOOKUP($A15,[1]!Data,55,FALSE)</f>
        <v>1</v>
      </c>
      <c r="F15" s="39">
        <f>VLOOKUP($A15,[1]!Data,56,FALSE)</f>
        <v>2</v>
      </c>
      <c r="G15" s="39">
        <f>VLOOKUP($A15,[1]!Data,57,FALSE)</f>
        <v>0</v>
      </c>
      <c r="H15" s="39">
        <f>VLOOKUP($A15,[1]!Data,58,FALSE)</f>
        <v>0</v>
      </c>
      <c r="I15" s="79">
        <f>VLOOKUP($A15,[1]!Data,61,FALSE)</f>
        <v>7228</v>
      </c>
    </row>
    <row r="16" spans="1:9" x14ac:dyDescent="0.25">
      <c r="A16" s="36" t="s">
        <v>531</v>
      </c>
      <c r="B16" s="37" t="s">
        <v>1514</v>
      </c>
      <c r="C16" s="38"/>
      <c r="D16" s="39">
        <v>23689</v>
      </c>
      <c r="E16" s="78">
        <f>VLOOKUP($A16,[1]!Data,55,FALSE)</f>
        <v>1</v>
      </c>
      <c r="F16" s="39">
        <f>VLOOKUP($A16,[1]!Data,56,FALSE)</f>
        <v>0</v>
      </c>
      <c r="G16" s="39">
        <f>VLOOKUP($A16,[1]!Data,57,FALSE)</f>
        <v>0</v>
      </c>
      <c r="H16" s="39">
        <f>VLOOKUP($A16,[1]!Data,58,FALSE)</f>
        <v>1</v>
      </c>
      <c r="I16" s="79">
        <f>VLOOKUP($A16,[1]!Data,61,FALSE)</f>
        <v>2387</v>
      </c>
    </row>
    <row r="17" spans="1:9" x14ac:dyDescent="0.25">
      <c r="A17" s="36" t="s">
        <v>544</v>
      </c>
      <c r="B17" s="37" t="s">
        <v>1515</v>
      </c>
      <c r="C17" s="38"/>
      <c r="D17" s="39">
        <v>116108</v>
      </c>
      <c r="E17" s="78">
        <f>VLOOKUP($A17,[1]!Data,55,FALSE)</f>
        <v>1</v>
      </c>
      <c r="F17" s="39">
        <f>VLOOKUP($A17,[1]!Data,56,FALSE)</f>
        <v>6</v>
      </c>
      <c r="G17" s="39">
        <f>VLOOKUP($A17,[1]!Data,57,FALSE)</f>
        <v>0</v>
      </c>
      <c r="H17" s="39">
        <f>VLOOKUP($A17,[1]!Data,58,FALSE)</f>
        <v>0</v>
      </c>
      <c r="I17" s="79">
        <f>VLOOKUP($A17,[1]!Data,61,FALSE)</f>
        <v>16796</v>
      </c>
    </row>
    <row r="18" spans="1:9" x14ac:dyDescent="0.25">
      <c r="A18" s="36" t="s">
        <v>590</v>
      </c>
      <c r="B18" s="37" t="s">
        <v>1516</v>
      </c>
      <c r="C18" s="38"/>
      <c r="D18" s="39">
        <v>73286</v>
      </c>
      <c r="E18" s="78">
        <f>VLOOKUP($A18,[1]!Data,55,FALSE)</f>
        <v>1</v>
      </c>
      <c r="F18" s="39">
        <f>VLOOKUP($A18,[1]!Data,56,FALSE)</f>
        <v>2</v>
      </c>
      <c r="G18" s="39">
        <f>VLOOKUP($A18,[1]!Data,57,FALSE)</f>
        <v>0</v>
      </c>
      <c r="H18" s="39">
        <f>VLOOKUP($A18,[1]!Data,58,FALSE)</f>
        <v>0</v>
      </c>
      <c r="I18" s="79">
        <f>VLOOKUP($A18,[1]!Data,61,FALSE)</f>
        <v>7100</v>
      </c>
    </row>
    <row r="19" spans="1:9" x14ac:dyDescent="0.25">
      <c r="A19" s="36" t="s">
        <v>604</v>
      </c>
      <c r="B19" s="37" t="s">
        <v>1517</v>
      </c>
      <c r="C19" s="38"/>
      <c r="D19" s="39">
        <v>88601</v>
      </c>
      <c r="E19" s="78">
        <f>VLOOKUP($A19,[1]!Data,55,FALSE)</f>
        <v>1</v>
      </c>
      <c r="F19" s="39">
        <f>VLOOKUP($A19,[1]!Data,56,FALSE)</f>
        <v>1</v>
      </c>
      <c r="G19" s="39">
        <f>VLOOKUP($A19,[1]!Data,57,FALSE)</f>
        <v>0</v>
      </c>
      <c r="H19" s="39">
        <f>VLOOKUP($A19,[1]!Data,58,FALSE)</f>
        <v>1</v>
      </c>
      <c r="I19" s="79">
        <f>VLOOKUP($A19,[1]!Data,61,FALSE)</f>
        <v>3597</v>
      </c>
    </row>
    <row r="20" spans="1:9" x14ac:dyDescent="0.25">
      <c r="A20" s="36" t="s">
        <v>617</v>
      </c>
      <c r="B20" s="37" t="s">
        <v>1518</v>
      </c>
      <c r="C20" s="38"/>
      <c r="D20" s="39">
        <v>57182</v>
      </c>
      <c r="E20" s="78">
        <f>VLOOKUP($A20,[1]!Data,55,FALSE)</f>
        <v>1</v>
      </c>
      <c r="F20" s="39">
        <f>VLOOKUP($A20,[1]!Data,56,FALSE)</f>
        <v>5</v>
      </c>
      <c r="G20" s="39">
        <f>VLOOKUP($A20,[1]!Data,57,FALSE)</f>
        <v>1</v>
      </c>
      <c r="H20" s="39">
        <f>VLOOKUP($A20,[1]!Data,58,FALSE)</f>
        <v>2</v>
      </c>
      <c r="I20" s="79">
        <f>VLOOKUP($A20,[1]!Data,61,FALSE)</f>
        <v>13244</v>
      </c>
    </row>
    <row r="21" spans="1:9" x14ac:dyDescent="0.25">
      <c r="A21" s="36" t="s">
        <v>645</v>
      </c>
      <c r="B21" s="37" t="s">
        <v>1519</v>
      </c>
      <c r="C21" s="38"/>
      <c r="D21" s="39">
        <v>329824</v>
      </c>
      <c r="E21" s="78">
        <f>VLOOKUP($A21,[1]!Data,55,FALSE)</f>
        <v>1</v>
      </c>
      <c r="F21" s="39">
        <f>VLOOKUP($A21,[1]!Data,56,FALSE)</f>
        <v>8</v>
      </c>
      <c r="G21" s="39">
        <f>VLOOKUP($A21,[1]!Data,57,FALSE)</f>
        <v>0</v>
      </c>
      <c r="H21" s="39">
        <f>VLOOKUP($A21,[1]!Data,58,FALSE)</f>
        <v>1</v>
      </c>
      <c r="I21" s="79">
        <f>VLOOKUP($A21,[1]!Data,61,FALSE)</f>
        <v>30108</v>
      </c>
    </row>
    <row r="22" spans="1:9" x14ac:dyDescent="0.25">
      <c r="A22" s="36" t="s">
        <v>658</v>
      </c>
      <c r="B22" s="37" t="s">
        <v>1520</v>
      </c>
      <c r="C22" s="38"/>
      <c r="D22" s="39">
        <v>160128</v>
      </c>
      <c r="E22" s="78">
        <f>VLOOKUP($A22,[1]!Data,55,FALSE)</f>
        <v>1</v>
      </c>
      <c r="F22" s="39">
        <f>VLOOKUP($A22,[1]!Data,56,FALSE)</f>
        <v>4</v>
      </c>
      <c r="G22" s="39">
        <f>VLOOKUP($A22,[1]!Data,57,FALSE)</f>
        <v>1</v>
      </c>
      <c r="H22" s="39">
        <f>VLOOKUP($A22,[1]!Data,58,FALSE)</f>
        <v>0</v>
      </c>
      <c r="I22" s="79">
        <f>VLOOKUP($A22,[1]!Data,61,FALSE)</f>
        <v>16172</v>
      </c>
    </row>
    <row r="23" spans="1:9" x14ac:dyDescent="0.25">
      <c r="A23" s="36" t="s">
        <v>674</v>
      </c>
      <c r="B23" s="37" t="s">
        <v>1521</v>
      </c>
      <c r="C23" s="38"/>
      <c r="D23" s="39">
        <v>42211</v>
      </c>
      <c r="E23" s="78">
        <f>VLOOKUP($A23,[1]!Data,55,FALSE)</f>
        <v>1</v>
      </c>
      <c r="F23" s="39">
        <f>VLOOKUP($A23,[1]!Data,56,FALSE)</f>
        <v>1</v>
      </c>
      <c r="G23" s="39">
        <f>VLOOKUP($A23,[1]!Data,57,FALSE)</f>
        <v>0</v>
      </c>
      <c r="H23" s="39">
        <f>VLOOKUP($A23,[1]!Data,58,FALSE)</f>
        <v>1</v>
      </c>
      <c r="I23" s="79">
        <f>VLOOKUP($A23,[1]!Data,61,FALSE)</f>
        <v>4638</v>
      </c>
    </row>
    <row r="24" spans="1:9" x14ac:dyDescent="0.25">
      <c r="A24" s="36" t="s">
        <v>686</v>
      </c>
      <c r="B24" s="37" t="s">
        <v>1522</v>
      </c>
      <c r="C24" s="38"/>
      <c r="D24" s="39">
        <v>59597</v>
      </c>
      <c r="E24" s="78">
        <f>VLOOKUP($A24,[1]!Data,55,FALSE)</f>
        <v>1</v>
      </c>
      <c r="F24" s="39">
        <f>VLOOKUP($A24,[1]!Data,56,FALSE)</f>
        <v>5</v>
      </c>
      <c r="G24" s="39">
        <f>VLOOKUP($A24,[1]!Data,57,FALSE)</f>
        <v>0</v>
      </c>
      <c r="H24" s="39">
        <f>VLOOKUP($A24,[1]!Data,58,FALSE)</f>
        <v>0</v>
      </c>
      <c r="I24" s="79">
        <f>VLOOKUP($A24,[1]!Data,61,FALSE)</f>
        <v>7624</v>
      </c>
    </row>
    <row r="25" spans="1:9" x14ac:dyDescent="0.25">
      <c r="A25" s="36" t="s">
        <v>699</v>
      </c>
      <c r="B25" s="37" t="s">
        <v>1523</v>
      </c>
      <c r="C25" s="38"/>
      <c r="D25" s="39">
        <v>298360</v>
      </c>
      <c r="E25" s="78">
        <f>VLOOKUP($A25,[1]!Data,55,FALSE)</f>
        <v>0</v>
      </c>
      <c r="F25" s="39">
        <f>VLOOKUP($A25,[1]!Data,56,FALSE)</f>
        <v>7</v>
      </c>
      <c r="G25" s="39">
        <f>VLOOKUP($A25,[1]!Data,57,FALSE)</f>
        <v>1</v>
      </c>
      <c r="H25" s="39">
        <f>VLOOKUP($A25,[1]!Data,58,FALSE)</f>
        <v>2</v>
      </c>
      <c r="I25" s="79">
        <f>VLOOKUP($A25,[1]!Data,61,FALSE)</f>
        <v>18114</v>
      </c>
    </row>
    <row r="26" spans="1:9" x14ac:dyDescent="0.25">
      <c r="A26" s="36" t="s">
        <v>729</v>
      </c>
      <c r="B26" s="37" t="s">
        <v>1524</v>
      </c>
      <c r="C26" s="38"/>
      <c r="D26" s="39">
        <v>53502</v>
      </c>
      <c r="E26" s="78">
        <f>VLOOKUP($A26,[1]!Data,55,FALSE)</f>
        <v>1</v>
      </c>
      <c r="F26" s="39">
        <f>VLOOKUP($A26,[1]!Data,56,FALSE)</f>
        <v>1</v>
      </c>
      <c r="G26" s="39">
        <f>VLOOKUP($A26,[1]!Data,57,FALSE)</f>
        <v>0</v>
      </c>
      <c r="H26" s="39">
        <f>VLOOKUP($A26,[1]!Data,58,FALSE)</f>
        <v>1</v>
      </c>
      <c r="I26" s="79">
        <f>VLOOKUP($A26,[1]!Data,61,FALSE)</f>
        <v>4750</v>
      </c>
    </row>
    <row r="27" spans="1:9" x14ac:dyDescent="0.25">
      <c r="A27" s="36" t="s">
        <v>774</v>
      </c>
      <c r="B27" s="37" t="s">
        <v>1525</v>
      </c>
      <c r="C27" s="38"/>
      <c r="D27" s="39">
        <v>369113</v>
      </c>
      <c r="E27" s="78">
        <f>VLOOKUP($A27,[1]!Data,55,FALSE)</f>
        <v>1</v>
      </c>
      <c r="F27" s="39">
        <f>VLOOKUP($A27,[1]!Data,56,FALSE)</f>
        <v>11</v>
      </c>
      <c r="G27" s="39">
        <f>VLOOKUP($A27,[1]!Data,57,FALSE)</f>
        <v>2</v>
      </c>
      <c r="H27" s="39">
        <f>VLOOKUP($A27,[1]!Data,58,FALSE)</f>
        <v>4</v>
      </c>
      <c r="I27" s="79">
        <f>VLOOKUP($A27,[1]!Data,61,FALSE)</f>
        <v>33265</v>
      </c>
    </row>
    <row r="28" spans="1:9" x14ac:dyDescent="0.25">
      <c r="A28" s="36" t="s">
        <v>788</v>
      </c>
      <c r="B28" s="37" t="s">
        <v>1526</v>
      </c>
      <c r="C28" s="38"/>
      <c r="D28" s="39">
        <v>65445</v>
      </c>
      <c r="E28" s="78">
        <f>VLOOKUP($A28,[1]!Data,55,FALSE)</f>
        <v>1</v>
      </c>
      <c r="F28" s="39">
        <f>VLOOKUP($A28,[1]!Data,56,FALSE)</f>
        <v>3</v>
      </c>
      <c r="G28" s="39">
        <f>VLOOKUP($A28,[1]!Data,57,FALSE)</f>
        <v>1</v>
      </c>
      <c r="H28" s="39">
        <f>VLOOKUP($A28,[1]!Data,58,FALSE)</f>
        <v>0</v>
      </c>
      <c r="I28" s="79">
        <f>VLOOKUP($A28,[1]!Data,61,FALSE)</f>
        <v>9430</v>
      </c>
    </row>
    <row r="29" spans="1:9" x14ac:dyDescent="0.25">
      <c r="A29" s="36" t="s">
        <v>802</v>
      </c>
      <c r="B29" s="37" t="s">
        <v>817</v>
      </c>
      <c r="C29" s="38"/>
      <c r="D29" s="39">
        <v>214413</v>
      </c>
      <c r="E29" s="78">
        <f>VLOOKUP($A29,[1]!Data,55,FALSE)</f>
        <v>1</v>
      </c>
      <c r="F29" s="39">
        <f>VLOOKUP($A29,[1]!Data,56,FALSE)</f>
        <v>9</v>
      </c>
      <c r="G29" s="39">
        <f>VLOOKUP($A29,[1]!Data,57,FALSE)</f>
        <v>0</v>
      </c>
      <c r="H29" s="39">
        <f>VLOOKUP($A29,[1]!Data,58,FALSE)</f>
        <v>0</v>
      </c>
      <c r="I29" s="79">
        <f>VLOOKUP($A29,[1]!Data,61,FALSE)</f>
        <v>14222</v>
      </c>
    </row>
    <row r="30" spans="1:9" x14ac:dyDescent="0.25">
      <c r="A30" s="36" t="s">
        <v>828</v>
      </c>
      <c r="B30" s="37" t="s">
        <v>1527</v>
      </c>
      <c r="C30" s="38"/>
      <c r="D30" s="39">
        <v>59433</v>
      </c>
      <c r="E30" s="78">
        <f>VLOOKUP($A30,[1]!Data,55,FALSE)</f>
        <v>1</v>
      </c>
      <c r="F30" s="39">
        <f>VLOOKUP($A30,[1]!Data,56,FALSE)</f>
        <v>3</v>
      </c>
      <c r="G30" s="39">
        <f>VLOOKUP($A30,[1]!Data,57,FALSE)</f>
        <v>0</v>
      </c>
      <c r="H30" s="39">
        <f>VLOOKUP($A30,[1]!Data,58,FALSE)</f>
        <v>3</v>
      </c>
      <c r="I30" s="79">
        <f>VLOOKUP($A30,[1]!Data,61,FALSE)</f>
        <v>7644</v>
      </c>
    </row>
    <row r="31" spans="1:9" x14ac:dyDescent="0.25">
      <c r="A31" s="36" t="s">
        <v>842</v>
      </c>
      <c r="B31" s="37" t="s">
        <v>1528</v>
      </c>
      <c r="C31" s="38"/>
      <c r="D31" s="39">
        <v>416036</v>
      </c>
      <c r="E31" s="78">
        <f>VLOOKUP($A31,[1]!Data,55,FALSE)</f>
        <v>1</v>
      </c>
      <c r="F31" s="39">
        <f>VLOOKUP($A31,[1]!Data,56,FALSE)</f>
        <v>7</v>
      </c>
      <c r="G31" s="39">
        <f>VLOOKUP($A31,[1]!Data,57,FALSE)</f>
        <v>0</v>
      </c>
      <c r="H31" s="39">
        <f>VLOOKUP($A31,[1]!Data,58,FALSE)</f>
        <v>0</v>
      </c>
      <c r="I31" s="79">
        <f>VLOOKUP($A31,[1]!Data,61,FALSE)</f>
        <v>27652</v>
      </c>
    </row>
    <row r="32" spans="1:9" x14ac:dyDescent="0.25">
      <c r="A32" s="36" t="s">
        <v>857</v>
      </c>
      <c r="B32" s="37" t="s">
        <v>1529</v>
      </c>
      <c r="C32" s="38"/>
      <c r="D32" s="39">
        <v>37059</v>
      </c>
      <c r="E32" s="78">
        <f>VLOOKUP($A32,[1]!Data,55,FALSE)</f>
        <v>1</v>
      </c>
      <c r="F32" s="39">
        <f>VLOOKUP($A32,[1]!Data,56,FALSE)</f>
        <v>4</v>
      </c>
      <c r="G32" s="39">
        <f>VLOOKUP($A32,[1]!Data,57,FALSE)</f>
        <v>0</v>
      </c>
      <c r="H32" s="39">
        <f>VLOOKUP($A32,[1]!Data,58,FALSE)</f>
        <v>1</v>
      </c>
      <c r="I32" s="79">
        <f>VLOOKUP($A32,[1]!Data,61,FALSE)</f>
        <v>12428</v>
      </c>
    </row>
    <row r="33" spans="1:9" x14ac:dyDescent="0.25">
      <c r="A33" s="36" t="s">
        <v>871</v>
      </c>
      <c r="B33" s="37" t="s">
        <v>1530</v>
      </c>
      <c r="C33" s="38"/>
      <c r="D33" s="39">
        <v>128783</v>
      </c>
      <c r="E33" s="78">
        <f>VLOOKUP($A33,[1]!Data,55,FALSE)</f>
        <v>1</v>
      </c>
      <c r="F33" s="39">
        <f>VLOOKUP($A33,[1]!Data,56,FALSE)</f>
        <v>6</v>
      </c>
      <c r="G33" s="39">
        <f>VLOOKUP($A33,[1]!Data,57,FALSE)</f>
        <v>0</v>
      </c>
      <c r="H33" s="39">
        <f>VLOOKUP($A33,[1]!Data,58,FALSE)</f>
        <v>1</v>
      </c>
      <c r="I33" s="79">
        <f>VLOOKUP($A33,[1]!Data,61,FALSE)</f>
        <v>11345</v>
      </c>
    </row>
    <row r="34" spans="1:9" x14ac:dyDescent="0.25">
      <c r="A34" s="36" t="s">
        <v>893</v>
      </c>
      <c r="B34" s="37" t="s">
        <v>1531</v>
      </c>
      <c r="C34" s="38"/>
      <c r="D34" s="39">
        <v>61771</v>
      </c>
      <c r="E34" s="78">
        <f>VLOOKUP($A34,[1]!Data,55,FALSE)</f>
        <v>1</v>
      </c>
      <c r="F34" s="39">
        <f>VLOOKUP($A34,[1]!Data,56,FALSE)</f>
        <v>3</v>
      </c>
      <c r="G34" s="39">
        <f>VLOOKUP($A34,[1]!Data,57,FALSE)</f>
        <v>0</v>
      </c>
      <c r="H34" s="39">
        <f>VLOOKUP($A34,[1]!Data,58,FALSE)</f>
        <v>1</v>
      </c>
      <c r="I34" s="79">
        <f>VLOOKUP($A34,[1]!Data,61,FALSE)</f>
        <v>7022</v>
      </c>
    </row>
    <row r="35" spans="1:9" x14ac:dyDescent="0.25">
      <c r="A35" s="36" t="s">
        <v>905</v>
      </c>
      <c r="B35" s="37" t="s">
        <v>1532</v>
      </c>
      <c r="C35" s="38"/>
      <c r="D35" s="39">
        <v>114385</v>
      </c>
      <c r="E35" s="78">
        <f>VLOOKUP($A35,[1]!Data,55,FALSE)</f>
        <v>1</v>
      </c>
      <c r="F35" s="39">
        <f>VLOOKUP($A35,[1]!Data,56,FALSE)</f>
        <v>5</v>
      </c>
      <c r="G35" s="39">
        <f>VLOOKUP($A35,[1]!Data,57,FALSE)</f>
        <v>0</v>
      </c>
      <c r="H35" s="39">
        <f>VLOOKUP($A35,[1]!Data,58,FALSE)</f>
        <v>0</v>
      </c>
      <c r="I35" s="79">
        <f>VLOOKUP($A35,[1]!Data,61,FALSE)</f>
        <v>13600</v>
      </c>
    </row>
    <row r="36" spans="1:9" x14ac:dyDescent="0.25">
      <c r="A36" s="36" t="s">
        <v>957</v>
      </c>
      <c r="B36" s="37" t="s">
        <v>1533</v>
      </c>
      <c r="C36" s="38"/>
      <c r="D36" s="39">
        <v>134323</v>
      </c>
      <c r="E36" s="78">
        <f>VLOOKUP($A36,[1]!Data,55,FALSE)</f>
        <v>1</v>
      </c>
      <c r="F36" s="39">
        <f>VLOOKUP($A36,[1]!Data,56,FALSE)</f>
        <v>2</v>
      </c>
      <c r="G36" s="39">
        <f>VLOOKUP($A36,[1]!Data,57,FALSE)</f>
        <v>0</v>
      </c>
      <c r="H36" s="39">
        <f>VLOOKUP($A36,[1]!Data,58,FALSE)</f>
        <v>0</v>
      </c>
      <c r="I36" s="79">
        <f>VLOOKUP($A36,[1]!Data,61,FALSE)</f>
        <v>9048</v>
      </c>
    </row>
    <row r="37" spans="1:9" x14ac:dyDescent="0.25">
      <c r="A37" s="36" t="s">
        <v>1198</v>
      </c>
      <c r="B37" s="37" t="s">
        <v>950</v>
      </c>
      <c r="C37" s="38"/>
      <c r="D37" s="39">
        <v>170033</v>
      </c>
      <c r="E37" s="78">
        <f>VLOOKUP($A37,[1]!Data,55,FALSE)</f>
        <v>1</v>
      </c>
      <c r="F37" s="39">
        <f>VLOOKUP($A37,[1]!Data,56,FALSE)</f>
        <v>5</v>
      </c>
      <c r="G37" s="39">
        <f>VLOOKUP($A37,[1]!Data,57,FALSE)</f>
        <v>0</v>
      </c>
      <c r="H37" s="39">
        <f>VLOOKUP($A37,[1]!Data,58,FALSE)</f>
        <v>1</v>
      </c>
      <c r="I37" s="79">
        <f>VLOOKUP($A37,[1]!Data,61,FALSE)</f>
        <v>12298</v>
      </c>
    </row>
    <row r="38" spans="1:9" x14ac:dyDescent="0.25">
      <c r="A38" s="36" t="s">
        <v>981</v>
      </c>
      <c r="B38" s="37" t="s">
        <v>1534</v>
      </c>
      <c r="C38" s="38"/>
      <c r="D38" s="39">
        <v>59244</v>
      </c>
      <c r="E38" s="78">
        <f>VLOOKUP($A38,[1]!Data,55,FALSE)</f>
        <v>1</v>
      </c>
      <c r="F38" s="39">
        <f>VLOOKUP($A38,[1]!Data,56,FALSE)</f>
        <v>1</v>
      </c>
      <c r="G38" s="39">
        <f>VLOOKUP($A38,[1]!Data,57,FALSE)</f>
        <v>0</v>
      </c>
      <c r="H38" s="39">
        <f>VLOOKUP($A38,[1]!Data,58,FALSE)</f>
        <v>2</v>
      </c>
      <c r="I38" s="79">
        <f>VLOOKUP($A38,[1]!Data,61,FALSE)</f>
        <v>3484</v>
      </c>
    </row>
    <row r="39" spans="1:9" x14ac:dyDescent="0.25">
      <c r="A39" s="36" t="s">
        <v>992</v>
      </c>
      <c r="B39" s="37" t="s">
        <v>1535</v>
      </c>
      <c r="C39" s="38"/>
      <c r="D39" s="39">
        <v>82033</v>
      </c>
      <c r="E39" s="78">
        <f>VLOOKUP($A39,[1]!Data,55,FALSE)</f>
        <v>1</v>
      </c>
      <c r="F39" s="39">
        <f>VLOOKUP($A39,[1]!Data,56,FALSE)</f>
        <v>2</v>
      </c>
      <c r="G39" s="39">
        <f>VLOOKUP($A39,[1]!Data,57,FALSE)</f>
        <v>0</v>
      </c>
      <c r="H39" s="39">
        <f>VLOOKUP($A39,[1]!Data,58,FALSE)</f>
        <v>1</v>
      </c>
      <c r="I39" s="79">
        <f>VLOOKUP($A39,[1]!Data,61,FALSE)</f>
        <v>7529</v>
      </c>
    </row>
    <row r="40" spans="1:9" x14ac:dyDescent="0.25">
      <c r="A40" s="36" t="s">
        <v>1009</v>
      </c>
      <c r="B40" s="37" t="s">
        <v>1536</v>
      </c>
      <c r="C40" s="38"/>
      <c r="D40" s="39">
        <v>21979</v>
      </c>
      <c r="E40" s="78">
        <f>VLOOKUP($A40,[1]!Data,55,FALSE)</f>
        <v>1</v>
      </c>
      <c r="F40" s="39">
        <f>VLOOKUP($A40,[1]!Data,56,FALSE)</f>
        <v>2</v>
      </c>
      <c r="G40" s="39">
        <f>VLOOKUP($A40,[1]!Data,57,FALSE)</f>
        <v>0</v>
      </c>
      <c r="H40" s="39">
        <f>VLOOKUP($A40,[1]!Data,58,FALSE)</f>
        <v>0</v>
      </c>
      <c r="I40" s="79">
        <f>VLOOKUP($A40,[1]!Data,61,FALSE)</f>
        <v>6697</v>
      </c>
    </row>
    <row r="41" spans="1:9" x14ac:dyDescent="0.25">
      <c r="A41" s="36" t="s">
        <v>1021</v>
      </c>
      <c r="B41" s="37" t="s">
        <v>1537</v>
      </c>
      <c r="C41" s="38"/>
      <c r="D41" s="39">
        <v>45510</v>
      </c>
      <c r="E41" s="78">
        <f>VLOOKUP($A41,[1]!Data,55,FALSE)</f>
        <v>1</v>
      </c>
      <c r="F41" s="39">
        <f>VLOOKUP($A41,[1]!Data,56,FALSE)</f>
        <v>1</v>
      </c>
      <c r="G41" s="39">
        <f>VLOOKUP($A41,[1]!Data,57,FALSE)</f>
        <v>0</v>
      </c>
      <c r="H41" s="39">
        <f>VLOOKUP($A41,[1]!Data,58,FALSE)</f>
        <v>0</v>
      </c>
      <c r="I41" s="79">
        <f>VLOOKUP($A41,[1]!Data,61,FALSE)</f>
        <v>4186</v>
      </c>
    </row>
    <row r="42" spans="1:9" x14ac:dyDescent="0.25">
      <c r="A42" s="36" t="s">
        <v>574</v>
      </c>
      <c r="B42" s="37" t="s">
        <v>1538</v>
      </c>
      <c r="C42" s="38"/>
      <c r="D42" s="39">
        <v>1053545</v>
      </c>
      <c r="E42" s="78">
        <f>VLOOKUP($A42,[1]!Data,55,FALSE)</f>
        <v>1</v>
      </c>
      <c r="F42" s="39">
        <f>VLOOKUP($A42,[1]!Data,56,FALSE)</f>
        <v>19</v>
      </c>
      <c r="G42" s="39">
        <f>VLOOKUP($A42,[1]!Data,57,FALSE)</f>
        <v>0</v>
      </c>
      <c r="H42" s="39">
        <f>VLOOKUP($A42,[1]!Data,58,FALSE)</f>
        <v>0</v>
      </c>
      <c r="I42" s="79">
        <f>VLOOKUP($A42,[1]!Data,61,FALSE)</f>
        <v>61912</v>
      </c>
    </row>
    <row r="43" spans="1:9" x14ac:dyDescent="0.25">
      <c r="A43" s="36" t="s">
        <v>455</v>
      </c>
      <c r="B43" s="37" t="s">
        <v>1539</v>
      </c>
      <c r="C43" s="38"/>
      <c r="D43" s="39">
        <v>89190</v>
      </c>
      <c r="E43" s="78">
        <f>VLOOKUP($A43,[1]!Data,55,FALSE)</f>
        <v>1</v>
      </c>
      <c r="F43" s="39">
        <f>VLOOKUP($A43,[1]!Data,56,FALSE)</f>
        <v>2</v>
      </c>
      <c r="G43" s="39">
        <f>VLOOKUP($A43,[1]!Data,57,FALSE)</f>
        <v>0</v>
      </c>
      <c r="H43" s="39">
        <f>VLOOKUP($A43,[1]!Data,58,FALSE)</f>
        <v>3</v>
      </c>
      <c r="I43" s="79">
        <f>VLOOKUP($A43,[1]!Data,61,FALSE)</f>
        <v>4628</v>
      </c>
    </row>
    <row r="44" spans="1:9" x14ac:dyDescent="0.25">
      <c r="A44" s="36" t="s">
        <v>1078</v>
      </c>
      <c r="B44" s="37" t="s">
        <v>1540</v>
      </c>
      <c r="C44" s="38"/>
      <c r="D44" s="39">
        <v>223608</v>
      </c>
      <c r="E44" s="78">
        <f>VLOOKUP($A44,[1]!Data,55,FALSE)</f>
        <v>1</v>
      </c>
      <c r="F44" s="39">
        <f>VLOOKUP($A44,[1]!Data,56,FALSE)</f>
        <v>3</v>
      </c>
      <c r="G44" s="39">
        <f>VLOOKUP($A44,[1]!Data,57,FALSE)</f>
        <v>0</v>
      </c>
      <c r="H44" s="39">
        <f>VLOOKUP($A44,[1]!Data,58,FALSE)</f>
        <v>1</v>
      </c>
      <c r="I44" s="79">
        <f>VLOOKUP($A44,[1]!Data,61,FALSE)</f>
        <v>11856</v>
      </c>
    </row>
    <row r="45" spans="1:9" x14ac:dyDescent="0.25">
      <c r="A45" s="36" t="s">
        <v>1108</v>
      </c>
      <c r="B45" s="37" t="s">
        <v>1541</v>
      </c>
      <c r="C45" s="38"/>
      <c r="D45" s="39">
        <v>193914</v>
      </c>
      <c r="E45" s="78">
        <f>VLOOKUP($A45,[1]!Data,55,FALSE)</f>
        <v>1</v>
      </c>
      <c r="F45" s="39">
        <f>VLOOKUP($A45,[1]!Data,56,FALSE)</f>
        <v>3</v>
      </c>
      <c r="G45" s="39">
        <f>VLOOKUP($A45,[1]!Data,57,FALSE)</f>
        <v>0</v>
      </c>
      <c r="H45" s="39">
        <f>VLOOKUP($A45,[1]!Data,58,FALSE)</f>
        <v>0</v>
      </c>
      <c r="I45" s="79">
        <f>VLOOKUP($A45,[1]!Data,61,FALSE)</f>
        <v>10852</v>
      </c>
    </row>
    <row r="46" spans="1:9" x14ac:dyDescent="0.25">
      <c r="A46" s="36" t="s">
        <v>1117</v>
      </c>
      <c r="B46" s="37" t="s">
        <v>1131</v>
      </c>
      <c r="C46" s="38"/>
      <c r="D46" s="39">
        <v>84161</v>
      </c>
      <c r="E46" s="78">
        <f>VLOOKUP($A46,[1]!Data,55,FALSE)</f>
        <v>1</v>
      </c>
      <c r="F46" s="39">
        <f>VLOOKUP($A46,[1]!Data,56,FALSE)</f>
        <v>2</v>
      </c>
      <c r="G46" s="39">
        <f>VLOOKUP($A46,[1]!Data,57,FALSE)</f>
        <v>0</v>
      </c>
      <c r="H46" s="39">
        <f>VLOOKUP($A46,[1]!Data,58,FALSE)</f>
        <v>0</v>
      </c>
      <c r="I46" s="79">
        <f>VLOOKUP($A46,[1]!Data,61,FALSE)</f>
        <v>6916</v>
      </c>
    </row>
    <row r="47" spans="1:9" x14ac:dyDescent="0.25">
      <c r="A47" s="36" t="s">
        <v>1133</v>
      </c>
      <c r="B47" s="37" t="s">
        <v>1542</v>
      </c>
      <c r="C47" s="38"/>
      <c r="D47" s="39">
        <v>59459</v>
      </c>
      <c r="E47" s="78">
        <f>VLOOKUP($A47,[1]!Data,55,FALSE)</f>
        <v>1</v>
      </c>
      <c r="F47" s="39">
        <f>VLOOKUP($A47,[1]!Data,56,FALSE)</f>
        <v>1</v>
      </c>
      <c r="G47" s="39">
        <f>VLOOKUP($A47,[1]!Data,57,FALSE)</f>
        <v>0</v>
      </c>
      <c r="H47" s="39">
        <f>VLOOKUP($A47,[1]!Data,58,FALSE)</f>
        <v>0</v>
      </c>
      <c r="I47" s="79">
        <f>VLOOKUP($A47,[1]!Data,61,FALSE)</f>
        <v>4556</v>
      </c>
    </row>
    <row r="48" spans="1:9" x14ac:dyDescent="0.25">
      <c r="A48" s="36" t="s">
        <v>1159</v>
      </c>
      <c r="B48" s="37" t="s">
        <v>1543</v>
      </c>
      <c r="C48" s="38"/>
      <c r="D48" s="39">
        <v>39728</v>
      </c>
      <c r="E48" s="78">
        <f>VLOOKUP($A48,[1]!Data,55,FALSE)</f>
        <v>1</v>
      </c>
      <c r="F48" s="39">
        <f>VLOOKUP($A48,[1]!Data,56,FALSE)</f>
        <v>0</v>
      </c>
      <c r="G48" s="39">
        <f>VLOOKUP($A48,[1]!Data,57,FALSE)</f>
        <v>0</v>
      </c>
      <c r="H48" s="39">
        <f>VLOOKUP($A48,[1]!Data,58,FALSE)</f>
        <v>1</v>
      </c>
      <c r="I48" s="79">
        <f>VLOOKUP($A48,[1]!Data,61,FALSE)</f>
        <v>3020</v>
      </c>
    </row>
    <row r="49" spans="1:9" x14ac:dyDescent="0.25">
      <c r="A49" s="36" t="s">
        <v>1335</v>
      </c>
      <c r="B49" s="37" t="s">
        <v>1544</v>
      </c>
      <c r="C49" s="38"/>
      <c r="D49" s="39">
        <v>171215</v>
      </c>
      <c r="E49" s="78">
        <f>VLOOKUP($A49,[1]!Data,55,FALSE)</f>
        <v>1</v>
      </c>
      <c r="F49" s="39">
        <f>VLOOKUP($A49,[1]!Data,56,FALSE)</f>
        <v>4</v>
      </c>
      <c r="G49" s="39">
        <f>VLOOKUP($A49,[1]!Data,57,FALSE)</f>
        <v>1</v>
      </c>
      <c r="H49" s="39">
        <f>VLOOKUP($A49,[1]!Data,58,FALSE)</f>
        <v>0</v>
      </c>
      <c r="I49" s="79">
        <f>VLOOKUP($A49,[1]!Data,61,FALSE)</f>
        <v>14478</v>
      </c>
    </row>
    <row r="50" spans="1:9" x14ac:dyDescent="0.25">
      <c r="A50" s="36" t="s">
        <v>1187</v>
      </c>
      <c r="B50" s="37" t="s">
        <v>1545</v>
      </c>
      <c r="C50" s="38"/>
      <c r="D50" s="39">
        <v>21030</v>
      </c>
      <c r="E50" s="78">
        <f>VLOOKUP($A50,[1]!Data,55,FALSE)</f>
        <v>1</v>
      </c>
      <c r="F50" s="39">
        <f>VLOOKUP($A50,[1]!Data,56,FALSE)</f>
        <v>1</v>
      </c>
      <c r="G50" s="39">
        <f>VLOOKUP($A50,[1]!Data,57,FALSE)</f>
        <v>0</v>
      </c>
      <c r="H50" s="39">
        <f>VLOOKUP($A50,[1]!Data,58,FALSE)</f>
        <v>1</v>
      </c>
      <c r="I50" s="79">
        <f>VLOOKUP($A50,[1]!Data,61,FALSE)</f>
        <v>5350</v>
      </c>
    </row>
    <row r="51" spans="1:9" x14ac:dyDescent="0.25">
      <c r="A51" s="36" t="s">
        <v>1210</v>
      </c>
      <c r="B51" s="37" t="s">
        <v>1546</v>
      </c>
      <c r="C51" s="38"/>
      <c r="D51" s="39">
        <v>143701</v>
      </c>
      <c r="E51" s="78">
        <f>VLOOKUP($A51,[1]!Data,55,FALSE)</f>
        <v>1</v>
      </c>
      <c r="F51" s="39">
        <f>VLOOKUP($A51,[1]!Data,56,FALSE)</f>
        <v>6</v>
      </c>
      <c r="G51" s="39">
        <f>VLOOKUP($A51,[1]!Data,57,FALSE)</f>
        <v>0</v>
      </c>
      <c r="H51" s="39">
        <f>VLOOKUP($A51,[1]!Data,58,FALSE)</f>
        <v>3</v>
      </c>
      <c r="I51" s="79">
        <f>VLOOKUP($A51,[1]!Data,61,FALSE)</f>
        <v>16406</v>
      </c>
    </row>
    <row r="52" spans="1:9" x14ac:dyDescent="0.25">
      <c r="A52" s="36" t="s">
        <v>1236</v>
      </c>
      <c r="B52" s="37" t="s">
        <v>1547</v>
      </c>
      <c r="C52" s="38"/>
      <c r="D52" s="39">
        <v>132657</v>
      </c>
      <c r="E52" s="78">
        <f>VLOOKUP($A52,[1]!Data,55,FALSE)</f>
        <v>1</v>
      </c>
      <c r="F52" s="39">
        <f>VLOOKUP($A52,[1]!Data,56,FALSE)</f>
        <v>6</v>
      </c>
      <c r="G52" s="39">
        <f>VLOOKUP($A52,[1]!Data,57,FALSE)</f>
        <v>0</v>
      </c>
      <c r="H52" s="39">
        <f>VLOOKUP($A52,[1]!Data,58,FALSE)</f>
        <v>2</v>
      </c>
      <c r="I52" s="79">
        <f>VLOOKUP($A52,[1]!Data,61,FALSE)</f>
        <v>12314</v>
      </c>
    </row>
    <row r="53" spans="1:9" x14ac:dyDescent="0.25">
      <c r="A53" s="36" t="s">
        <v>1249</v>
      </c>
      <c r="B53" s="37" t="s">
        <v>1548</v>
      </c>
      <c r="C53" s="38"/>
      <c r="D53" s="39">
        <v>91891</v>
      </c>
      <c r="E53" s="78">
        <f>VLOOKUP($A53,[1]!Data,55,FALSE)</f>
        <v>0</v>
      </c>
      <c r="F53" s="39">
        <f>VLOOKUP($A53,[1]!Data,56,FALSE)</f>
        <v>4</v>
      </c>
      <c r="G53" s="39">
        <f>VLOOKUP($A53,[1]!Data,57,FALSE)</f>
        <v>1</v>
      </c>
      <c r="H53" s="39">
        <f>VLOOKUP($A53,[1]!Data,58,FALSE)</f>
        <v>1</v>
      </c>
      <c r="I53" s="79">
        <f>VLOOKUP($A53,[1]!Data,61,FALSE)</f>
        <v>12324</v>
      </c>
    </row>
    <row r="54" spans="1:9" x14ac:dyDescent="0.25">
      <c r="A54" s="36" t="s">
        <v>1265</v>
      </c>
      <c r="B54" s="37" t="s">
        <v>1549</v>
      </c>
      <c r="C54" s="38"/>
      <c r="D54" s="39">
        <v>140970</v>
      </c>
      <c r="E54" s="78">
        <f>VLOOKUP($A54,[1]!Data,55,FALSE)</f>
        <v>1</v>
      </c>
      <c r="F54" s="39">
        <f>VLOOKUP($A54,[1]!Data,56,FALSE)</f>
        <v>2</v>
      </c>
      <c r="G54" s="39">
        <f>VLOOKUP($A54,[1]!Data,57,FALSE)</f>
        <v>1</v>
      </c>
      <c r="H54" s="39">
        <f>VLOOKUP($A54,[1]!Data,58,FALSE)</f>
        <v>1</v>
      </c>
      <c r="I54" s="79">
        <f>VLOOKUP($A54,[1]!Data,61,FALSE)</f>
        <v>9564</v>
      </c>
    </row>
    <row r="55" spans="1:9" x14ac:dyDescent="0.25">
      <c r="A55" s="36" t="s">
        <v>1280</v>
      </c>
      <c r="B55" s="37" t="s">
        <v>1550</v>
      </c>
      <c r="C55" s="38"/>
      <c r="D55" s="39">
        <v>67703</v>
      </c>
      <c r="E55" s="78">
        <f>VLOOKUP($A55,[1]!Data,55,FALSE)</f>
        <v>1</v>
      </c>
      <c r="F55" s="39">
        <f>VLOOKUP($A55,[1]!Data,56,FALSE)</f>
        <v>2</v>
      </c>
      <c r="G55" s="39">
        <f>VLOOKUP($A55,[1]!Data,57,FALSE)</f>
        <v>0</v>
      </c>
      <c r="H55" s="39">
        <f>VLOOKUP($A55,[1]!Data,58,FALSE)</f>
        <v>1</v>
      </c>
      <c r="I55" s="79">
        <f>VLOOKUP($A55,[1]!Data,61,FALSE)</f>
        <v>6734</v>
      </c>
    </row>
    <row r="56" spans="1:9" x14ac:dyDescent="0.25">
      <c r="A56" s="36" t="s">
        <v>1292</v>
      </c>
      <c r="B56" s="37" t="s">
        <v>1551</v>
      </c>
      <c r="C56" s="38"/>
      <c r="D56" s="39">
        <v>63499</v>
      </c>
      <c r="E56" s="78">
        <f>VLOOKUP($A56,[1]!Data,55,FALSE)</f>
        <v>1</v>
      </c>
      <c r="F56" s="39">
        <f>VLOOKUP($A56,[1]!Data,56,FALSE)</f>
        <v>3</v>
      </c>
      <c r="G56" s="39">
        <f>VLOOKUP($A56,[1]!Data,57,FALSE)</f>
        <v>0</v>
      </c>
      <c r="H56" s="39">
        <f>VLOOKUP($A56,[1]!Data,58,FALSE)</f>
        <v>2</v>
      </c>
      <c r="I56" s="79">
        <f>VLOOKUP($A56,[1]!Data,61,FALSE)</f>
        <v>7644</v>
      </c>
    </row>
    <row r="57" spans="1:9" x14ac:dyDescent="0.25">
      <c r="A57" s="36" t="s">
        <v>1323</v>
      </c>
      <c r="B57" s="37" t="s">
        <v>1552</v>
      </c>
      <c r="C57" s="38"/>
      <c r="D57" s="39">
        <v>35789</v>
      </c>
      <c r="E57" s="78">
        <f>VLOOKUP($A57,[1]!Data,55,FALSE)</f>
        <v>1</v>
      </c>
      <c r="F57" s="39">
        <f>VLOOKUP($A57,[1]!Data,56,FALSE)</f>
        <v>0</v>
      </c>
      <c r="G57" s="39">
        <f>VLOOKUP($A57,[1]!Data,57,FALSE)</f>
        <v>1</v>
      </c>
      <c r="H57" s="39">
        <f>VLOOKUP($A57,[1]!Data,58,FALSE)</f>
        <v>0</v>
      </c>
      <c r="I57" s="79">
        <f>VLOOKUP($A57,[1]!Data,61,FALSE)</f>
        <v>2782</v>
      </c>
    </row>
    <row r="58" spans="1:9" x14ac:dyDescent="0.25">
      <c r="A58" s="36" t="s">
        <v>1360</v>
      </c>
      <c r="B58" s="37" t="s">
        <v>1553</v>
      </c>
      <c r="C58" s="38"/>
      <c r="D58" s="39">
        <v>61751</v>
      </c>
      <c r="E58" s="78">
        <f>VLOOKUP($A58,[1]!Data,55,FALSE)</f>
        <v>1</v>
      </c>
      <c r="F58" s="39">
        <f>VLOOKUP($A58,[1]!Data,56,FALSE)</f>
        <v>4</v>
      </c>
      <c r="G58" s="39">
        <f>VLOOKUP($A58,[1]!Data,57,FALSE)</f>
        <v>0</v>
      </c>
      <c r="H58" s="39">
        <f>VLOOKUP($A58,[1]!Data,58,FALSE)</f>
        <v>0</v>
      </c>
      <c r="I58" s="79">
        <f>VLOOKUP($A58,[1]!Data,61,FALSE)</f>
        <v>8064</v>
      </c>
    </row>
    <row r="59" spans="1:9" x14ac:dyDescent="0.25">
      <c r="A59" s="36" t="s">
        <v>1371</v>
      </c>
      <c r="B59" s="37" t="s">
        <v>1554</v>
      </c>
      <c r="C59" s="38"/>
      <c r="D59" s="39">
        <v>34139</v>
      </c>
      <c r="E59" s="78">
        <f>VLOOKUP($A59,[1]!Data,55,FALSE)</f>
        <v>1</v>
      </c>
      <c r="F59" s="39">
        <f>VLOOKUP($A59,[1]!Data,56,FALSE)</f>
        <v>0</v>
      </c>
      <c r="G59" s="39">
        <f>VLOOKUP($A59,[1]!Data,57,FALSE)</f>
        <v>1</v>
      </c>
      <c r="H59" s="39">
        <f>VLOOKUP($A59,[1]!Data,58,FALSE)</f>
        <v>0</v>
      </c>
      <c r="I59" s="79">
        <f>VLOOKUP($A59,[1]!Data,61,FALSE)</f>
        <v>3440</v>
      </c>
    </row>
    <row r="60" spans="1:9" x14ac:dyDescent="0.25">
      <c r="A60" s="36" t="s">
        <v>1383</v>
      </c>
      <c r="B60" s="37" t="s">
        <v>1555</v>
      </c>
      <c r="C60" s="38"/>
      <c r="D60" s="39">
        <v>223915</v>
      </c>
      <c r="E60" s="78">
        <f>VLOOKUP($A60,[1]!Data,55,FALSE)</f>
        <v>1</v>
      </c>
      <c r="F60" s="39">
        <f>VLOOKUP($A60,[1]!Data,56,FALSE)</f>
        <v>3</v>
      </c>
      <c r="G60" s="39">
        <f>VLOOKUP($A60,[1]!Data,57,FALSE)</f>
        <v>0</v>
      </c>
      <c r="H60" s="39">
        <f>VLOOKUP($A60,[1]!Data,58,FALSE)</f>
        <v>0</v>
      </c>
      <c r="I60" s="79">
        <f>VLOOKUP($A60,[1]!Data,61,FALSE)</f>
        <v>10772</v>
      </c>
    </row>
    <row r="61" spans="1:9" x14ac:dyDescent="0.25">
      <c r="A61" s="36" t="s">
        <v>1146</v>
      </c>
      <c r="B61" s="37" t="s">
        <v>1556</v>
      </c>
      <c r="C61" s="38"/>
      <c r="D61" s="39">
        <v>44945</v>
      </c>
      <c r="E61" s="78">
        <f>VLOOKUP($A61,[1]!Data,55,FALSE)</f>
        <v>1</v>
      </c>
      <c r="F61" s="39">
        <f>VLOOKUP($A61,[1]!Data,56,FALSE)</f>
        <v>0</v>
      </c>
      <c r="G61" s="39">
        <f>VLOOKUP($A61,[1]!Data,57,FALSE)</f>
        <v>0</v>
      </c>
      <c r="H61" s="39">
        <f>VLOOKUP($A61,[1]!Data,58,FALSE)</f>
        <v>0</v>
      </c>
      <c r="I61" s="79">
        <f>VLOOKUP($A61,[1]!Data,61,FALSE)</f>
        <v>2500</v>
      </c>
    </row>
    <row r="62" spans="1:9" x14ac:dyDescent="0.25">
      <c r="A62" s="36" t="s">
        <v>1394</v>
      </c>
      <c r="B62" s="37" t="s">
        <v>1557</v>
      </c>
      <c r="C62" s="38"/>
      <c r="D62" s="39">
        <v>1026748</v>
      </c>
      <c r="E62" s="78">
        <f>VLOOKUP($A62,[1]!Data,55,FALSE)</f>
        <v>0</v>
      </c>
      <c r="F62" s="39">
        <f>VLOOKUP($A62,[1]!Data,56,FALSE)</f>
        <v>22</v>
      </c>
      <c r="G62" s="39">
        <f>VLOOKUP($A62,[1]!Data,57,FALSE)</f>
        <v>0</v>
      </c>
      <c r="H62" s="39">
        <f>VLOOKUP($A62,[1]!Data,58,FALSE)</f>
        <v>1</v>
      </c>
      <c r="I62" s="79">
        <f>VLOOKUP($A62,[1]!Data,61,FALSE)</f>
        <v>64707</v>
      </c>
    </row>
    <row r="63" spans="1:9" x14ac:dyDescent="0.25">
      <c r="A63" s="36" t="s">
        <v>1408</v>
      </c>
      <c r="B63" s="37" t="s">
        <v>1558</v>
      </c>
      <c r="C63" s="38"/>
      <c r="D63" s="39">
        <v>20121</v>
      </c>
      <c r="E63" s="78">
        <f>VLOOKUP($A63,[1]!Data,55,FALSE)</f>
        <v>1</v>
      </c>
      <c r="F63" s="39">
        <f>VLOOKUP($A63,[1]!Data,56,FALSE)</f>
        <v>0</v>
      </c>
      <c r="G63" s="39">
        <f>VLOOKUP($A63,[1]!Data,57,FALSE)</f>
        <v>0</v>
      </c>
      <c r="H63" s="39">
        <f>VLOOKUP($A63,[1]!Data,58,FALSE)</f>
        <v>1</v>
      </c>
      <c r="I63" s="79">
        <f>VLOOKUP($A63,[1]!Data,61,FALSE)</f>
        <v>2704</v>
      </c>
    </row>
    <row r="64" spans="1:9" x14ac:dyDescent="0.25">
      <c r="A64" s="36" t="s">
        <v>1420</v>
      </c>
      <c r="B64" s="37" t="s">
        <v>1559</v>
      </c>
      <c r="C64" s="38"/>
      <c r="D64" s="39">
        <v>124808</v>
      </c>
      <c r="E64" s="78">
        <f>VLOOKUP($A64,[1]!Data,55,FALSE)</f>
        <v>1</v>
      </c>
      <c r="F64" s="39">
        <f>VLOOKUP($A64,[1]!Data,56,FALSE)</f>
        <v>3</v>
      </c>
      <c r="G64" s="39">
        <f>VLOOKUP($A64,[1]!Data,57,FALSE)</f>
        <v>0</v>
      </c>
      <c r="H64" s="39">
        <f>VLOOKUP($A64,[1]!Data,58,FALSE)</f>
        <v>1</v>
      </c>
      <c r="I64" s="79">
        <f>VLOOKUP($A64,[1]!Data,61,FALSE)</f>
        <v>8128</v>
      </c>
    </row>
    <row r="65" spans="1:9" x14ac:dyDescent="0.25">
      <c r="A65" s="36" t="s">
        <v>1432</v>
      </c>
      <c r="B65" s="37" t="s">
        <v>1560</v>
      </c>
      <c r="C65" s="37"/>
      <c r="D65" s="39">
        <v>81758</v>
      </c>
      <c r="E65" s="80">
        <f>VLOOKUP($A65,[1]!Data,55,FALSE)</f>
        <v>1</v>
      </c>
      <c r="F65" s="81">
        <f>VLOOKUP($A65,[1]!Data,56,FALSE)</f>
        <v>5</v>
      </c>
      <c r="G65" s="81">
        <f>VLOOKUP($A65,[1]!Data,57,FALSE)</f>
        <v>1</v>
      </c>
      <c r="H65" s="81">
        <f>VLOOKUP($A65,[1]!Data,58,FALSE)</f>
        <v>0</v>
      </c>
      <c r="I65" s="82">
        <f>VLOOKUP($A65,[1]!Data,61,FALSE)</f>
        <v>11066</v>
      </c>
    </row>
    <row r="66" spans="1:9" ht="15.75" thickBot="1" x14ac:dyDescent="0.3">
      <c r="A66" s="599"/>
      <c r="B66" s="600"/>
      <c r="C66" s="40" t="s">
        <v>1453</v>
      </c>
      <c r="D66" s="41">
        <f>SUM(D8:D65)</f>
        <v>8503636</v>
      </c>
      <c r="E66" s="75"/>
      <c r="F66" s="75"/>
      <c r="G66" s="75"/>
      <c r="H66" s="76" t="s">
        <v>1454</v>
      </c>
      <c r="I66" s="77">
        <f>AVERAGE(I8:I65)</f>
        <v>12049.793103448275</v>
      </c>
    </row>
    <row r="67" spans="1:9" ht="16.5" thickTop="1" thickBot="1" x14ac:dyDescent="0.3">
      <c r="A67" s="601" t="s">
        <v>1455</v>
      </c>
      <c r="B67" s="602"/>
      <c r="C67" s="46"/>
      <c r="D67" s="47"/>
      <c r="E67" s="48"/>
      <c r="F67" s="48"/>
      <c r="G67" s="48"/>
      <c r="H67" s="49"/>
      <c r="I67" s="50"/>
    </row>
    <row r="68" spans="1:9" ht="15.75" thickTop="1" x14ac:dyDescent="0.25">
      <c r="A68" s="51" t="s">
        <v>364</v>
      </c>
      <c r="B68" s="51" t="s">
        <v>1561</v>
      </c>
      <c r="C68" s="52"/>
      <c r="D68" s="39">
        <v>76564</v>
      </c>
      <c r="E68" s="78">
        <f>VLOOKUP($A68,[1]!Data,55,FALSE)</f>
        <v>1</v>
      </c>
      <c r="F68" s="39">
        <f>VLOOKUP($A68,[1]!Data,56,FALSE)</f>
        <v>6</v>
      </c>
      <c r="G68" s="39">
        <f>VLOOKUP($A68,[1]!Data,57,FALSE)</f>
        <v>0</v>
      </c>
      <c r="H68" s="39">
        <f>VLOOKUP($A68,[1]!Data,58,FALSE)</f>
        <v>2</v>
      </c>
      <c r="I68" s="79">
        <f>VLOOKUP($A68,[1]!Data,61,FALSE)</f>
        <v>15106</v>
      </c>
    </row>
    <row r="69" spans="1:9" x14ac:dyDescent="0.25">
      <c r="A69" s="51" t="s">
        <v>409</v>
      </c>
      <c r="B69" s="51" t="s">
        <v>1562</v>
      </c>
      <c r="C69" s="52"/>
      <c r="D69" s="39">
        <v>51506</v>
      </c>
      <c r="E69" s="78">
        <f>VLOOKUP($A69,[1]!Data,55,FALSE)</f>
        <v>0</v>
      </c>
      <c r="F69" s="39">
        <f>VLOOKUP($A69,[1]!Data,56,FALSE)</f>
        <v>4</v>
      </c>
      <c r="G69" s="39">
        <f>VLOOKUP($A69,[1]!Data,57,FALSE)</f>
        <v>1</v>
      </c>
      <c r="H69" s="39">
        <f>VLOOKUP($A69,[1]!Data,58,FALSE)</f>
        <v>1</v>
      </c>
      <c r="I69" s="79">
        <f>VLOOKUP($A69,[1]!Data,61,FALSE)</f>
        <v>11832</v>
      </c>
    </row>
    <row r="70" spans="1:9" x14ac:dyDescent="0.25">
      <c r="A70" s="51" t="s">
        <v>393</v>
      </c>
      <c r="B70" s="51" t="s">
        <v>1563</v>
      </c>
      <c r="C70" s="52"/>
      <c r="D70" s="39">
        <v>152363</v>
      </c>
      <c r="E70" s="78">
        <f>VLOOKUP($A70,[1]!Data,55,FALSE)</f>
        <v>0</v>
      </c>
      <c r="F70" s="39">
        <f>VLOOKUP($A70,[1]!Data,56,FALSE)</f>
        <v>5</v>
      </c>
      <c r="G70" s="39">
        <f>VLOOKUP($A70,[1]!Data,57,FALSE)</f>
        <v>0</v>
      </c>
      <c r="H70" s="39">
        <f>VLOOKUP($A70,[1]!Data,58,FALSE)</f>
        <v>3</v>
      </c>
      <c r="I70" s="79">
        <f>VLOOKUP($A70,[1]!Data,61,FALSE)</f>
        <v>11300</v>
      </c>
    </row>
    <row r="71" spans="1:9" x14ac:dyDescent="0.25">
      <c r="A71" s="51" t="s">
        <v>428</v>
      </c>
      <c r="B71" s="51" t="s">
        <v>1564</v>
      </c>
      <c r="C71" s="52"/>
      <c r="D71" s="39">
        <v>67276</v>
      </c>
      <c r="E71" s="78">
        <f>VLOOKUP($A71,[1]!Data,55,FALSE)</f>
        <v>1</v>
      </c>
      <c r="F71" s="39">
        <f>VLOOKUP($A71,[1]!Data,56,FALSE)</f>
        <v>7</v>
      </c>
      <c r="G71" s="39">
        <f>VLOOKUP($A71,[1]!Data,57,FALSE)</f>
        <v>0</v>
      </c>
      <c r="H71" s="39">
        <f>VLOOKUP($A71,[1]!Data,58,FALSE)</f>
        <v>1</v>
      </c>
      <c r="I71" s="79">
        <f>VLOOKUP($A71,[1]!Data,61,FALSE)</f>
        <v>15496</v>
      </c>
    </row>
    <row r="72" spans="1:9" x14ac:dyDescent="0.25">
      <c r="A72" s="51" t="s">
        <v>629</v>
      </c>
      <c r="B72" s="51" t="s">
        <v>1565</v>
      </c>
      <c r="C72" s="52"/>
      <c r="D72" s="39">
        <v>186954</v>
      </c>
      <c r="E72" s="78">
        <f>VLOOKUP($A72,[1]!Data,55,FALSE)</f>
        <v>0</v>
      </c>
      <c r="F72" s="39">
        <f>VLOOKUP($A72,[1]!Data,56,FALSE)</f>
        <v>10</v>
      </c>
      <c r="G72" s="39">
        <f>VLOOKUP($A72,[1]!Data,57,FALSE)</f>
        <v>0</v>
      </c>
      <c r="H72" s="39">
        <f>VLOOKUP($A72,[1]!Data,58,FALSE)</f>
        <v>2</v>
      </c>
      <c r="I72" s="79">
        <f>VLOOKUP($A72,[1]!Data,61,FALSE)</f>
        <v>25094</v>
      </c>
    </row>
    <row r="73" spans="1:9" x14ac:dyDescent="0.25">
      <c r="A73" s="51" t="s">
        <v>715</v>
      </c>
      <c r="B73" s="51" t="s">
        <v>1566</v>
      </c>
      <c r="C73" s="52"/>
      <c r="D73" s="39">
        <v>113059</v>
      </c>
      <c r="E73" s="78">
        <f>VLOOKUP($A73,[1]!Data,55,FALSE)</f>
        <v>1</v>
      </c>
      <c r="F73" s="39">
        <f>VLOOKUP($A73,[1]!Data,56,FALSE)</f>
        <v>7</v>
      </c>
      <c r="G73" s="39">
        <f>VLOOKUP($A73,[1]!Data,57,FALSE)</f>
        <v>1</v>
      </c>
      <c r="H73" s="39">
        <f>VLOOKUP($A73,[1]!Data,58,FALSE)</f>
        <v>2</v>
      </c>
      <c r="I73" s="79">
        <f>VLOOKUP($A73,[1]!Data,61,FALSE)</f>
        <v>19598</v>
      </c>
    </row>
    <row r="74" spans="1:9" x14ac:dyDescent="0.25">
      <c r="A74" s="51" t="s">
        <v>754</v>
      </c>
      <c r="B74" s="51" t="s">
        <v>1567</v>
      </c>
      <c r="C74" s="52"/>
      <c r="D74" s="39">
        <v>168521</v>
      </c>
      <c r="E74" s="78">
        <f>VLOOKUP($A74,[1]!Data,55,FALSE)</f>
        <v>0</v>
      </c>
      <c r="F74" s="39">
        <f>VLOOKUP($A74,[1]!Data,56,FALSE)</f>
        <v>6</v>
      </c>
      <c r="G74" s="39">
        <f>VLOOKUP($A74,[1]!Data,57,FALSE)</f>
        <v>0</v>
      </c>
      <c r="H74" s="39">
        <f>VLOOKUP($A74,[1]!Data,58,FALSE)</f>
        <v>1</v>
      </c>
      <c r="I74" s="79">
        <f>VLOOKUP($A74,[1]!Data,61,FALSE)</f>
        <v>12901</v>
      </c>
    </row>
    <row r="75" spans="1:9" x14ac:dyDescent="0.25">
      <c r="A75" s="51" t="s">
        <v>1048</v>
      </c>
      <c r="B75" s="51" t="s">
        <v>1568</v>
      </c>
      <c r="C75" s="52"/>
      <c r="D75" s="39">
        <v>48746</v>
      </c>
      <c r="E75" s="78">
        <f>VLOOKUP($A75,[1]!Data,55,FALSE)</f>
        <v>0</v>
      </c>
      <c r="F75" s="39">
        <f>VLOOKUP($A75,[1]!Data,56,FALSE)</f>
        <v>5</v>
      </c>
      <c r="G75" s="39">
        <f>VLOOKUP($A75,[1]!Data,57,FALSE)</f>
        <v>1</v>
      </c>
      <c r="H75" s="39">
        <f>VLOOKUP($A75,[1]!Data,58,FALSE)</f>
        <v>0</v>
      </c>
      <c r="I75" s="79">
        <f>VLOOKUP($A75,[1]!Data,61,FALSE)</f>
        <v>11986</v>
      </c>
    </row>
    <row r="76" spans="1:9" x14ac:dyDescent="0.25">
      <c r="A76" s="51" t="s">
        <v>1064</v>
      </c>
      <c r="B76" s="51" t="s">
        <v>1569</v>
      </c>
      <c r="C76" s="52"/>
      <c r="D76" s="39">
        <v>89362</v>
      </c>
      <c r="E76" s="78">
        <f>VLOOKUP($A76,[1]!Data,55,FALSE)</f>
        <v>1</v>
      </c>
      <c r="F76" s="39">
        <f>VLOOKUP($A76,[1]!Data,56,FALSE)</f>
        <v>7</v>
      </c>
      <c r="G76" s="39">
        <f>VLOOKUP($A76,[1]!Data,57,FALSE)</f>
        <v>0</v>
      </c>
      <c r="H76" s="39">
        <f>VLOOKUP($A76,[1]!Data,58,FALSE)</f>
        <v>4</v>
      </c>
      <c r="I76" s="79">
        <f>VLOOKUP($A76,[1]!Data,61,FALSE)</f>
        <v>17368</v>
      </c>
    </row>
    <row r="77" spans="1:9" x14ac:dyDescent="0.25">
      <c r="A77" s="51" t="s">
        <v>1093</v>
      </c>
      <c r="B77" s="51" t="s">
        <v>1570</v>
      </c>
      <c r="C77" s="52"/>
      <c r="D77" s="39">
        <v>168521</v>
      </c>
      <c r="E77" s="78">
        <f>VLOOKUP($A77,[1]!Data,55,FALSE)</f>
        <v>0</v>
      </c>
      <c r="F77" s="39">
        <f>VLOOKUP($A77,[1]!Data,56,FALSE)</f>
        <v>13</v>
      </c>
      <c r="G77" s="39">
        <f>VLOOKUP($A77,[1]!Data,57,FALSE)</f>
        <v>1</v>
      </c>
      <c r="H77" s="39">
        <f>VLOOKUP($A77,[1]!Data,58,FALSE)</f>
        <v>0</v>
      </c>
      <c r="I77" s="79">
        <f>VLOOKUP($A77,[1]!Data,61,FALSE)</f>
        <v>33362</v>
      </c>
    </row>
    <row r="78" spans="1:9" x14ac:dyDescent="0.25">
      <c r="A78" s="51" t="s">
        <v>1172</v>
      </c>
      <c r="B78" s="51" t="s">
        <v>1571</v>
      </c>
      <c r="C78" s="52"/>
      <c r="D78" s="39">
        <v>44532</v>
      </c>
      <c r="E78" s="78">
        <f>VLOOKUP($A78,[1]!Data,55,FALSE)</f>
        <v>0</v>
      </c>
      <c r="F78" s="39">
        <f>VLOOKUP($A78,[1]!Data,56,FALSE)</f>
        <v>4</v>
      </c>
      <c r="G78" s="39">
        <f>VLOOKUP($A78,[1]!Data,57,FALSE)</f>
        <v>0</v>
      </c>
      <c r="H78" s="39">
        <f>VLOOKUP($A78,[1]!Data,58,FALSE)</f>
        <v>1</v>
      </c>
      <c r="I78" s="79">
        <f>VLOOKUP($A78,[1]!Data,61,FALSE)</f>
        <v>9334</v>
      </c>
    </row>
    <row r="79" spans="1:9" x14ac:dyDescent="0.25">
      <c r="A79" s="51" t="s">
        <v>1305</v>
      </c>
      <c r="B79" s="51" t="s">
        <v>1572</v>
      </c>
      <c r="C79" s="52"/>
      <c r="D79" s="39">
        <v>232868</v>
      </c>
      <c r="E79" s="78">
        <f>VLOOKUP($A79,[1]!Data,55,FALSE)</f>
        <v>0</v>
      </c>
      <c r="F79" s="39">
        <f>VLOOKUP($A79,[1]!Data,56,FALSE)</f>
        <v>15</v>
      </c>
      <c r="G79" s="39">
        <f>VLOOKUP($A79,[1]!Data,57,FALSE)</f>
        <v>2</v>
      </c>
      <c r="H79" s="39">
        <f>VLOOKUP($A79,[1]!Data,58,FALSE)</f>
        <v>1</v>
      </c>
      <c r="I79" s="79">
        <f>VLOOKUP($A79,[1]!Data,61,FALSE)</f>
        <v>27523</v>
      </c>
    </row>
    <row r="80" spans="1:9" ht="15.75" thickBot="1" x14ac:dyDescent="0.3">
      <c r="A80" s="599"/>
      <c r="B80" s="600"/>
      <c r="C80" s="53" t="s">
        <v>1453</v>
      </c>
      <c r="D80" s="41">
        <f>SUM(D68:D79)</f>
        <v>1400272</v>
      </c>
      <c r="E80" s="42"/>
      <c r="F80" s="42"/>
      <c r="G80" s="42"/>
      <c r="H80" s="43" t="s">
        <v>1454</v>
      </c>
      <c r="I80" s="44">
        <f>AVERAGE(I68:I79)</f>
        <v>17575</v>
      </c>
    </row>
    <row r="81" spans="1:9" ht="16.5" thickTop="1" thickBot="1" x14ac:dyDescent="0.3">
      <c r="A81" s="54"/>
      <c r="B81" s="571" t="s">
        <v>1456</v>
      </c>
      <c r="C81" s="46"/>
      <c r="D81" s="47"/>
      <c r="E81" s="48"/>
      <c r="F81" s="48"/>
      <c r="G81" s="48"/>
      <c r="H81" s="49"/>
      <c r="I81" s="50"/>
    </row>
    <row r="82" spans="1:9" ht="15.75" thickTop="1" x14ac:dyDescent="0.25">
      <c r="A82" s="51" t="s">
        <v>557</v>
      </c>
      <c r="B82" s="51" t="s">
        <v>1573</v>
      </c>
      <c r="C82" s="52"/>
      <c r="D82" s="39">
        <v>59852</v>
      </c>
      <c r="E82" s="78">
        <f>VLOOKUP($A82,[1]!Data,55,FALSE)</f>
        <v>1</v>
      </c>
      <c r="F82" s="39">
        <f>VLOOKUP($A82,[1]!Data,56,FALSE)</f>
        <v>0</v>
      </c>
      <c r="G82" s="39">
        <f>VLOOKUP($A82,[1]!Data,57,FALSE)</f>
        <v>0</v>
      </c>
      <c r="H82" s="39">
        <f>VLOOKUP($A82,[1]!Data,58,FALSE)</f>
        <v>1</v>
      </c>
      <c r="I82" s="79">
        <f>VLOOKUP($A82,[1]!Data,61,FALSE)</f>
        <v>3489</v>
      </c>
    </row>
    <row r="83" spans="1:9" x14ac:dyDescent="0.25">
      <c r="A83" s="51" t="s">
        <v>946</v>
      </c>
      <c r="B83" s="51" t="s">
        <v>1457</v>
      </c>
      <c r="C83" s="52"/>
      <c r="D83" s="39">
        <v>19427</v>
      </c>
      <c r="E83" s="78">
        <f>VLOOKUP($A83,[1]!Data,55,FALSE)</f>
        <v>1</v>
      </c>
      <c r="F83" s="39">
        <f>VLOOKUP($A83,[1]!Data,56,FALSE)</f>
        <v>0</v>
      </c>
      <c r="G83" s="39">
        <f>VLOOKUP($A83,[1]!Data,57,FALSE)</f>
        <v>0</v>
      </c>
      <c r="H83" s="39">
        <f>VLOOKUP($A83,[1]!Data,58,FALSE)</f>
        <v>0</v>
      </c>
      <c r="I83" s="79">
        <f>VLOOKUP($A83,[1]!Data,61,FALSE)</f>
        <v>2756</v>
      </c>
    </row>
    <row r="84" spans="1:9" x14ac:dyDescent="0.25">
      <c r="A84" s="51" t="s">
        <v>743</v>
      </c>
      <c r="B84" s="51" t="s">
        <v>1574</v>
      </c>
      <c r="C84" s="52"/>
      <c r="D84" s="39">
        <v>4670</v>
      </c>
      <c r="E84" s="78">
        <f>VLOOKUP($A84,[1]!Data,55,FALSE)</f>
        <v>1</v>
      </c>
      <c r="F84" s="39">
        <f>VLOOKUP($A84,[1]!Data,56,FALSE)</f>
        <v>0</v>
      </c>
      <c r="G84" s="39">
        <f>VLOOKUP($A84,[1]!Data,57,FALSE)</f>
        <v>0</v>
      </c>
      <c r="H84" s="39">
        <f>VLOOKUP($A84,[1]!Data,58,FALSE)</f>
        <v>0</v>
      </c>
      <c r="I84" s="79">
        <f>VLOOKUP($A84,[1]!Data,61,FALSE)</f>
        <v>2548</v>
      </c>
    </row>
    <row r="85" spans="1:9" x14ac:dyDescent="0.25">
      <c r="A85" s="51" t="s">
        <v>917</v>
      </c>
      <c r="B85" s="51" t="s">
        <v>1575</v>
      </c>
      <c r="C85" s="52"/>
      <c r="D85" s="39">
        <v>40453</v>
      </c>
      <c r="E85" s="78">
        <f>VLOOKUP($A85,[1]!Data,55,FALSE)</f>
        <v>1</v>
      </c>
      <c r="F85" s="39">
        <f>VLOOKUP($A85,[1]!Data,56,FALSE)</f>
        <v>1</v>
      </c>
      <c r="G85" s="39">
        <f>VLOOKUP($A85,[1]!Data,57,FALSE)</f>
        <v>0</v>
      </c>
      <c r="H85" s="39">
        <f>VLOOKUP($A85,[1]!Data,58,FALSE)</f>
        <v>2</v>
      </c>
      <c r="I85" s="79">
        <f>VLOOKUP($A85,[1]!Data,61,FALSE)</f>
        <v>6656</v>
      </c>
    </row>
    <row r="86" spans="1:9" x14ac:dyDescent="0.25">
      <c r="A86" s="51" t="s">
        <v>932</v>
      </c>
      <c r="B86" s="51" t="s">
        <v>1576</v>
      </c>
      <c r="C86" s="52"/>
      <c r="D86" s="39">
        <v>110244</v>
      </c>
      <c r="E86" s="78">
        <f>VLOOKUP($A86,[1]!Data,55,FALSE)</f>
        <v>1</v>
      </c>
      <c r="F86" s="39">
        <f>VLOOKUP($A86,[1]!Data,56,FALSE)</f>
        <v>0</v>
      </c>
      <c r="G86" s="39">
        <f>VLOOKUP($A86,[1]!Data,57,FALSE)</f>
        <v>1</v>
      </c>
      <c r="H86" s="39">
        <f>VLOOKUP($A86,[1]!Data,58,FALSE)</f>
        <v>1</v>
      </c>
      <c r="I86" s="79">
        <f>VLOOKUP($A86,[1]!Data,61,FALSE)</f>
        <v>3549</v>
      </c>
    </row>
    <row r="87" spans="1:9" x14ac:dyDescent="0.25">
      <c r="A87" s="51" t="s">
        <v>970</v>
      </c>
      <c r="B87" s="51" t="s">
        <v>1577</v>
      </c>
      <c r="C87" s="52"/>
      <c r="D87" s="39">
        <v>10719</v>
      </c>
      <c r="E87" s="78">
        <f>VLOOKUP($A87,[1]!Data,55,FALSE)</f>
        <v>1</v>
      </c>
      <c r="F87" s="39">
        <f>VLOOKUP($A87,[1]!Data,56,FALSE)</f>
        <v>0</v>
      </c>
      <c r="G87" s="39">
        <f>VLOOKUP($A87,[1]!Data,57,FALSE)</f>
        <v>0</v>
      </c>
      <c r="H87" s="39">
        <f>VLOOKUP($A87,[1]!Data,58,FALSE)</f>
        <v>1</v>
      </c>
      <c r="I87" s="79">
        <f>VLOOKUP($A87,[1]!Data,61,FALSE)</f>
        <v>2704</v>
      </c>
    </row>
    <row r="88" spans="1:9" x14ac:dyDescent="0.25">
      <c r="A88" s="51" t="s">
        <v>1033</v>
      </c>
      <c r="B88" s="51" t="s">
        <v>1578</v>
      </c>
      <c r="C88" s="52"/>
      <c r="D88" s="39">
        <v>39068</v>
      </c>
      <c r="E88" s="78">
        <f>VLOOKUP($A88,[1]!Data,55,FALSE)</f>
        <v>1</v>
      </c>
      <c r="F88" s="39">
        <f>VLOOKUP($A88,[1]!Data,56,FALSE)</f>
        <v>0</v>
      </c>
      <c r="G88" s="39">
        <f>VLOOKUP($A88,[1]!Data,57,FALSE)</f>
        <v>0</v>
      </c>
      <c r="H88" s="39">
        <f>VLOOKUP($A88,[1]!Data,58,FALSE)</f>
        <v>1</v>
      </c>
      <c r="I88" s="79">
        <f>VLOOKUP($A88,[1]!Data,61,FALSE)</f>
        <v>3076</v>
      </c>
    </row>
    <row r="89" spans="1:9" x14ac:dyDescent="0.25">
      <c r="A89" s="51" t="s">
        <v>884</v>
      </c>
      <c r="B89" s="51" t="s">
        <v>1579</v>
      </c>
      <c r="C89" s="52"/>
      <c r="D89" s="39">
        <v>5231</v>
      </c>
      <c r="E89" s="78">
        <f>VLOOKUP($A89,[1]!Data,55,FALSE)</f>
        <v>1</v>
      </c>
      <c r="F89" s="39">
        <f>VLOOKUP($A89,[1]!Data,56,FALSE)</f>
        <v>0</v>
      </c>
      <c r="G89" s="39">
        <f>VLOOKUP($A89,[1]!Data,57,FALSE)</f>
        <v>0</v>
      </c>
      <c r="H89" s="39">
        <f>VLOOKUP($A89,[1]!Data,58,FALSE)</f>
        <v>0</v>
      </c>
      <c r="I89" s="79">
        <f>VLOOKUP($A89,[1]!Data,61,FALSE)</f>
        <v>2465</v>
      </c>
    </row>
    <row r="90" spans="1:9" x14ac:dyDescent="0.25">
      <c r="A90" s="51" t="s">
        <v>1224</v>
      </c>
      <c r="B90" s="51" t="s">
        <v>1580</v>
      </c>
      <c r="C90" s="52"/>
      <c r="D90" s="39">
        <v>15101</v>
      </c>
      <c r="E90" s="78">
        <f>VLOOKUP($A90,[1]!Data,55,FALSE)</f>
        <v>1</v>
      </c>
      <c r="F90" s="39">
        <f>VLOOKUP($A90,[1]!Data,56,FALSE)</f>
        <v>0</v>
      </c>
      <c r="G90" s="39">
        <f>VLOOKUP($A90,[1]!Data,57,FALSE)</f>
        <v>0</v>
      </c>
      <c r="H90" s="39">
        <f>VLOOKUP($A90,[1]!Data,58,FALSE)</f>
        <v>0</v>
      </c>
      <c r="I90" s="79">
        <f>VLOOKUP($A90,[1]!Data,61,FALSE)</f>
        <v>2346</v>
      </c>
    </row>
    <row r="91" spans="1:9" x14ac:dyDescent="0.25">
      <c r="A91" s="51" t="s">
        <v>1346</v>
      </c>
      <c r="B91" s="51" t="s">
        <v>1581</v>
      </c>
      <c r="C91" s="52"/>
      <c r="D91" s="39">
        <v>13756</v>
      </c>
      <c r="E91" s="78">
        <f>VLOOKUP($A91,[1]!Data,55,FALSE)</f>
        <v>1</v>
      </c>
      <c r="F91" s="39">
        <f>VLOOKUP($A91,[1]!Data,56,FALSE)</f>
        <v>0</v>
      </c>
      <c r="G91" s="39">
        <f>VLOOKUP($A91,[1]!Data,57,FALSE)</f>
        <v>0</v>
      </c>
      <c r="H91" s="39">
        <f>VLOOKUP($A91,[1]!Data,58,FALSE)</f>
        <v>0</v>
      </c>
      <c r="I91" s="79">
        <f>VLOOKUP($A91,[1]!Data,61,FALSE)</f>
        <v>2756</v>
      </c>
    </row>
    <row r="92" spans="1:9" x14ac:dyDescent="0.25">
      <c r="A92" s="51" t="s">
        <v>819</v>
      </c>
      <c r="B92" s="51" t="s">
        <v>1582</v>
      </c>
      <c r="C92" s="52"/>
      <c r="D92" s="39">
        <v>9561</v>
      </c>
      <c r="E92" s="78">
        <f>VLOOKUP($A92,[1]!Data,55,FALSE)</f>
        <v>1</v>
      </c>
      <c r="F92" s="39">
        <f>VLOOKUP($A92,[1]!Data,56,FALSE)</f>
        <v>0</v>
      </c>
      <c r="G92" s="39">
        <f>VLOOKUP($A92,[1]!Data,57,FALSE)</f>
        <v>0</v>
      </c>
      <c r="H92" s="39">
        <f>VLOOKUP($A92,[1]!Data,58,FALSE)</f>
        <v>0</v>
      </c>
      <c r="I92" s="79">
        <f>VLOOKUP($A92,[1]!Data,61,FALSE)</f>
        <v>2860</v>
      </c>
    </row>
    <row r="93" spans="1:9" x14ac:dyDescent="0.25">
      <c r="A93" s="603"/>
      <c r="B93" s="604"/>
      <c r="C93" s="56" t="s">
        <v>1453</v>
      </c>
      <c r="D93" s="57">
        <f>SUM(D82:D92)</f>
        <v>328082</v>
      </c>
      <c r="E93" s="58"/>
      <c r="F93" s="58"/>
      <c r="G93" s="58"/>
      <c r="H93" s="59" t="s">
        <v>1454</v>
      </c>
      <c r="I93" s="60">
        <f>AVERAGE(I82:I92)</f>
        <v>3200.4545454545455</v>
      </c>
    </row>
    <row r="94" spans="1:9" ht="15.75" thickBot="1" x14ac:dyDescent="0.3">
      <c r="A94" s="19"/>
      <c r="B94" s="61"/>
      <c r="C94" s="62"/>
      <c r="D94" s="63"/>
      <c r="E94" s="64"/>
      <c r="F94" s="64"/>
      <c r="G94" s="64"/>
      <c r="H94" s="63"/>
      <c r="I94" s="65"/>
    </row>
    <row r="95" spans="1:9" ht="15.75" thickTop="1" x14ac:dyDescent="0.25">
      <c r="A95" s="605"/>
      <c r="B95" s="606"/>
      <c r="C95" s="66" t="s">
        <v>1458</v>
      </c>
      <c r="D95" s="67">
        <f>SUM(D93,D80,D66)</f>
        <v>10231990</v>
      </c>
      <c r="E95" s="68"/>
      <c r="F95" s="68"/>
      <c r="G95" s="68"/>
      <c r="H95" s="69" t="s">
        <v>1459</v>
      </c>
      <c r="I95" s="70">
        <f>AVERAGE(I82:I92,I68:I79,I8:I65)</f>
        <v>11666.58024691358</v>
      </c>
    </row>
    <row r="96" spans="1:9" x14ac:dyDescent="0.25">
      <c r="I96" s="74"/>
    </row>
  </sheetData>
  <mergeCells count="11">
    <mergeCell ref="I4:I6"/>
    <mergeCell ref="A4:A6"/>
    <mergeCell ref="B4:B6"/>
    <mergeCell ref="C4:C6"/>
    <mergeCell ref="D4:D6"/>
    <mergeCell ref="E4:H4"/>
    <mergeCell ref="A66:B66"/>
    <mergeCell ref="A67:B67"/>
    <mergeCell ref="A80:B80"/>
    <mergeCell ref="A93:B93"/>
    <mergeCell ref="A95:B95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6"/>
  <sheetViews>
    <sheetView topLeftCell="A37" workbookViewId="0">
      <selection activeCell="I72" sqref="I72"/>
    </sheetView>
  </sheetViews>
  <sheetFormatPr defaultColWidth="8.85546875" defaultRowHeight="12.75" x14ac:dyDescent="0.2"/>
  <cols>
    <col min="1" max="1" width="8.140625" style="86" customWidth="1"/>
    <col min="2" max="2" width="20.140625" style="86" customWidth="1"/>
    <col min="3" max="7" width="8.85546875" style="121"/>
    <col min="8" max="8" width="12.140625" style="121" customWidth="1"/>
    <col min="9" max="9" width="10.85546875" style="122" customWidth="1"/>
    <col min="10" max="16384" width="8.85546875" style="86"/>
  </cols>
  <sheetData>
    <row r="1" spans="1:9" x14ac:dyDescent="0.2">
      <c r="A1" s="83"/>
      <c r="B1" s="84"/>
      <c r="C1" s="85"/>
      <c r="D1" s="85"/>
      <c r="E1" s="85"/>
      <c r="F1" s="85"/>
      <c r="G1" s="85"/>
      <c r="H1" s="85"/>
      <c r="I1" s="11" t="s">
        <v>1441</v>
      </c>
    </row>
    <row r="2" spans="1:9" ht="15.75" x14ac:dyDescent="0.25">
      <c r="A2" s="171" t="s">
        <v>1460</v>
      </c>
      <c r="B2" s="88"/>
      <c r="C2" s="89"/>
      <c r="D2" s="89"/>
      <c r="E2" s="89"/>
      <c r="F2" s="89"/>
      <c r="G2" s="89"/>
      <c r="H2" s="89"/>
      <c r="I2" s="18" t="s">
        <v>1583</v>
      </c>
    </row>
    <row r="3" spans="1:9" ht="13.5" thickBot="1" x14ac:dyDescent="0.25">
      <c r="A3" s="90"/>
      <c r="B3" s="88"/>
      <c r="C3" s="89"/>
      <c r="D3" s="89"/>
      <c r="E3" s="89"/>
      <c r="F3" s="89"/>
      <c r="G3" s="89"/>
      <c r="H3" s="89"/>
      <c r="I3" s="91"/>
    </row>
    <row r="4" spans="1:9" ht="13.5" thickTop="1" x14ac:dyDescent="0.2">
      <c r="A4" s="92"/>
      <c r="B4" s="612"/>
      <c r="C4" s="93"/>
      <c r="D4" s="93" t="s">
        <v>1461</v>
      </c>
      <c r="E4" s="93" t="s">
        <v>1462</v>
      </c>
      <c r="F4" s="93"/>
      <c r="G4" s="93"/>
      <c r="H4" s="93" t="s">
        <v>1463</v>
      </c>
      <c r="I4" s="94" t="s">
        <v>1464</v>
      </c>
    </row>
    <row r="5" spans="1:9" x14ac:dyDescent="0.2">
      <c r="A5" s="95"/>
      <c r="B5" s="622"/>
      <c r="C5" s="96" t="s">
        <v>1461</v>
      </c>
      <c r="D5" s="96" t="s">
        <v>1465</v>
      </c>
      <c r="E5" s="96" t="s">
        <v>1461</v>
      </c>
      <c r="F5" s="96" t="s">
        <v>469</v>
      </c>
      <c r="G5" s="96" t="s">
        <v>1462</v>
      </c>
      <c r="H5" s="97">
        <v>25000</v>
      </c>
      <c r="I5" s="98" t="s">
        <v>1466</v>
      </c>
    </row>
    <row r="6" spans="1:9" ht="13.5" thickBot="1" x14ac:dyDescent="0.25">
      <c r="A6" s="99"/>
      <c r="B6" s="623"/>
      <c r="C6" s="100" t="s">
        <v>1467</v>
      </c>
      <c r="D6" s="100" t="s">
        <v>1468</v>
      </c>
      <c r="E6" s="100" t="s">
        <v>1465</v>
      </c>
      <c r="F6" s="100" t="s">
        <v>1469</v>
      </c>
      <c r="G6" s="100" t="s">
        <v>3</v>
      </c>
      <c r="H6" s="100" t="s">
        <v>1470</v>
      </c>
      <c r="I6" s="101" t="s">
        <v>1467</v>
      </c>
    </row>
    <row r="7" spans="1:9" ht="14.25" thickTop="1" thickBot="1" x14ac:dyDescent="0.25">
      <c r="A7" s="30"/>
      <c r="B7" s="571" t="s">
        <v>1452</v>
      </c>
      <c r="C7" s="102"/>
      <c r="D7" s="102"/>
      <c r="E7" s="102"/>
      <c r="F7" s="103"/>
      <c r="G7" s="103"/>
      <c r="H7" s="103"/>
      <c r="I7" s="104"/>
    </row>
    <row r="8" spans="1:9" ht="13.5" thickTop="1" x14ac:dyDescent="0.2">
      <c r="A8" s="36" t="s">
        <v>340</v>
      </c>
      <c r="B8" s="37" t="s">
        <v>1506</v>
      </c>
      <c r="C8" s="78">
        <f>VLOOKUP($A8,[1]!Data,62,FALSE)</f>
        <v>10</v>
      </c>
      <c r="D8" s="39">
        <f>VLOOKUP($A8,[1]!Data,63,FALSE)</f>
        <v>0</v>
      </c>
      <c r="E8" s="39">
        <f>VLOOKUP($A8,[1]!Data,64,FALSE)</f>
        <v>10</v>
      </c>
      <c r="F8" s="39">
        <f>VLOOKUP($A8,[1]!Data,65,FALSE)</f>
        <v>35.380000000000003</v>
      </c>
      <c r="G8" s="39">
        <f>VLOOKUP($A8,[1]!Data,66,FALSE)</f>
        <v>45.38</v>
      </c>
      <c r="H8" s="126">
        <f>('[1]Table 1'!D8/25000)/'[1]Table 2'!G8</f>
        <v>0.14019744380784485</v>
      </c>
      <c r="I8" s="124">
        <f>VLOOKUP($A8,[1]!Data,67,FALSE)</f>
        <v>0.22040000000000001</v>
      </c>
    </row>
    <row r="9" spans="1:9" x14ac:dyDescent="0.2">
      <c r="A9" s="36" t="s">
        <v>381</v>
      </c>
      <c r="B9" s="37" t="s">
        <v>1507</v>
      </c>
      <c r="C9" s="78">
        <f>VLOOKUP($A9,[1]!Data,62,FALSE)</f>
        <v>1</v>
      </c>
      <c r="D9" s="39">
        <f>VLOOKUP($A9,[1]!Data,63,FALSE)</f>
        <v>0</v>
      </c>
      <c r="E9" s="39">
        <f>VLOOKUP($A9,[1]!Data,64,FALSE)</f>
        <v>1</v>
      </c>
      <c r="F9" s="39">
        <f>VLOOKUP($A9,[1]!Data,65,FALSE)</f>
        <v>8.33</v>
      </c>
      <c r="G9" s="39">
        <f>VLOOKUP($A9,[1]!Data,66,FALSE)</f>
        <v>9.33</v>
      </c>
      <c r="H9" s="126">
        <f>('[1]Table 1'!D9/25000)/'[1]Table 2'!G9</f>
        <v>0.16413290460878885</v>
      </c>
      <c r="I9" s="124">
        <f>VLOOKUP($A9,[1]!Data,67,FALSE)</f>
        <v>0.1072</v>
      </c>
    </row>
    <row r="10" spans="1:9" x14ac:dyDescent="0.2">
      <c r="A10" s="36" t="s">
        <v>442</v>
      </c>
      <c r="B10" s="37" t="s">
        <v>1508</v>
      </c>
      <c r="C10" s="78">
        <f>VLOOKUP($A10,[1]!Data,62,FALSE)</f>
        <v>1</v>
      </c>
      <c r="D10" s="39">
        <f>VLOOKUP($A10,[1]!Data,63,FALSE)</f>
        <v>0</v>
      </c>
      <c r="E10" s="39">
        <f>VLOOKUP($A10,[1]!Data,64,FALSE)</f>
        <v>1</v>
      </c>
      <c r="F10" s="39">
        <f>VLOOKUP($A10,[1]!Data,65,FALSE)</f>
        <v>9.26</v>
      </c>
      <c r="G10" s="39">
        <f>VLOOKUP($A10,[1]!Data,66,FALSE)</f>
        <v>10.26</v>
      </c>
      <c r="H10" s="126">
        <f>('[1]Table 1'!D10/25000)/'[1]Table 2'!G10</f>
        <v>0.13515399610136453</v>
      </c>
      <c r="I10" s="124">
        <f>VLOOKUP($A10,[1]!Data,67,FALSE)</f>
        <v>9.7500000000000003E-2</v>
      </c>
    </row>
    <row r="11" spans="1:9" x14ac:dyDescent="0.2">
      <c r="A11" s="36" t="s">
        <v>470</v>
      </c>
      <c r="B11" s="37" t="s">
        <v>1509</v>
      </c>
      <c r="C11" s="78">
        <f>VLOOKUP($A11,[1]!Data,62,FALSE)</f>
        <v>1</v>
      </c>
      <c r="D11" s="39">
        <f>VLOOKUP($A11,[1]!Data,63,FALSE)</f>
        <v>0</v>
      </c>
      <c r="E11" s="39">
        <f>VLOOKUP($A11,[1]!Data,64,FALSE)</f>
        <v>1</v>
      </c>
      <c r="F11" s="39">
        <f>VLOOKUP($A11,[1]!Data,65,FALSE)</f>
        <v>16</v>
      </c>
      <c r="G11" s="39">
        <f>VLOOKUP($A11,[1]!Data,66,FALSE)</f>
        <v>17</v>
      </c>
      <c r="H11" s="126">
        <f>('[1]Table 1'!D11/25000)/'[1]Table 2'!G11</f>
        <v>0.30058823529411766</v>
      </c>
      <c r="I11" s="124">
        <f>VLOOKUP($A11,[1]!Data,67,FALSE)</f>
        <v>5.8799999999999998E-2</v>
      </c>
    </row>
    <row r="12" spans="1:9" x14ac:dyDescent="0.2">
      <c r="A12" s="36" t="s">
        <v>484</v>
      </c>
      <c r="B12" s="37" t="s">
        <v>1510</v>
      </c>
      <c r="C12" s="78">
        <f>VLOOKUP($A12,[1]!Data,62,FALSE)</f>
        <v>11</v>
      </c>
      <c r="D12" s="39">
        <f>VLOOKUP($A12,[1]!Data,63,FALSE)</f>
        <v>1</v>
      </c>
      <c r="E12" s="39">
        <f>VLOOKUP($A12,[1]!Data,64,FALSE)</f>
        <v>12</v>
      </c>
      <c r="F12" s="39">
        <f>VLOOKUP($A12,[1]!Data,65,FALSE)</f>
        <v>46</v>
      </c>
      <c r="G12" s="39">
        <f>VLOOKUP($A12,[1]!Data,66,FALSE)</f>
        <v>58</v>
      </c>
      <c r="H12" s="126">
        <f>('[1]Table 1'!D12/25000)/'[1]Table 2'!G12</f>
        <v>0.17821103448275863</v>
      </c>
      <c r="I12" s="124">
        <f>VLOOKUP($A12,[1]!Data,67,FALSE)</f>
        <v>0.18970000000000001</v>
      </c>
    </row>
    <row r="13" spans="1:9" x14ac:dyDescent="0.2">
      <c r="A13" s="36" t="s">
        <v>497</v>
      </c>
      <c r="B13" s="37" t="s">
        <v>1511</v>
      </c>
      <c r="C13" s="78">
        <f>VLOOKUP($A13,[1]!Data,62,FALSE)</f>
        <v>2</v>
      </c>
      <c r="D13" s="39">
        <f>VLOOKUP($A13,[1]!Data,63,FALSE)</f>
        <v>2</v>
      </c>
      <c r="E13" s="39">
        <f>VLOOKUP($A13,[1]!Data,64,FALSE)</f>
        <v>4</v>
      </c>
      <c r="F13" s="39">
        <f>VLOOKUP($A13,[1]!Data,65,FALSE)</f>
        <v>17.05</v>
      </c>
      <c r="G13" s="39">
        <f>VLOOKUP($A13,[1]!Data,66,FALSE)</f>
        <v>21.05</v>
      </c>
      <c r="H13" s="126">
        <f>('[1]Table 1'!D13/25000)/'[1]Table 2'!G13</f>
        <v>0.17054061757719713</v>
      </c>
      <c r="I13" s="124">
        <f>VLOOKUP($A13,[1]!Data,67,FALSE)</f>
        <v>9.5000000000000001E-2</v>
      </c>
    </row>
    <row r="14" spans="1:9" x14ac:dyDescent="0.2">
      <c r="A14" s="36" t="s">
        <v>509</v>
      </c>
      <c r="B14" s="37" t="s">
        <v>1512</v>
      </c>
      <c r="C14" s="78">
        <f>VLOOKUP($A14,[1]!Data,62,FALSE)</f>
        <v>10</v>
      </c>
      <c r="D14" s="39">
        <f>VLOOKUP($A14,[1]!Data,63,FALSE)</f>
        <v>0</v>
      </c>
      <c r="E14" s="39">
        <f>VLOOKUP($A14,[1]!Data,64,FALSE)</f>
        <v>10</v>
      </c>
      <c r="F14" s="39">
        <f>VLOOKUP($A14,[1]!Data,65,FALSE)</f>
        <v>38</v>
      </c>
      <c r="G14" s="39">
        <f>VLOOKUP($A14,[1]!Data,66,FALSE)</f>
        <v>48</v>
      </c>
      <c r="H14" s="126">
        <f>('[1]Table 1'!D14/25000)/'[1]Table 2'!G14</f>
        <v>0.16721916666666667</v>
      </c>
      <c r="I14" s="124">
        <f>VLOOKUP($A14,[1]!Data,67,FALSE)</f>
        <v>0.20830000000000001</v>
      </c>
    </row>
    <row r="15" spans="1:9" x14ac:dyDescent="0.2">
      <c r="A15" s="36" t="s">
        <v>521</v>
      </c>
      <c r="B15" s="37" t="s">
        <v>1513</v>
      </c>
      <c r="C15" s="78">
        <f>VLOOKUP($A15,[1]!Data,62,FALSE)</f>
        <v>4</v>
      </c>
      <c r="D15" s="39">
        <f>VLOOKUP($A15,[1]!Data,63,FALSE)</f>
        <v>1</v>
      </c>
      <c r="E15" s="39">
        <f>VLOOKUP($A15,[1]!Data,64,FALSE)</f>
        <v>5</v>
      </c>
      <c r="F15" s="39">
        <f>VLOOKUP($A15,[1]!Data,65,FALSE)</f>
        <v>18</v>
      </c>
      <c r="G15" s="39">
        <f>VLOOKUP($A15,[1]!Data,66,FALSE)</f>
        <v>23</v>
      </c>
      <c r="H15" s="126">
        <f>('[1]Table 1'!D15/25000)/'[1]Table 2'!G15</f>
        <v>0.14395130434782608</v>
      </c>
      <c r="I15" s="124">
        <f>VLOOKUP($A15,[1]!Data,67,FALSE)</f>
        <v>0.1739</v>
      </c>
    </row>
    <row r="16" spans="1:9" x14ac:dyDescent="0.2">
      <c r="A16" s="36" t="s">
        <v>531</v>
      </c>
      <c r="B16" s="37" t="s">
        <v>1514</v>
      </c>
      <c r="C16" s="78">
        <f>VLOOKUP($A16,[1]!Data,62,FALSE)</f>
        <v>1</v>
      </c>
      <c r="D16" s="39">
        <f>VLOOKUP($A16,[1]!Data,63,FALSE)</f>
        <v>0</v>
      </c>
      <c r="E16" s="39">
        <f>VLOOKUP($A16,[1]!Data,64,FALSE)</f>
        <v>1</v>
      </c>
      <c r="F16" s="39">
        <f>VLOOKUP($A16,[1]!Data,65,FALSE)</f>
        <v>4.92</v>
      </c>
      <c r="G16" s="39">
        <f>VLOOKUP($A16,[1]!Data,66,FALSE)</f>
        <v>5.92</v>
      </c>
      <c r="H16" s="126">
        <f>('[1]Table 1'!D16/25000)/'[1]Table 2'!G16</f>
        <v>0.16006081081081081</v>
      </c>
      <c r="I16" s="124">
        <f>VLOOKUP($A16,[1]!Data,67,FALSE)</f>
        <v>0.16889999999999999</v>
      </c>
    </row>
    <row r="17" spans="1:9" x14ac:dyDescent="0.2">
      <c r="A17" s="36" t="s">
        <v>544</v>
      </c>
      <c r="B17" s="37" t="s">
        <v>1515</v>
      </c>
      <c r="C17" s="78">
        <f>VLOOKUP($A17,[1]!Data,62,FALSE)</f>
        <v>9</v>
      </c>
      <c r="D17" s="39">
        <f>VLOOKUP($A17,[1]!Data,63,FALSE)</f>
        <v>2</v>
      </c>
      <c r="E17" s="39">
        <f>VLOOKUP($A17,[1]!Data,64,FALSE)</f>
        <v>11</v>
      </c>
      <c r="F17" s="39">
        <f>VLOOKUP($A17,[1]!Data,65,FALSE)</f>
        <v>23.8</v>
      </c>
      <c r="G17" s="39">
        <f>VLOOKUP($A17,[1]!Data,66,FALSE)</f>
        <v>34.799999999999997</v>
      </c>
      <c r="H17" s="126">
        <f>('[1]Table 1'!D17/25000)/'[1]Table 2'!G17</f>
        <v>0.13345747126436783</v>
      </c>
      <c r="I17" s="124">
        <f>VLOOKUP($A17,[1]!Data,67,FALSE)</f>
        <v>0.2586</v>
      </c>
    </row>
    <row r="18" spans="1:9" x14ac:dyDescent="0.2">
      <c r="A18" s="36" t="s">
        <v>590</v>
      </c>
      <c r="B18" s="37" t="s">
        <v>1516</v>
      </c>
      <c r="C18" s="78">
        <f>VLOOKUP($A18,[1]!Data,62,FALSE)</f>
        <v>4</v>
      </c>
      <c r="D18" s="39">
        <f>VLOOKUP($A18,[1]!Data,63,FALSE)</f>
        <v>0</v>
      </c>
      <c r="E18" s="39">
        <f>VLOOKUP($A18,[1]!Data,64,FALSE)</f>
        <v>4</v>
      </c>
      <c r="F18" s="39">
        <f>VLOOKUP($A18,[1]!Data,65,FALSE)</f>
        <v>13.5</v>
      </c>
      <c r="G18" s="39">
        <f>VLOOKUP($A18,[1]!Data,66,FALSE)</f>
        <v>17.5</v>
      </c>
      <c r="H18" s="126">
        <f>('[1]Table 1'!D18/25000)/'[1]Table 2'!G18</f>
        <v>0.16751085714285713</v>
      </c>
      <c r="I18" s="124">
        <f>VLOOKUP($A18,[1]!Data,67,FALSE)</f>
        <v>0.2286</v>
      </c>
    </row>
    <row r="19" spans="1:9" x14ac:dyDescent="0.2">
      <c r="A19" s="36" t="s">
        <v>604</v>
      </c>
      <c r="B19" s="37" t="s">
        <v>1517</v>
      </c>
      <c r="C19" s="78">
        <f>VLOOKUP($A19,[1]!Data,62,FALSE)</f>
        <v>3</v>
      </c>
      <c r="D19" s="39">
        <f>VLOOKUP($A19,[1]!Data,63,FALSE)</f>
        <v>0</v>
      </c>
      <c r="E19" s="39">
        <f>VLOOKUP($A19,[1]!Data,64,FALSE)</f>
        <v>3</v>
      </c>
      <c r="F19" s="39">
        <f>VLOOKUP($A19,[1]!Data,65,FALSE)</f>
        <v>15.25</v>
      </c>
      <c r="G19" s="39">
        <f>VLOOKUP($A19,[1]!Data,66,FALSE)</f>
        <v>18.25</v>
      </c>
      <c r="H19" s="126">
        <f>('[1]Table 1'!D19/25000)/'[1]Table 2'!G19</f>
        <v>0.19419397260273971</v>
      </c>
      <c r="I19" s="124">
        <f>VLOOKUP($A19,[1]!Data,67,FALSE)</f>
        <v>0.16439999999999999</v>
      </c>
    </row>
    <row r="20" spans="1:9" x14ac:dyDescent="0.2">
      <c r="A20" s="36" t="s">
        <v>617</v>
      </c>
      <c r="B20" s="37" t="s">
        <v>1518</v>
      </c>
      <c r="C20" s="78">
        <f>VLOOKUP($A20,[1]!Data,62,FALSE)</f>
        <v>1</v>
      </c>
      <c r="D20" s="39">
        <f>VLOOKUP($A20,[1]!Data,63,FALSE)</f>
        <v>0</v>
      </c>
      <c r="E20" s="39">
        <f>VLOOKUP($A20,[1]!Data,64,FALSE)</f>
        <v>1</v>
      </c>
      <c r="F20" s="39">
        <f>VLOOKUP($A20,[1]!Data,65,FALSE)</f>
        <v>24</v>
      </c>
      <c r="G20" s="39">
        <f>VLOOKUP($A20,[1]!Data,66,FALSE)</f>
        <v>25</v>
      </c>
      <c r="H20" s="126">
        <f>('[1]Table 1'!D20/25000)/'[1]Table 2'!G20</f>
        <v>9.1491199999999995E-2</v>
      </c>
      <c r="I20" s="124">
        <f>VLOOKUP($A20,[1]!Data,67,FALSE)</f>
        <v>0.04</v>
      </c>
    </row>
    <row r="21" spans="1:9" x14ac:dyDescent="0.2">
      <c r="A21" s="36" t="s">
        <v>645</v>
      </c>
      <c r="B21" s="37" t="s">
        <v>1519</v>
      </c>
      <c r="C21" s="78">
        <f>VLOOKUP($A21,[1]!Data,62,FALSE)</f>
        <v>47</v>
      </c>
      <c r="D21" s="39">
        <f>VLOOKUP($A21,[1]!Data,63,FALSE)</f>
        <v>0</v>
      </c>
      <c r="E21" s="39">
        <f>VLOOKUP($A21,[1]!Data,64,FALSE)</f>
        <v>47</v>
      </c>
      <c r="F21" s="39">
        <f>VLOOKUP($A21,[1]!Data,65,FALSE)</f>
        <v>134.72999999999999</v>
      </c>
      <c r="G21" s="39">
        <f>VLOOKUP($A21,[1]!Data,66,FALSE)</f>
        <v>181.73</v>
      </c>
      <c r="H21" s="126">
        <f>('[1]Table 1'!D21/25000)/'[1]Table 2'!G21</f>
        <v>7.2596489297309191E-2</v>
      </c>
      <c r="I21" s="124">
        <f>VLOOKUP($A21,[1]!Data,67,FALSE)</f>
        <v>0.2586</v>
      </c>
    </row>
    <row r="22" spans="1:9" x14ac:dyDescent="0.2">
      <c r="A22" s="36" t="s">
        <v>658</v>
      </c>
      <c r="B22" s="37" t="s">
        <v>1520</v>
      </c>
      <c r="C22" s="78">
        <f>VLOOKUP($A22,[1]!Data,62,FALSE)</f>
        <v>7.5</v>
      </c>
      <c r="D22" s="39">
        <f>VLOOKUP($A22,[1]!Data,63,FALSE)</f>
        <v>0</v>
      </c>
      <c r="E22" s="39">
        <f>VLOOKUP($A22,[1]!Data,64,FALSE)</f>
        <v>7.5</v>
      </c>
      <c r="F22" s="39">
        <f>VLOOKUP($A22,[1]!Data,65,FALSE)</f>
        <v>52.85</v>
      </c>
      <c r="G22" s="39">
        <f>VLOOKUP($A22,[1]!Data,66,FALSE)</f>
        <v>60.35</v>
      </c>
      <c r="H22" s="126">
        <f>('[1]Table 1'!D22/25000)/'[1]Table 2'!G22</f>
        <v>0.10613289146644574</v>
      </c>
      <c r="I22" s="124">
        <f>VLOOKUP($A22,[1]!Data,67,FALSE)</f>
        <v>0.12429999999999999</v>
      </c>
    </row>
    <row r="23" spans="1:9" x14ac:dyDescent="0.2">
      <c r="A23" s="36" t="s">
        <v>674</v>
      </c>
      <c r="B23" s="37" t="s">
        <v>1521</v>
      </c>
      <c r="C23" s="78">
        <f>VLOOKUP($A23,[1]!Data,62,FALSE)</f>
        <v>1.88</v>
      </c>
      <c r="D23" s="39">
        <f>VLOOKUP($A23,[1]!Data,63,FALSE)</f>
        <v>1.41</v>
      </c>
      <c r="E23" s="39">
        <f>VLOOKUP($A23,[1]!Data,64,FALSE)</f>
        <v>3.29</v>
      </c>
      <c r="F23" s="39">
        <f>VLOOKUP($A23,[1]!Data,65,FALSE)</f>
        <v>6.66</v>
      </c>
      <c r="G23" s="39">
        <f>VLOOKUP($A23,[1]!Data,66,FALSE)</f>
        <v>9.9499999999999993</v>
      </c>
      <c r="H23" s="126">
        <f>('[1]Table 1'!D23/25000)/'[1]Table 2'!G23</f>
        <v>0.1696924623115578</v>
      </c>
      <c r="I23" s="124">
        <f>VLOOKUP($A23,[1]!Data,67,FALSE)</f>
        <v>0.18890000000000001</v>
      </c>
    </row>
    <row r="24" spans="1:9" x14ac:dyDescent="0.2">
      <c r="A24" s="36" t="s">
        <v>686</v>
      </c>
      <c r="B24" s="37" t="s">
        <v>1522</v>
      </c>
      <c r="C24" s="78">
        <f>VLOOKUP($A24,[1]!Data,62,FALSE)</f>
        <v>0</v>
      </c>
      <c r="D24" s="39">
        <f>VLOOKUP($A24,[1]!Data,63,FALSE)</f>
        <v>1</v>
      </c>
      <c r="E24" s="39">
        <f>VLOOKUP($A24,[1]!Data,64,FALSE)</f>
        <v>1</v>
      </c>
      <c r="F24" s="39">
        <f>VLOOKUP($A24,[1]!Data,65,FALSE)</f>
        <v>8</v>
      </c>
      <c r="G24" s="39">
        <f>VLOOKUP($A24,[1]!Data,66,FALSE)</f>
        <v>9</v>
      </c>
      <c r="H24" s="126">
        <f>('[1]Table 1'!D24/25000)/'[1]Table 2'!G24</f>
        <v>0.26487555555555553</v>
      </c>
      <c r="I24" s="124">
        <f>VLOOKUP($A24,[1]!Data,67,FALSE)</f>
        <v>0</v>
      </c>
    </row>
    <row r="25" spans="1:9" x14ac:dyDescent="0.2">
      <c r="A25" s="36" t="s">
        <v>699</v>
      </c>
      <c r="B25" s="37" t="s">
        <v>1523</v>
      </c>
      <c r="C25" s="78">
        <f>VLOOKUP($A25,[1]!Data,62,FALSE)</f>
        <v>49.77</v>
      </c>
      <c r="D25" s="39">
        <f>VLOOKUP($A25,[1]!Data,63,FALSE)</f>
        <v>1</v>
      </c>
      <c r="E25" s="39">
        <f>VLOOKUP($A25,[1]!Data,64,FALSE)</f>
        <v>50.77</v>
      </c>
      <c r="F25" s="39">
        <f>VLOOKUP($A25,[1]!Data,65,FALSE)</f>
        <v>77.03</v>
      </c>
      <c r="G25" s="39">
        <f>VLOOKUP($A25,[1]!Data,66,FALSE)</f>
        <v>127.8</v>
      </c>
      <c r="H25" s="126">
        <f>('[1]Table 1'!D25/25000)/'[1]Table 2'!G25</f>
        <v>9.3383411580594683E-2</v>
      </c>
      <c r="I25" s="124">
        <f>VLOOKUP($A25,[1]!Data,67,FALSE)</f>
        <v>0.38940000000000002</v>
      </c>
    </row>
    <row r="26" spans="1:9" x14ac:dyDescent="0.2">
      <c r="A26" s="36" t="s">
        <v>729</v>
      </c>
      <c r="B26" s="37" t="s">
        <v>1524</v>
      </c>
      <c r="C26" s="78">
        <f>VLOOKUP($A26,[1]!Data,62,FALSE)</f>
        <v>2</v>
      </c>
      <c r="D26" s="39">
        <f>VLOOKUP($A26,[1]!Data,63,FALSE)</f>
        <v>0</v>
      </c>
      <c r="E26" s="39">
        <f>VLOOKUP($A26,[1]!Data,64,FALSE)</f>
        <v>2</v>
      </c>
      <c r="F26" s="39">
        <f>VLOOKUP($A26,[1]!Data,65,FALSE)</f>
        <v>10.95</v>
      </c>
      <c r="G26" s="39">
        <f>VLOOKUP($A26,[1]!Data,66,FALSE)</f>
        <v>12.95</v>
      </c>
      <c r="H26" s="126">
        <f>('[1]Table 1'!D26/25000)/'[1]Table 2'!G26</f>
        <v>0.16525714285714288</v>
      </c>
      <c r="I26" s="124">
        <f>VLOOKUP($A26,[1]!Data,67,FALSE)</f>
        <v>0.15440000000000001</v>
      </c>
    </row>
    <row r="27" spans="1:9" x14ac:dyDescent="0.2">
      <c r="A27" s="36" t="s">
        <v>774</v>
      </c>
      <c r="B27" s="37" t="s">
        <v>1525</v>
      </c>
      <c r="C27" s="78">
        <f>VLOOKUP($A27,[1]!Data,62,FALSE)</f>
        <v>46.5</v>
      </c>
      <c r="D27" s="39">
        <f>VLOOKUP($A27,[1]!Data,63,FALSE)</f>
        <v>1</v>
      </c>
      <c r="E27" s="39">
        <f>VLOOKUP($A27,[1]!Data,64,FALSE)</f>
        <v>47.5</v>
      </c>
      <c r="F27" s="39">
        <f>VLOOKUP($A27,[1]!Data,65,FALSE)</f>
        <v>56.3</v>
      </c>
      <c r="G27" s="39">
        <f>VLOOKUP($A27,[1]!Data,66,FALSE)</f>
        <v>103.8</v>
      </c>
      <c r="H27" s="126">
        <f>('[1]Table 1'!D27/25000)/'[1]Table 2'!G27</f>
        <v>0.14224007707129094</v>
      </c>
      <c r="I27" s="124">
        <f>VLOOKUP($A27,[1]!Data,67,FALSE)</f>
        <v>0.44800000000000001</v>
      </c>
    </row>
    <row r="28" spans="1:9" x14ac:dyDescent="0.2">
      <c r="A28" s="36" t="s">
        <v>788</v>
      </c>
      <c r="B28" s="37" t="s">
        <v>1526</v>
      </c>
      <c r="C28" s="78">
        <f>VLOOKUP($A28,[1]!Data,62,FALSE)</f>
        <v>3</v>
      </c>
      <c r="D28" s="39">
        <f>VLOOKUP($A28,[1]!Data,63,FALSE)</f>
        <v>0</v>
      </c>
      <c r="E28" s="39">
        <f>VLOOKUP($A28,[1]!Data,64,FALSE)</f>
        <v>3</v>
      </c>
      <c r="F28" s="39">
        <f>VLOOKUP($A28,[1]!Data,65,FALSE)</f>
        <v>10.57</v>
      </c>
      <c r="G28" s="39">
        <f>VLOOKUP($A28,[1]!Data,66,FALSE)</f>
        <v>13.57</v>
      </c>
      <c r="H28" s="126">
        <f>('[1]Table 1'!D28/25000)/'[1]Table 2'!G28</f>
        <v>0.19291083271923359</v>
      </c>
      <c r="I28" s="124">
        <f>VLOOKUP($A28,[1]!Data,67,FALSE)</f>
        <v>0.22109999999999999</v>
      </c>
    </row>
    <row r="29" spans="1:9" x14ac:dyDescent="0.2">
      <c r="A29" s="36" t="s">
        <v>802</v>
      </c>
      <c r="B29" s="37" t="s">
        <v>817</v>
      </c>
      <c r="C29" s="78">
        <f>VLOOKUP($A29,[1]!Data,62,FALSE)</f>
        <v>13.5</v>
      </c>
      <c r="D29" s="39">
        <f>VLOOKUP($A29,[1]!Data,63,FALSE)</f>
        <v>8.5</v>
      </c>
      <c r="E29" s="39">
        <f>VLOOKUP($A29,[1]!Data,64,FALSE)</f>
        <v>22</v>
      </c>
      <c r="F29" s="39">
        <f>VLOOKUP($A29,[1]!Data,65,FALSE)</f>
        <v>34</v>
      </c>
      <c r="G29" s="39">
        <f>VLOOKUP($A29,[1]!Data,66,FALSE)</f>
        <v>56</v>
      </c>
      <c r="H29" s="126">
        <f>('[1]Table 1'!D29/25000)/'[1]Table 2'!G29</f>
        <v>0.15315214285714288</v>
      </c>
      <c r="I29" s="124">
        <f>VLOOKUP($A29,[1]!Data,67,FALSE)</f>
        <v>0.24110000000000001</v>
      </c>
    </row>
    <row r="30" spans="1:9" x14ac:dyDescent="0.2">
      <c r="A30" s="36" t="s">
        <v>828</v>
      </c>
      <c r="B30" s="37" t="s">
        <v>1527</v>
      </c>
      <c r="C30" s="78">
        <f>VLOOKUP($A30,[1]!Data,62,FALSE)</f>
        <v>5</v>
      </c>
      <c r="D30" s="39">
        <f>VLOOKUP($A30,[1]!Data,63,FALSE)</f>
        <v>0</v>
      </c>
      <c r="E30" s="39">
        <f>VLOOKUP($A30,[1]!Data,64,FALSE)</f>
        <v>5</v>
      </c>
      <c r="F30" s="39">
        <f>VLOOKUP($A30,[1]!Data,65,FALSE)</f>
        <v>18.5</v>
      </c>
      <c r="G30" s="39">
        <f>VLOOKUP($A30,[1]!Data,66,FALSE)</f>
        <v>23.5</v>
      </c>
      <c r="H30" s="126">
        <f>('[1]Table 1'!D30/25000)/'[1]Table 2'!G30</f>
        <v>0.10116255319148937</v>
      </c>
      <c r="I30" s="124">
        <f>VLOOKUP($A30,[1]!Data,67,FALSE)</f>
        <v>0.21279999999999999</v>
      </c>
    </row>
    <row r="31" spans="1:9" x14ac:dyDescent="0.2">
      <c r="A31" s="36" t="s">
        <v>842</v>
      </c>
      <c r="B31" s="37" t="s">
        <v>1528</v>
      </c>
      <c r="C31" s="78">
        <f>VLOOKUP($A31,[1]!Data,62,FALSE)</f>
        <v>26</v>
      </c>
      <c r="D31" s="39">
        <f>VLOOKUP($A31,[1]!Data,63,FALSE)</f>
        <v>9</v>
      </c>
      <c r="E31" s="39">
        <f>VLOOKUP($A31,[1]!Data,64,FALSE)</f>
        <v>35</v>
      </c>
      <c r="F31" s="39">
        <f>VLOOKUP($A31,[1]!Data,65,FALSE)</f>
        <v>60</v>
      </c>
      <c r="G31" s="39">
        <f>VLOOKUP($A31,[1]!Data,66,FALSE)</f>
        <v>95</v>
      </c>
      <c r="H31" s="126">
        <f>('[1]Table 1'!D31/25000)/'[1]Table 2'!G31</f>
        <v>0.17517305263157895</v>
      </c>
      <c r="I31" s="124">
        <f>VLOOKUP($A31,[1]!Data,67,FALSE)</f>
        <v>0.2737</v>
      </c>
    </row>
    <row r="32" spans="1:9" x14ac:dyDescent="0.2">
      <c r="A32" s="36" t="s">
        <v>857</v>
      </c>
      <c r="B32" s="37" t="s">
        <v>1529</v>
      </c>
      <c r="C32" s="78">
        <f>VLOOKUP($A32,[1]!Data,62,FALSE)</f>
        <v>1</v>
      </c>
      <c r="D32" s="39">
        <f>VLOOKUP($A32,[1]!Data,63,FALSE)</f>
        <v>0</v>
      </c>
      <c r="E32" s="39">
        <f>VLOOKUP($A32,[1]!Data,64,FALSE)</f>
        <v>1</v>
      </c>
      <c r="F32" s="39">
        <f>VLOOKUP($A32,[1]!Data,65,FALSE)</f>
        <v>9</v>
      </c>
      <c r="G32" s="39">
        <f>VLOOKUP($A32,[1]!Data,66,FALSE)</f>
        <v>10</v>
      </c>
      <c r="H32" s="126">
        <f>('[1]Table 1'!D32/25000)/'[1]Table 2'!G32</f>
        <v>0.14823599999999998</v>
      </c>
      <c r="I32" s="124">
        <f>VLOOKUP($A32,[1]!Data,67,FALSE)</f>
        <v>0.1</v>
      </c>
    </row>
    <row r="33" spans="1:9" x14ac:dyDescent="0.2">
      <c r="A33" s="36" t="s">
        <v>871</v>
      </c>
      <c r="B33" s="37" t="s">
        <v>1530</v>
      </c>
      <c r="C33" s="78">
        <f>VLOOKUP($A33,[1]!Data,62,FALSE)</f>
        <v>2</v>
      </c>
      <c r="D33" s="39">
        <f>VLOOKUP($A33,[1]!Data,63,FALSE)</f>
        <v>3</v>
      </c>
      <c r="E33" s="39">
        <f>VLOOKUP($A33,[1]!Data,64,FALSE)</f>
        <v>5</v>
      </c>
      <c r="F33" s="39">
        <f>VLOOKUP($A33,[1]!Data,65,FALSE)</f>
        <v>11</v>
      </c>
      <c r="G33" s="39">
        <f>VLOOKUP($A33,[1]!Data,66,FALSE)</f>
        <v>16</v>
      </c>
      <c r="H33" s="126">
        <f>('[1]Table 1'!D33/25000)/'[1]Table 2'!G33</f>
        <v>0.32195750000000001</v>
      </c>
      <c r="I33" s="124">
        <f>VLOOKUP($A33,[1]!Data,67,FALSE)</f>
        <v>0.125</v>
      </c>
    </row>
    <row r="34" spans="1:9" x14ac:dyDescent="0.2">
      <c r="A34" s="36" t="s">
        <v>893</v>
      </c>
      <c r="B34" s="37" t="s">
        <v>1531</v>
      </c>
      <c r="C34" s="78">
        <f>VLOOKUP($A34,[1]!Data,62,FALSE)</f>
        <v>5</v>
      </c>
      <c r="D34" s="39">
        <f>VLOOKUP($A34,[1]!Data,63,FALSE)</f>
        <v>2</v>
      </c>
      <c r="E34" s="39">
        <f>VLOOKUP($A34,[1]!Data,64,FALSE)</f>
        <v>7</v>
      </c>
      <c r="F34" s="39">
        <f>VLOOKUP($A34,[1]!Data,65,FALSE)</f>
        <v>10</v>
      </c>
      <c r="G34" s="39">
        <f>VLOOKUP($A34,[1]!Data,66,FALSE)</f>
        <v>17</v>
      </c>
      <c r="H34" s="126">
        <f>('[1]Table 1'!D34/25000)/'[1]Table 2'!G34</f>
        <v>0.1453435294117647</v>
      </c>
      <c r="I34" s="124">
        <f>VLOOKUP($A34,[1]!Data,67,FALSE)</f>
        <v>0.29409999999999997</v>
      </c>
    </row>
    <row r="35" spans="1:9" x14ac:dyDescent="0.2">
      <c r="A35" s="36" t="s">
        <v>905</v>
      </c>
      <c r="B35" s="37" t="s">
        <v>1532</v>
      </c>
      <c r="C35" s="78">
        <f>VLOOKUP($A35,[1]!Data,62,FALSE)</f>
        <v>9.3800000000000008</v>
      </c>
      <c r="D35" s="39">
        <f>VLOOKUP($A35,[1]!Data,63,FALSE)</f>
        <v>0</v>
      </c>
      <c r="E35" s="39">
        <f>VLOOKUP($A35,[1]!Data,64,FALSE)</f>
        <v>9.3800000000000008</v>
      </c>
      <c r="F35" s="39">
        <f>VLOOKUP($A35,[1]!Data,65,FALSE)</f>
        <v>27.02</v>
      </c>
      <c r="G35" s="39">
        <f>VLOOKUP($A35,[1]!Data,66,FALSE)</f>
        <v>36.4</v>
      </c>
      <c r="H35" s="126">
        <f>('[1]Table 1'!D35/25000)/'[1]Table 2'!G35</f>
        <v>0.12569780219780222</v>
      </c>
      <c r="I35" s="124">
        <f>VLOOKUP($A35,[1]!Data,67,FALSE)</f>
        <v>0.25769999999999998</v>
      </c>
    </row>
    <row r="36" spans="1:9" x14ac:dyDescent="0.2">
      <c r="A36" s="36" t="s">
        <v>957</v>
      </c>
      <c r="B36" s="37" t="s">
        <v>1533</v>
      </c>
      <c r="C36" s="78">
        <f>VLOOKUP($A36,[1]!Data,62,FALSE)</f>
        <v>6</v>
      </c>
      <c r="D36" s="39">
        <f>VLOOKUP($A36,[1]!Data,63,FALSE)</f>
        <v>1</v>
      </c>
      <c r="E36" s="39">
        <f>VLOOKUP($A36,[1]!Data,64,FALSE)</f>
        <v>7</v>
      </c>
      <c r="F36" s="39">
        <f>VLOOKUP($A36,[1]!Data,65,FALSE)</f>
        <v>23.38</v>
      </c>
      <c r="G36" s="39">
        <f>VLOOKUP($A36,[1]!Data,66,FALSE)</f>
        <v>30.38</v>
      </c>
      <c r="H36" s="126">
        <f>('[1]Table 1'!D36/25000)/'[1]Table 2'!G36</f>
        <v>0.17685714285714285</v>
      </c>
      <c r="I36" s="124">
        <f>VLOOKUP($A36,[1]!Data,67,FALSE)</f>
        <v>0.19750000000000001</v>
      </c>
    </row>
    <row r="37" spans="1:9" x14ac:dyDescent="0.2">
      <c r="A37" s="36" t="s">
        <v>1198</v>
      </c>
      <c r="B37" s="37" t="s">
        <v>950</v>
      </c>
      <c r="C37" s="78">
        <f>VLOOKUP($A37,[1]!Data,62,FALSE)</f>
        <v>5</v>
      </c>
      <c r="D37" s="39">
        <f>VLOOKUP($A37,[1]!Data,63,FALSE)</f>
        <v>1</v>
      </c>
      <c r="E37" s="39">
        <f>VLOOKUP($A37,[1]!Data,64,FALSE)</f>
        <v>6</v>
      </c>
      <c r="F37" s="39">
        <f>VLOOKUP($A37,[1]!Data,65,FALSE)</f>
        <v>20</v>
      </c>
      <c r="G37" s="39">
        <f>VLOOKUP($A37,[1]!Data,66,FALSE)</f>
        <v>26</v>
      </c>
      <c r="H37" s="126">
        <f>('[1]Table 1'!D37/25000)/'[1]Table 2'!G37</f>
        <v>0.26158923076923074</v>
      </c>
      <c r="I37" s="124">
        <f>VLOOKUP($A37,[1]!Data,67,FALSE)</f>
        <v>0.1923</v>
      </c>
    </row>
    <row r="38" spans="1:9" x14ac:dyDescent="0.2">
      <c r="A38" s="36" t="s">
        <v>981</v>
      </c>
      <c r="B38" s="37" t="s">
        <v>1534</v>
      </c>
      <c r="C38" s="78">
        <f>VLOOKUP($A38,[1]!Data,62,FALSE)</f>
        <v>3</v>
      </c>
      <c r="D38" s="39">
        <f>VLOOKUP($A38,[1]!Data,63,FALSE)</f>
        <v>0</v>
      </c>
      <c r="E38" s="39">
        <f>VLOOKUP($A38,[1]!Data,64,FALSE)</f>
        <v>3</v>
      </c>
      <c r="F38" s="39">
        <f>VLOOKUP($A38,[1]!Data,65,FALSE)</f>
        <v>5</v>
      </c>
      <c r="G38" s="39">
        <f>VLOOKUP($A38,[1]!Data,66,FALSE)</f>
        <v>8</v>
      </c>
      <c r="H38" s="126">
        <f>('[1]Table 1'!D38/25000)/'[1]Table 2'!G38</f>
        <v>0.29621999999999998</v>
      </c>
      <c r="I38" s="124">
        <f>VLOOKUP($A38,[1]!Data,67,FALSE)</f>
        <v>0.375</v>
      </c>
    </row>
    <row r="39" spans="1:9" x14ac:dyDescent="0.2">
      <c r="A39" s="36" t="s">
        <v>992</v>
      </c>
      <c r="B39" s="37" t="s">
        <v>1535</v>
      </c>
      <c r="C39" s="78">
        <f>VLOOKUP($A39,[1]!Data,62,FALSE)</f>
        <v>3</v>
      </c>
      <c r="D39" s="39">
        <f>VLOOKUP($A39,[1]!Data,63,FALSE)</f>
        <v>1</v>
      </c>
      <c r="E39" s="39">
        <f>VLOOKUP($A39,[1]!Data,64,FALSE)</f>
        <v>4</v>
      </c>
      <c r="F39" s="39">
        <f>VLOOKUP($A39,[1]!Data,65,FALSE)</f>
        <v>18</v>
      </c>
      <c r="G39" s="39">
        <f>VLOOKUP($A39,[1]!Data,66,FALSE)</f>
        <v>22</v>
      </c>
      <c r="H39" s="126">
        <f>('[1]Table 1'!D39/25000)/'[1]Table 2'!G39</f>
        <v>0.14915090909090908</v>
      </c>
      <c r="I39" s="124">
        <f>VLOOKUP($A39,[1]!Data,67,FALSE)</f>
        <v>0.13639999999999999</v>
      </c>
    </row>
    <row r="40" spans="1:9" x14ac:dyDescent="0.2">
      <c r="A40" s="36" t="s">
        <v>1009</v>
      </c>
      <c r="B40" s="37" t="s">
        <v>1536</v>
      </c>
      <c r="C40" s="78">
        <f>VLOOKUP($A40,[1]!Data,62,FALSE)</f>
        <v>1</v>
      </c>
      <c r="D40" s="39">
        <f>VLOOKUP($A40,[1]!Data,63,FALSE)</f>
        <v>0</v>
      </c>
      <c r="E40" s="39">
        <f>VLOOKUP($A40,[1]!Data,64,FALSE)</f>
        <v>1</v>
      </c>
      <c r="F40" s="39">
        <f>VLOOKUP($A40,[1]!Data,65,FALSE)</f>
        <v>10.63</v>
      </c>
      <c r="G40" s="39">
        <f>VLOOKUP($A40,[1]!Data,66,FALSE)</f>
        <v>11.63</v>
      </c>
      <c r="H40" s="126">
        <f>('[1]Table 1'!D40/25000)/'[1]Table 2'!G40</f>
        <v>7.5594153052450555E-2</v>
      </c>
      <c r="I40" s="124">
        <f>VLOOKUP($A40,[1]!Data,67,FALSE)</f>
        <v>8.5999999999999993E-2</v>
      </c>
    </row>
    <row r="41" spans="1:9" x14ac:dyDescent="0.2">
      <c r="A41" s="36" t="s">
        <v>1021</v>
      </c>
      <c r="B41" s="37" t="s">
        <v>1537</v>
      </c>
      <c r="C41" s="78">
        <f>VLOOKUP($A41,[1]!Data,62,FALSE)</f>
        <v>2</v>
      </c>
      <c r="D41" s="39">
        <f>VLOOKUP($A41,[1]!Data,63,FALSE)</f>
        <v>0</v>
      </c>
      <c r="E41" s="39">
        <f>VLOOKUP($A41,[1]!Data,64,FALSE)</f>
        <v>2</v>
      </c>
      <c r="F41" s="39">
        <f>VLOOKUP($A41,[1]!Data,65,FALSE)</f>
        <v>17.45</v>
      </c>
      <c r="G41" s="39">
        <f>VLOOKUP($A41,[1]!Data,66,FALSE)</f>
        <v>19.45</v>
      </c>
      <c r="H41" s="126">
        <f>('[1]Table 1'!D41/25000)/'[1]Table 2'!G41</f>
        <v>9.3593830334190234E-2</v>
      </c>
      <c r="I41" s="124">
        <f>VLOOKUP($A41,[1]!Data,67,FALSE)</f>
        <v>0.1028</v>
      </c>
    </row>
    <row r="42" spans="1:9" x14ac:dyDescent="0.2">
      <c r="A42" s="36" t="s">
        <v>574</v>
      </c>
      <c r="B42" s="37" t="s">
        <v>1538</v>
      </c>
      <c r="C42" s="78">
        <f>VLOOKUP($A42,[1]!Data,62,FALSE)</f>
        <v>122.6</v>
      </c>
      <c r="D42" s="39">
        <f>VLOOKUP($A42,[1]!Data,63,FALSE)</f>
        <v>1</v>
      </c>
      <c r="E42" s="39">
        <f>VLOOKUP($A42,[1]!Data,64,FALSE)</f>
        <v>123.6</v>
      </c>
      <c r="F42" s="39">
        <f>VLOOKUP($A42,[1]!Data,65,FALSE)</f>
        <v>295.68</v>
      </c>
      <c r="G42" s="39">
        <f>VLOOKUP($A42,[1]!Data,66,FALSE)</f>
        <v>419.28</v>
      </c>
      <c r="H42" s="126">
        <f>('[1]Table 1'!D42/25000)/'[1]Table 2'!G42</f>
        <v>0.10050992177065447</v>
      </c>
      <c r="I42" s="124">
        <f>VLOOKUP($A42,[1]!Data,67,FALSE)</f>
        <v>0.29239999999999999</v>
      </c>
    </row>
    <row r="43" spans="1:9" x14ac:dyDescent="0.2">
      <c r="A43" s="36" t="s">
        <v>455</v>
      </c>
      <c r="B43" s="37" t="s">
        <v>1539</v>
      </c>
      <c r="C43" s="78">
        <f>VLOOKUP($A43,[1]!Data,62,FALSE)</f>
        <v>8.9</v>
      </c>
      <c r="D43" s="39">
        <f>VLOOKUP($A43,[1]!Data,63,FALSE)</f>
        <v>0</v>
      </c>
      <c r="E43" s="39">
        <f>VLOOKUP($A43,[1]!Data,64,FALSE)</f>
        <v>8.9</v>
      </c>
      <c r="F43" s="39">
        <f>VLOOKUP($A43,[1]!Data,65,FALSE)</f>
        <v>17.22</v>
      </c>
      <c r="G43" s="39">
        <f>VLOOKUP($A43,[1]!Data,66,FALSE)</f>
        <v>26.12</v>
      </c>
      <c r="H43" s="126">
        <f>('[1]Table 1'!D43/25000)/'[1]Table 2'!G43</f>
        <v>0.13658499234303215</v>
      </c>
      <c r="I43" s="124">
        <f>VLOOKUP($A43,[1]!Data,67,FALSE)</f>
        <v>0.3407</v>
      </c>
    </row>
    <row r="44" spans="1:9" x14ac:dyDescent="0.2">
      <c r="A44" s="36" t="s">
        <v>1078</v>
      </c>
      <c r="B44" s="37" t="s">
        <v>1540</v>
      </c>
      <c r="C44" s="78">
        <f>VLOOKUP($A44,[1]!Data,62,FALSE)</f>
        <v>15</v>
      </c>
      <c r="D44" s="39">
        <f>VLOOKUP($A44,[1]!Data,63,FALSE)</f>
        <v>0</v>
      </c>
      <c r="E44" s="39">
        <f>VLOOKUP($A44,[1]!Data,64,FALSE)</f>
        <v>15</v>
      </c>
      <c r="F44" s="39">
        <f>VLOOKUP($A44,[1]!Data,65,FALSE)</f>
        <v>31</v>
      </c>
      <c r="G44" s="39">
        <f>VLOOKUP($A44,[1]!Data,66,FALSE)</f>
        <v>46</v>
      </c>
      <c r="H44" s="126">
        <f>('[1]Table 1'!D44/25000)/'[1]Table 2'!G44</f>
        <v>0.19444173913043478</v>
      </c>
      <c r="I44" s="124">
        <f>VLOOKUP($A44,[1]!Data,67,FALSE)</f>
        <v>0.3261</v>
      </c>
    </row>
    <row r="45" spans="1:9" x14ac:dyDescent="0.2">
      <c r="A45" s="36" t="s">
        <v>1108</v>
      </c>
      <c r="B45" s="37" t="s">
        <v>1541</v>
      </c>
      <c r="C45" s="78">
        <f>VLOOKUP($A45,[1]!Data,62,FALSE)</f>
        <v>6</v>
      </c>
      <c r="D45" s="39">
        <f>VLOOKUP($A45,[1]!Data,63,FALSE)</f>
        <v>0</v>
      </c>
      <c r="E45" s="39">
        <f>VLOOKUP($A45,[1]!Data,64,FALSE)</f>
        <v>6</v>
      </c>
      <c r="F45" s="39">
        <f>VLOOKUP($A45,[1]!Data,65,FALSE)</f>
        <v>28.5</v>
      </c>
      <c r="G45" s="39">
        <f>VLOOKUP($A45,[1]!Data,66,FALSE)</f>
        <v>34.5</v>
      </c>
      <c r="H45" s="126">
        <f>('[1]Table 1'!D45/25000)/'[1]Table 2'!G45</f>
        <v>0.22482782608695653</v>
      </c>
      <c r="I45" s="124">
        <f>VLOOKUP($A45,[1]!Data,67,FALSE)</f>
        <v>0.1739</v>
      </c>
    </row>
    <row r="46" spans="1:9" x14ac:dyDescent="0.2">
      <c r="A46" s="36" t="s">
        <v>1117</v>
      </c>
      <c r="B46" s="37" t="s">
        <v>1131</v>
      </c>
      <c r="C46" s="78">
        <f>VLOOKUP($A46,[1]!Data,62,FALSE)</f>
        <v>12.15</v>
      </c>
      <c r="D46" s="39">
        <f>VLOOKUP($A46,[1]!Data,63,FALSE)</f>
        <v>0</v>
      </c>
      <c r="E46" s="39">
        <f>VLOOKUP($A46,[1]!Data,64,FALSE)</f>
        <v>12.15</v>
      </c>
      <c r="F46" s="39">
        <f>VLOOKUP($A46,[1]!Data,65,FALSE)</f>
        <v>12.13</v>
      </c>
      <c r="G46" s="39">
        <f>VLOOKUP($A46,[1]!Data,66,FALSE)</f>
        <v>24.28</v>
      </c>
      <c r="H46" s="126">
        <f>('[1]Table 1'!D46/25000)/'[1]Table 2'!G46</f>
        <v>0.13865074135090608</v>
      </c>
      <c r="I46" s="124">
        <f>VLOOKUP($A46,[1]!Data,67,FALSE)</f>
        <v>0.50039999999999996</v>
      </c>
    </row>
    <row r="47" spans="1:9" x14ac:dyDescent="0.2">
      <c r="A47" s="36" t="s">
        <v>1133</v>
      </c>
      <c r="B47" s="37" t="s">
        <v>1542</v>
      </c>
      <c r="C47" s="78">
        <f>VLOOKUP($A47,[1]!Data,62,FALSE)</f>
        <v>2</v>
      </c>
      <c r="D47" s="39">
        <f>VLOOKUP($A47,[1]!Data,63,FALSE)</f>
        <v>0</v>
      </c>
      <c r="E47" s="39">
        <f>VLOOKUP($A47,[1]!Data,64,FALSE)</f>
        <v>2</v>
      </c>
      <c r="F47" s="39">
        <f>VLOOKUP($A47,[1]!Data,65,FALSE)</f>
        <v>10.8</v>
      </c>
      <c r="G47" s="39">
        <f>VLOOKUP($A47,[1]!Data,66,FALSE)</f>
        <v>12.8</v>
      </c>
      <c r="H47" s="126">
        <f>('[1]Table 1'!D47/25000)/'[1]Table 2'!G47</f>
        <v>0.18580937499999997</v>
      </c>
      <c r="I47" s="124">
        <f>VLOOKUP($A47,[1]!Data,67,FALSE)</f>
        <v>0.15629999999999999</v>
      </c>
    </row>
    <row r="48" spans="1:9" x14ac:dyDescent="0.2">
      <c r="A48" s="36" t="s">
        <v>1159</v>
      </c>
      <c r="B48" s="37" t="s">
        <v>1543</v>
      </c>
      <c r="C48" s="78">
        <f>VLOOKUP($A48,[1]!Data,62,FALSE)</f>
        <v>4</v>
      </c>
      <c r="D48" s="39">
        <f>VLOOKUP($A48,[1]!Data,63,FALSE)</f>
        <v>0</v>
      </c>
      <c r="E48" s="39">
        <f>VLOOKUP($A48,[1]!Data,64,FALSE)</f>
        <v>4</v>
      </c>
      <c r="F48" s="39">
        <f>VLOOKUP($A48,[1]!Data,65,FALSE)</f>
        <v>3</v>
      </c>
      <c r="G48" s="39">
        <f>VLOOKUP($A48,[1]!Data,66,FALSE)</f>
        <v>7</v>
      </c>
      <c r="H48" s="126">
        <f>('[1]Table 1'!D48/25000)/'[1]Table 2'!G48</f>
        <v>0.22701714285714286</v>
      </c>
      <c r="I48" s="124">
        <f>VLOOKUP($A48,[1]!Data,67,FALSE)</f>
        <v>0.57140000000000002</v>
      </c>
    </row>
    <row r="49" spans="1:9" x14ac:dyDescent="0.2">
      <c r="A49" s="36" t="s">
        <v>1335</v>
      </c>
      <c r="B49" s="37" t="s">
        <v>1544</v>
      </c>
      <c r="C49" s="78">
        <f>VLOOKUP($A49,[1]!Data,62,FALSE)</f>
        <v>1</v>
      </c>
      <c r="D49" s="39">
        <f>VLOOKUP($A49,[1]!Data,63,FALSE)</f>
        <v>4</v>
      </c>
      <c r="E49" s="39">
        <f>VLOOKUP($A49,[1]!Data,64,FALSE)</f>
        <v>5</v>
      </c>
      <c r="F49" s="39">
        <f>VLOOKUP($A49,[1]!Data,65,FALSE)</f>
        <v>30.81</v>
      </c>
      <c r="G49" s="39">
        <f>VLOOKUP($A49,[1]!Data,66,FALSE)</f>
        <v>35.81</v>
      </c>
      <c r="H49" s="126">
        <f>('[1]Table 1'!D49/25000)/'[1]Table 2'!G49</f>
        <v>0.1912482546774644</v>
      </c>
      <c r="I49" s="124">
        <f>VLOOKUP($A49,[1]!Data,67,FALSE)</f>
        <v>2.7900000000000001E-2</v>
      </c>
    </row>
    <row r="50" spans="1:9" x14ac:dyDescent="0.2">
      <c r="A50" s="36" t="s">
        <v>1187</v>
      </c>
      <c r="B50" s="37" t="s">
        <v>1545</v>
      </c>
      <c r="C50" s="78">
        <f>VLOOKUP($A50,[1]!Data,62,FALSE)</f>
        <v>2.81</v>
      </c>
      <c r="D50" s="39">
        <f>VLOOKUP($A50,[1]!Data,63,FALSE)</f>
        <v>0</v>
      </c>
      <c r="E50" s="39">
        <f>VLOOKUP($A50,[1]!Data,64,FALSE)</f>
        <v>2.81</v>
      </c>
      <c r="F50" s="39">
        <f>VLOOKUP($A50,[1]!Data,65,FALSE)</f>
        <v>7.95</v>
      </c>
      <c r="G50" s="39">
        <f>VLOOKUP($A50,[1]!Data,66,FALSE)</f>
        <v>10.76</v>
      </c>
      <c r="H50" s="126">
        <f>('[1]Table 1'!D50/25000)/'[1]Table 2'!G50</f>
        <v>7.8178438661710037E-2</v>
      </c>
      <c r="I50" s="124">
        <f>VLOOKUP($A50,[1]!Data,67,FALSE)</f>
        <v>0.26119999999999999</v>
      </c>
    </row>
    <row r="51" spans="1:9" x14ac:dyDescent="0.2">
      <c r="A51" s="36" t="s">
        <v>1210</v>
      </c>
      <c r="B51" s="37" t="s">
        <v>1546</v>
      </c>
      <c r="C51" s="78">
        <f>VLOOKUP($A51,[1]!Data,62,FALSE)</f>
        <v>14</v>
      </c>
      <c r="D51" s="39">
        <f>VLOOKUP($A51,[1]!Data,63,FALSE)</f>
        <v>0</v>
      </c>
      <c r="E51" s="39">
        <f>VLOOKUP($A51,[1]!Data,64,FALSE)</f>
        <v>14</v>
      </c>
      <c r="F51" s="39">
        <f>VLOOKUP($A51,[1]!Data,65,FALSE)</f>
        <v>29.95</v>
      </c>
      <c r="G51" s="39">
        <f>VLOOKUP($A51,[1]!Data,66,FALSE)</f>
        <v>43.95</v>
      </c>
      <c r="H51" s="126">
        <f>('[1]Table 1'!D51/25000)/'[1]Table 2'!G51</f>
        <v>0.13078589306029578</v>
      </c>
      <c r="I51" s="124">
        <f>VLOOKUP($A51,[1]!Data,67,FALSE)</f>
        <v>0.31850000000000001</v>
      </c>
    </row>
    <row r="52" spans="1:9" x14ac:dyDescent="0.2">
      <c r="A52" s="36" t="s">
        <v>1236</v>
      </c>
      <c r="B52" s="37" t="s">
        <v>1547</v>
      </c>
      <c r="C52" s="78">
        <f>VLOOKUP($A52,[1]!Data,62,FALSE)</f>
        <v>5</v>
      </c>
      <c r="D52" s="39">
        <f>VLOOKUP($A52,[1]!Data,63,FALSE)</f>
        <v>0</v>
      </c>
      <c r="E52" s="39">
        <f>VLOOKUP($A52,[1]!Data,64,FALSE)</f>
        <v>5</v>
      </c>
      <c r="F52" s="39">
        <f>VLOOKUP($A52,[1]!Data,65,FALSE)</f>
        <v>14.85</v>
      </c>
      <c r="G52" s="39">
        <f>VLOOKUP($A52,[1]!Data,66,FALSE)</f>
        <v>19.850000000000001</v>
      </c>
      <c r="H52" s="126">
        <f>('[1]Table 1'!D52/25000)/'[1]Table 2'!G52</f>
        <v>0.26731889168765743</v>
      </c>
      <c r="I52" s="124">
        <f>VLOOKUP($A52,[1]!Data,67,FALSE)</f>
        <v>0.25190000000000001</v>
      </c>
    </row>
    <row r="53" spans="1:9" x14ac:dyDescent="0.2">
      <c r="A53" s="36" t="s">
        <v>1249</v>
      </c>
      <c r="B53" s="37" t="s">
        <v>1548</v>
      </c>
      <c r="C53" s="78">
        <f>VLOOKUP($A53,[1]!Data,62,FALSE)</f>
        <v>8</v>
      </c>
      <c r="D53" s="39">
        <f>VLOOKUP($A53,[1]!Data,63,FALSE)</f>
        <v>0</v>
      </c>
      <c r="E53" s="39">
        <f>VLOOKUP($A53,[1]!Data,64,FALSE)</f>
        <v>8</v>
      </c>
      <c r="F53" s="39">
        <f>VLOOKUP($A53,[1]!Data,65,FALSE)</f>
        <v>28.3</v>
      </c>
      <c r="G53" s="39">
        <f>VLOOKUP($A53,[1]!Data,66,FALSE)</f>
        <v>36.299999999999997</v>
      </c>
      <c r="H53" s="126">
        <f>('[1]Table 1'!D53/25000)/'[1]Table 2'!G53</f>
        <v>0.1012573002754821</v>
      </c>
      <c r="I53" s="124">
        <f>VLOOKUP($A53,[1]!Data,67,FALSE)</f>
        <v>0.22040000000000001</v>
      </c>
    </row>
    <row r="54" spans="1:9" x14ac:dyDescent="0.2">
      <c r="A54" s="36" t="s">
        <v>1265</v>
      </c>
      <c r="B54" s="37" t="s">
        <v>1549</v>
      </c>
      <c r="C54" s="78">
        <f>VLOOKUP($A54,[1]!Data,62,FALSE)</f>
        <v>10</v>
      </c>
      <c r="D54" s="39">
        <f>VLOOKUP($A54,[1]!Data,63,FALSE)</f>
        <v>1</v>
      </c>
      <c r="E54" s="39">
        <f>VLOOKUP($A54,[1]!Data,64,FALSE)</f>
        <v>11</v>
      </c>
      <c r="F54" s="39">
        <f>VLOOKUP($A54,[1]!Data,65,FALSE)</f>
        <v>35.799999999999997</v>
      </c>
      <c r="G54" s="39">
        <f>VLOOKUP($A54,[1]!Data,66,FALSE)</f>
        <v>46.8</v>
      </c>
      <c r="H54" s="126">
        <f>('[1]Table 1'!D54/25000)/'[1]Table 2'!G54</f>
        <v>0.12048717948717949</v>
      </c>
      <c r="I54" s="124">
        <f>VLOOKUP($A54,[1]!Data,67,FALSE)</f>
        <v>0.2137</v>
      </c>
    </row>
    <row r="55" spans="1:9" x14ac:dyDescent="0.2">
      <c r="A55" s="36" t="s">
        <v>1280</v>
      </c>
      <c r="B55" s="37" t="s">
        <v>1550</v>
      </c>
      <c r="C55" s="78">
        <f>VLOOKUP($A55,[1]!Data,62,FALSE)</f>
        <v>1</v>
      </c>
      <c r="D55" s="39">
        <f>VLOOKUP($A55,[1]!Data,63,FALSE)</f>
        <v>2</v>
      </c>
      <c r="E55" s="39">
        <f>VLOOKUP($A55,[1]!Data,64,FALSE)</f>
        <v>3</v>
      </c>
      <c r="F55" s="39">
        <f>VLOOKUP($A55,[1]!Data,65,FALSE)</f>
        <v>6.58</v>
      </c>
      <c r="G55" s="39">
        <f>VLOOKUP($A55,[1]!Data,66,FALSE)</f>
        <v>9.58</v>
      </c>
      <c r="H55" s="126">
        <f>('[1]Table 1'!D55/25000)/'[1]Table 2'!G55</f>
        <v>0.28268475991649272</v>
      </c>
      <c r="I55" s="124">
        <f>VLOOKUP($A55,[1]!Data,67,FALSE)</f>
        <v>0.10440000000000001</v>
      </c>
    </row>
    <row r="56" spans="1:9" x14ac:dyDescent="0.2">
      <c r="A56" s="36" t="s">
        <v>1292</v>
      </c>
      <c r="B56" s="37" t="s">
        <v>1551</v>
      </c>
      <c r="C56" s="78">
        <f>VLOOKUP($A56,[1]!Data,62,FALSE)</f>
        <v>1</v>
      </c>
      <c r="D56" s="39">
        <f>VLOOKUP($A56,[1]!Data,63,FALSE)</f>
        <v>0</v>
      </c>
      <c r="E56" s="39">
        <f>VLOOKUP($A56,[1]!Data,64,FALSE)</f>
        <v>1</v>
      </c>
      <c r="F56" s="39">
        <f>VLOOKUP($A56,[1]!Data,65,FALSE)</f>
        <v>12.3</v>
      </c>
      <c r="G56" s="39">
        <f>VLOOKUP($A56,[1]!Data,66,FALSE)</f>
        <v>13.3</v>
      </c>
      <c r="H56" s="126">
        <f>('[1]Table 1'!D56/25000)/'[1]Table 2'!G56</f>
        <v>0.19097443609022557</v>
      </c>
      <c r="I56" s="124">
        <f>VLOOKUP($A56,[1]!Data,67,FALSE)</f>
        <v>7.5200000000000003E-2</v>
      </c>
    </row>
    <row r="57" spans="1:9" x14ac:dyDescent="0.2">
      <c r="A57" s="36" t="s">
        <v>1323</v>
      </c>
      <c r="B57" s="37" t="s">
        <v>1552</v>
      </c>
      <c r="C57" s="78">
        <f>VLOOKUP($A57,[1]!Data,62,FALSE)</f>
        <v>1</v>
      </c>
      <c r="D57" s="39">
        <f>VLOOKUP($A57,[1]!Data,63,FALSE)</f>
        <v>0</v>
      </c>
      <c r="E57" s="39">
        <f>VLOOKUP($A57,[1]!Data,64,FALSE)</f>
        <v>1</v>
      </c>
      <c r="F57" s="39">
        <f>VLOOKUP($A57,[1]!Data,65,FALSE)</f>
        <v>5.3</v>
      </c>
      <c r="G57" s="39">
        <f>VLOOKUP($A57,[1]!Data,66,FALSE)</f>
        <v>6.3</v>
      </c>
      <c r="H57" s="126">
        <f>('[1]Table 1'!D57/25000)/'[1]Table 2'!G57</f>
        <v>0.22723174603174603</v>
      </c>
      <c r="I57" s="124">
        <f>VLOOKUP($A57,[1]!Data,67,FALSE)</f>
        <v>0.15870000000000001</v>
      </c>
    </row>
    <row r="58" spans="1:9" x14ac:dyDescent="0.2">
      <c r="A58" s="36" t="s">
        <v>1360</v>
      </c>
      <c r="B58" s="37" t="s">
        <v>1553</v>
      </c>
      <c r="C58" s="78">
        <f>VLOOKUP($A58,[1]!Data,62,FALSE)</f>
        <v>3.75</v>
      </c>
      <c r="D58" s="39">
        <f>VLOOKUP($A58,[1]!Data,63,FALSE)</f>
        <v>0</v>
      </c>
      <c r="E58" s="39">
        <f>VLOOKUP($A58,[1]!Data,64,FALSE)</f>
        <v>3.75</v>
      </c>
      <c r="F58" s="39">
        <f>VLOOKUP($A58,[1]!Data,65,FALSE)</f>
        <v>10</v>
      </c>
      <c r="G58" s="39">
        <f>VLOOKUP($A58,[1]!Data,66,FALSE)</f>
        <v>13.75</v>
      </c>
      <c r="H58" s="126">
        <f>('[1]Table 1'!D58/25000)/'[1]Table 2'!G58</f>
        <v>0.17963927272727273</v>
      </c>
      <c r="I58" s="124">
        <f>VLOOKUP($A58,[1]!Data,67,FALSE)</f>
        <v>0.2727</v>
      </c>
    </row>
    <row r="59" spans="1:9" x14ac:dyDescent="0.2">
      <c r="A59" s="36" t="s">
        <v>1371</v>
      </c>
      <c r="B59" s="37" t="s">
        <v>1554</v>
      </c>
      <c r="C59" s="78">
        <f>VLOOKUP($A59,[1]!Data,62,FALSE)</f>
        <v>4.6900000000000004</v>
      </c>
      <c r="D59" s="39">
        <f>VLOOKUP($A59,[1]!Data,63,FALSE)</f>
        <v>0.94</v>
      </c>
      <c r="E59" s="39">
        <f>VLOOKUP($A59,[1]!Data,64,FALSE)</f>
        <v>5.63</v>
      </c>
      <c r="F59" s="39">
        <f>VLOOKUP($A59,[1]!Data,65,FALSE)</f>
        <v>12.19</v>
      </c>
      <c r="G59" s="39">
        <f>VLOOKUP($A59,[1]!Data,66,FALSE)</f>
        <v>17.82</v>
      </c>
      <c r="H59" s="126">
        <f>('[1]Table 1'!D59/25000)/'[1]Table 2'!G59</f>
        <v>7.6630751964085309E-2</v>
      </c>
      <c r="I59" s="124">
        <f>VLOOKUP($A59,[1]!Data,67,FALSE)</f>
        <v>0.26319999999999999</v>
      </c>
    </row>
    <row r="60" spans="1:9" x14ac:dyDescent="0.2">
      <c r="A60" s="36" t="s">
        <v>1383</v>
      </c>
      <c r="B60" s="37" t="s">
        <v>1555</v>
      </c>
      <c r="C60" s="78">
        <f>VLOOKUP($A60,[1]!Data,62,FALSE)</f>
        <v>5</v>
      </c>
      <c r="D60" s="39">
        <f>VLOOKUP($A60,[1]!Data,63,FALSE)</f>
        <v>4</v>
      </c>
      <c r="E60" s="39">
        <f>VLOOKUP($A60,[1]!Data,64,FALSE)</f>
        <v>9</v>
      </c>
      <c r="F60" s="39">
        <f>VLOOKUP($A60,[1]!Data,65,FALSE)</f>
        <v>44.53</v>
      </c>
      <c r="G60" s="39">
        <f>VLOOKUP($A60,[1]!Data,66,FALSE)</f>
        <v>53.53</v>
      </c>
      <c r="H60" s="126">
        <f>('[1]Table 1'!D60/25000)/'[1]Table 2'!G60</f>
        <v>0.16731926022790958</v>
      </c>
      <c r="I60" s="124">
        <f>VLOOKUP($A60,[1]!Data,67,FALSE)</f>
        <v>9.3399999999999997E-2</v>
      </c>
    </row>
    <row r="61" spans="1:9" x14ac:dyDescent="0.2">
      <c r="A61" s="36" t="s">
        <v>1146</v>
      </c>
      <c r="B61" s="37" t="s">
        <v>1556</v>
      </c>
      <c r="C61" s="78">
        <f>VLOOKUP($A61,[1]!Data,62,FALSE)</f>
        <v>3</v>
      </c>
      <c r="D61" s="39">
        <f>VLOOKUP($A61,[1]!Data,63,FALSE)</f>
        <v>0</v>
      </c>
      <c r="E61" s="39">
        <f>VLOOKUP($A61,[1]!Data,64,FALSE)</f>
        <v>3</v>
      </c>
      <c r="F61" s="39">
        <f>VLOOKUP($A61,[1]!Data,65,FALSE)</f>
        <v>12</v>
      </c>
      <c r="G61" s="39">
        <f>VLOOKUP($A61,[1]!Data,66,FALSE)</f>
        <v>15</v>
      </c>
      <c r="H61" s="126">
        <f>('[1]Table 1'!D61/25000)/'[1]Table 2'!G61</f>
        <v>0.11985333333333334</v>
      </c>
      <c r="I61" s="124">
        <f>VLOOKUP($A61,[1]!Data,67,FALSE)</f>
        <v>0.2</v>
      </c>
    </row>
    <row r="62" spans="1:9" x14ac:dyDescent="0.2">
      <c r="A62" s="36" t="s">
        <v>1394</v>
      </c>
      <c r="B62" s="37" t="s">
        <v>1557</v>
      </c>
      <c r="C62" s="78">
        <f>VLOOKUP($A62,[1]!Data,62,FALSE)</f>
        <v>125</v>
      </c>
      <c r="D62" s="39">
        <f>VLOOKUP($A62,[1]!Data,63,FALSE)</f>
        <v>1</v>
      </c>
      <c r="E62" s="39">
        <f>VLOOKUP($A62,[1]!Data,64,FALSE)</f>
        <v>126</v>
      </c>
      <c r="F62" s="39">
        <f>VLOOKUP($A62,[1]!Data,65,FALSE)</f>
        <v>121</v>
      </c>
      <c r="G62" s="39">
        <f>VLOOKUP($A62,[1]!Data,66,FALSE)</f>
        <v>247</v>
      </c>
      <c r="H62" s="126">
        <f>('[1]Table 1'!D62/25000)/'[1]Table 2'!G62</f>
        <v>0.16627497975708502</v>
      </c>
      <c r="I62" s="124">
        <f>VLOOKUP($A62,[1]!Data,67,FALSE)</f>
        <v>0.50609999999999999</v>
      </c>
    </row>
    <row r="63" spans="1:9" x14ac:dyDescent="0.2">
      <c r="A63" s="36" t="s">
        <v>1408</v>
      </c>
      <c r="B63" s="37" t="s">
        <v>1558</v>
      </c>
      <c r="C63" s="78">
        <f>VLOOKUP($A63,[1]!Data,62,FALSE)</f>
        <v>1</v>
      </c>
      <c r="D63" s="39">
        <f>VLOOKUP($A63,[1]!Data,63,FALSE)</f>
        <v>0</v>
      </c>
      <c r="E63" s="39">
        <f>VLOOKUP($A63,[1]!Data,64,FALSE)</f>
        <v>1</v>
      </c>
      <c r="F63" s="39">
        <f>VLOOKUP($A63,[1]!Data,65,FALSE)</f>
        <v>7</v>
      </c>
      <c r="G63" s="39">
        <f>VLOOKUP($A63,[1]!Data,66,FALSE)</f>
        <v>8</v>
      </c>
      <c r="H63" s="126">
        <f>('[1]Table 1'!D63/25000)/'[1]Table 2'!G63</f>
        <v>0.100605</v>
      </c>
      <c r="I63" s="124">
        <f>VLOOKUP($A63,[1]!Data,67,FALSE)</f>
        <v>0.125</v>
      </c>
    </row>
    <row r="64" spans="1:9" x14ac:dyDescent="0.2">
      <c r="A64" s="36" t="s">
        <v>1420</v>
      </c>
      <c r="B64" s="37" t="s">
        <v>1559</v>
      </c>
      <c r="C64" s="78">
        <f>VLOOKUP($A64,[1]!Data,62,FALSE)</f>
        <v>9</v>
      </c>
      <c r="D64" s="39">
        <f>VLOOKUP($A64,[1]!Data,63,FALSE)</f>
        <v>5.3</v>
      </c>
      <c r="E64" s="39">
        <f>VLOOKUP($A64,[1]!Data,64,FALSE)</f>
        <v>14.3</v>
      </c>
      <c r="F64" s="39">
        <f>VLOOKUP($A64,[1]!Data,65,FALSE)</f>
        <v>22.23</v>
      </c>
      <c r="G64" s="39">
        <f>VLOOKUP($A64,[1]!Data,66,FALSE)</f>
        <v>36.53</v>
      </c>
      <c r="H64" s="126">
        <f>('[1]Table 1'!D64/25000)/'[1]Table 2'!G64</f>
        <v>0.13666356419381331</v>
      </c>
      <c r="I64" s="124">
        <f>VLOOKUP($A64,[1]!Data,67,FALSE)</f>
        <v>0.24640000000000001</v>
      </c>
    </row>
    <row r="65" spans="1:9" x14ac:dyDescent="0.2">
      <c r="A65" s="36" t="s">
        <v>1432</v>
      </c>
      <c r="B65" s="37" t="s">
        <v>1560</v>
      </c>
      <c r="C65" s="80">
        <f>VLOOKUP($A65,[1]!Data,62,FALSE)</f>
        <v>6</v>
      </c>
      <c r="D65" s="81">
        <f>VLOOKUP($A65,[1]!Data,63,FALSE)</f>
        <v>3</v>
      </c>
      <c r="E65" s="81">
        <f>VLOOKUP($A65,[1]!Data,64,FALSE)</f>
        <v>9</v>
      </c>
      <c r="F65" s="81">
        <f>VLOOKUP($A65,[1]!Data,65,FALSE)</f>
        <v>19.190000000000001</v>
      </c>
      <c r="G65" s="81">
        <f>VLOOKUP($A65,[1]!Data,66,FALSE)</f>
        <v>28.19</v>
      </c>
      <c r="H65" s="575">
        <f>('[1]Table 1'!D65/25000)/'[1]Table 2'!G65</f>
        <v>0.11600993260021283</v>
      </c>
      <c r="I65" s="125">
        <f>VLOOKUP($A65,[1]!Data,67,FALSE)</f>
        <v>0.21279999999999999</v>
      </c>
    </row>
    <row r="66" spans="1:9" ht="13.5" thickBot="1" x14ac:dyDescent="0.25">
      <c r="A66" s="624" t="s">
        <v>1471</v>
      </c>
      <c r="B66" s="625"/>
      <c r="C66" s="123">
        <f t="shared" ref="C66:I66" si="0">AVERAGE(C8:C65)</f>
        <v>11.54189655172414</v>
      </c>
      <c r="D66" s="123">
        <f t="shared" si="0"/>
        <v>1.0025862068965516</v>
      </c>
      <c r="E66" s="123">
        <f t="shared" si="0"/>
        <v>12.544482758620687</v>
      </c>
      <c r="F66" s="123">
        <f t="shared" si="0"/>
        <v>29.463275862068969</v>
      </c>
      <c r="G66" s="123">
        <f t="shared" si="0"/>
        <v>42.007758620689657</v>
      </c>
      <c r="H66" s="123">
        <f t="shared" si="0"/>
        <v>0.16273328374467699</v>
      </c>
      <c r="I66" s="123">
        <f t="shared" si="0"/>
        <v>0.21212241379310343</v>
      </c>
    </row>
    <row r="67" spans="1:9" ht="14.25" thickTop="1" thickBot="1" x14ac:dyDescent="0.25">
      <c r="A67" s="601" t="s">
        <v>1455</v>
      </c>
      <c r="B67" s="602"/>
      <c r="C67" s="108"/>
      <c r="D67" s="108"/>
      <c r="E67" s="108"/>
      <c r="F67" s="109"/>
      <c r="G67" s="109"/>
      <c r="H67" s="109"/>
      <c r="I67" s="110"/>
    </row>
    <row r="68" spans="1:9" ht="13.5" thickTop="1" x14ac:dyDescent="0.2">
      <c r="A68" s="51" t="s">
        <v>364</v>
      </c>
      <c r="B68" s="51" t="s">
        <v>1561</v>
      </c>
      <c r="C68" s="78">
        <f>VLOOKUP($A68,[1]!Data,62,FALSE)</f>
        <v>1</v>
      </c>
      <c r="D68" s="39">
        <f>VLOOKUP($A68,[1]!Data,63,FALSE)</f>
        <v>1</v>
      </c>
      <c r="E68" s="39">
        <f>VLOOKUP($A68,[1]!Data,64,FALSE)</f>
        <v>2</v>
      </c>
      <c r="F68" s="39">
        <f>VLOOKUP($A68,[1]!Data,65,FALSE)</f>
        <v>17</v>
      </c>
      <c r="G68" s="39">
        <f>VLOOKUP($A68,[1]!Data,66,FALSE)</f>
        <v>19</v>
      </c>
      <c r="H68" s="126">
        <f>('[1]Table 1'!D68/25000)/'[1]Table 2'!G68</f>
        <v>0.16118736842105263</v>
      </c>
      <c r="I68" s="124">
        <f>VLOOKUP($A68,[1]!Data,67,FALSE)</f>
        <v>5.2600000000000001E-2</v>
      </c>
    </row>
    <row r="69" spans="1:9" x14ac:dyDescent="0.2">
      <c r="A69" s="51" t="s">
        <v>409</v>
      </c>
      <c r="B69" s="51" t="s">
        <v>1562</v>
      </c>
      <c r="C69" s="78">
        <f>VLOOKUP($A69,[1]!Data,62,FALSE)</f>
        <v>2</v>
      </c>
      <c r="D69" s="39">
        <f>VLOOKUP($A69,[1]!Data,63,FALSE)</f>
        <v>0</v>
      </c>
      <c r="E69" s="39">
        <f>VLOOKUP($A69,[1]!Data,64,FALSE)</f>
        <v>2</v>
      </c>
      <c r="F69" s="39">
        <f>VLOOKUP($A69,[1]!Data,65,FALSE)</f>
        <v>17</v>
      </c>
      <c r="G69" s="39">
        <f>VLOOKUP($A69,[1]!Data,66,FALSE)</f>
        <v>19</v>
      </c>
      <c r="H69" s="126">
        <f>('[1]Table 1'!D69/25000)/'[1]Table 2'!G69</f>
        <v>0.10843368421052631</v>
      </c>
      <c r="I69" s="124">
        <f>VLOOKUP($A69,[1]!Data,67,FALSE)</f>
        <v>0.1053</v>
      </c>
    </row>
    <row r="70" spans="1:9" x14ac:dyDescent="0.2">
      <c r="A70" s="51" t="s">
        <v>393</v>
      </c>
      <c r="B70" s="51" t="s">
        <v>1563</v>
      </c>
      <c r="C70" s="78">
        <f>VLOOKUP($A70,[1]!Data,62,FALSE)</f>
        <v>4</v>
      </c>
      <c r="D70" s="39">
        <f>VLOOKUP($A70,[1]!Data,63,FALSE)</f>
        <v>8.6300000000000008</v>
      </c>
      <c r="E70" s="39">
        <f>VLOOKUP($A70,[1]!Data,64,FALSE)</f>
        <v>12.63</v>
      </c>
      <c r="F70" s="39">
        <f>VLOOKUP($A70,[1]!Data,65,FALSE)</f>
        <v>33.15</v>
      </c>
      <c r="G70" s="39">
        <f>VLOOKUP($A70,[1]!Data,66,FALSE)</f>
        <v>45.78</v>
      </c>
      <c r="H70" s="126">
        <f>('[1]Table 1'!D70/25000)/'[1]Table 2'!G70</f>
        <v>0.13312625600698996</v>
      </c>
      <c r="I70" s="124">
        <f>VLOOKUP($A70,[1]!Data,67,FALSE)</f>
        <v>8.7400000000000005E-2</v>
      </c>
    </row>
    <row r="71" spans="1:9" x14ac:dyDescent="0.2">
      <c r="A71" s="51" t="s">
        <v>428</v>
      </c>
      <c r="B71" s="51" t="s">
        <v>1564</v>
      </c>
      <c r="C71" s="78">
        <f>VLOOKUP($A71,[1]!Data,62,FALSE)</f>
        <v>2</v>
      </c>
      <c r="D71" s="39">
        <f>VLOOKUP($A71,[1]!Data,63,FALSE)</f>
        <v>1</v>
      </c>
      <c r="E71" s="39">
        <f>VLOOKUP($A71,[1]!Data,64,FALSE)</f>
        <v>3</v>
      </c>
      <c r="F71" s="39">
        <f>VLOOKUP($A71,[1]!Data,65,FALSE)</f>
        <v>15.1</v>
      </c>
      <c r="G71" s="39">
        <f>VLOOKUP($A71,[1]!Data,66,FALSE)</f>
        <v>18.100000000000001</v>
      </c>
      <c r="H71" s="126">
        <f>('[1]Table 1'!D71/25000)/'[1]Table 2'!G71</f>
        <v>0.14867624309392263</v>
      </c>
      <c r="I71" s="124">
        <f>VLOOKUP($A71,[1]!Data,67,FALSE)</f>
        <v>0.1105</v>
      </c>
    </row>
    <row r="72" spans="1:9" x14ac:dyDescent="0.2">
      <c r="A72" s="51" t="s">
        <v>629</v>
      </c>
      <c r="B72" s="51" t="s">
        <v>1565</v>
      </c>
      <c r="C72" s="78">
        <f>VLOOKUP($A72,[1]!Data,62,FALSE)</f>
        <v>4.68</v>
      </c>
      <c r="D72" s="39">
        <f>VLOOKUP($A72,[1]!Data,63,FALSE)</f>
        <v>5</v>
      </c>
      <c r="E72" s="39">
        <f>VLOOKUP($A72,[1]!Data,64,FALSE)</f>
        <v>9.68</v>
      </c>
      <c r="F72" s="39">
        <f>VLOOKUP($A72,[1]!Data,65,FALSE)</f>
        <v>61.05</v>
      </c>
      <c r="G72" s="39">
        <f>VLOOKUP($A72,[1]!Data,66,FALSE)</f>
        <v>70.73</v>
      </c>
      <c r="H72" s="126">
        <f>('[1]Table 1'!D72/25000)/'[1]Table 2'!G72</f>
        <v>0.10572826240633394</v>
      </c>
      <c r="I72" s="124">
        <f>VLOOKUP($A72,[1]!Data,67,FALSE)</f>
        <v>6.6199999999999995E-2</v>
      </c>
    </row>
    <row r="73" spans="1:9" x14ac:dyDescent="0.2">
      <c r="A73" s="51" t="s">
        <v>715</v>
      </c>
      <c r="B73" s="51" t="s">
        <v>1566</v>
      </c>
      <c r="C73" s="78">
        <f>VLOOKUP($A73,[1]!Data,62,FALSE)</f>
        <v>4.6900000000000004</v>
      </c>
      <c r="D73" s="39">
        <f>VLOOKUP($A73,[1]!Data,63,FALSE)</f>
        <v>0</v>
      </c>
      <c r="E73" s="39">
        <f>VLOOKUP($A73,[1]!Data,64,FALSE)</f>
        <v>4.6900000000000004</v>
      </c>
      <c r="F73" s="39">
        <f>VLOOKUP($A73,[1]!Data,65,FALSE)</f>
        <v>42.07</v>
      </c>
      <c r="G73" s="39">
        <f>VLOOKUP($A73,[1]!Data,66,FALSE)</f>
        <v>46.76</v>
      </c>
      <c r="H73" s="126">
        <f>('[1]Table 1'!D73/25000)/'[1]Table 2'!G73</f>
        <v>9.6714285714285711E-2</v>
      </c>
      <c r="I73" s="124">
        <f>VLOOKUP($A73,[1]!Data,67,FALSE)</f>
        <v>0.1003</v>
      </c>
    </row>
    <row r="74" spans="1:9" x14ac:dyDescent="0.2">
      <c r="A74" s="51" t="s">
        <v>754</v>
      </c>
      <c r="B74" s="51" t="s">
        <v>1567</v>
      </c>
      <c r="C74" s="78">
        <f>VLOOKUP($A74,[1]!Data,62,FALSE)</f>
        <v>8</v>
      </c>
      <c r="D74" s="39">
        <f>VLOOKUP($A74,[1]!Data,63,FALSE)</f>
        <v>0</v>
      </c>
      <c r="E74" s="39">
        <f>VLOOKUP($A74,[1]!Data,64,FALSE)</f>
        <v>8</v>
      </c>
      <c r="F74" s="39">
        <f>VLOOKUP($A74,[1]!Data,65,FALSE)</f>
        <v>53.5</v>
      </c>
      <c r="G74" s="39">
        <f>VLOOKUP($A74,[1]!Data,66,FALSE)</f>
        <v>61.5</v>
      </c>
      <c r="H74" s="126">
        <f>('[1]Table 1'!D74/25000)/'[1]Table 2'!G74</f>
        <v>5.9395772357723572E-2</v>
      </c>
      <c r="I74" s="124">
        <f>VLOOKUP($A74,[1]!Data,67,FALSE)</f>
        <v>0.13009999999999999</v>
      </c>
    </row>
    <row r="75" spans="1:9" x14ac:dyDescent="0.2">
      <c r="A75" s="51" t="s">
        <v>1048</v>
      </c>
      <c r="B75" s="51" t="s">
        <v>1568</v>
      </c>
      <c r="C75" s="78">
        <f>VLOOKUP($A75,[1]!Data,62,FALSE)</f>
        <v>2.88</v>
      </c>
      <c r="D75" s="39">
        <f>VLOOKUP($A75,[1]!Data,63,FALSE)</f>
        <v>0</v>
      </c>
      <c r="E75" s="39">
        <f>VLOOKUP($A75,[1]!Data,64,FALSE)</f>
        <v>2.88</v>
      </c>
      <c r="F75" s="39">
        <f>VLOOKUP($A75,[1]!Data,65,FALSE)</f>
        <v>11.44</v>
      </c>
      <c r="G75" s="39">
        <f>VLOOKUP($A75,[1]!Data,66,FALSE)</f>
        <v>14.32</v>
      </c>
      <c r="H75" s="126">
        <f>('[1]Table 1'!D75/25000)/'[1]Table 2'!G75</f>
        <v>0.13616201117318436</v>
      </c>
      <c r="I75" s="124">
        <f>VLOOKUP($A75,[1]!Data,67,FALSE)</f>
        <v>0.2011</v>
      </c>
    </row>
    <row r="76" spans="1:9" x14ac:dyDescent="0.2">
      <c r="A76" s="51" t="s">
        <v>1064</v>
      </c>
      <c r="B76" s="51" t="s">
        <v>1569</v>
      </c>
      <c r="C76" s="78">
        <f>VLOOKUP($A76,[1]!Data,62,FALSE)</f>
        <v>6</v>
      </c>
      <c r="D76" s="39">
        <f>VLOOKUP($A76,[1]!Data,63,FALSE)</f>
        <v>0</v>
      </c>
      <c r="E76" s="39">
        <f>VLOOKUP($A76,[1]!Data,64,FALSE)</f>
        <v>6</v>
      </c>
      <c r="F76" s="39">
        <f>VLOOKUP($A76,[1]!Data,65,FALSE)</f>
        <v>24.08</v>
      </c>
      <c r="G76" s="39">
        <f>VLOOKUP($A76,[1]!Data,66,FALSE)</f>
        <v>30.08</v>
      </c>
      <c r="H76" s="126">
        <f>('[1]Table 1'!D76/25000)/'[1]Table 2'!G76</f>
        <v>0.11883244680851064</v>
      </c>
      <c r="I76" s="124">
        <f>VLOOKUP($A76,[1]!Data,67,FALSE)</f>
        <v>0.19950000000000001</v>
      </c>
    </row>
    <row r="77" spans="1:9" x14ac:dyDescent="0.2">
      <c r="A77" s="51" t="s">
        <v>1093</v>
      </c>
      <c r="B77" s="51" t="s">
        <v>1570</v>
      </c>
      <c r="C77" s="78">
        <f>VLOOKUP($A77,[1]!Data,62,FALSE)</f>
        <v>3</v>
      </c>
      <c r="D77" s="39">
        <f>VLOOKUP($A77,[1]!Data,63,FALSE)</f>
        <v>0</v>
      </c>
      <c r="E77" s="39">
        <f>VLOOKUP($A77,[1]!Data,64,FALSE)</f>
        <v>3</v>
      </c>
      <c r="F77" s="39">
        <f>VLOOKUP($A77,[1]!Data,65,FALSE)</f>
        <v>46.19</v>
      </c>
      <c r="G77" s="39">
        <f>VLOOKUP($A77,[1]!Data,66,FALSE)</f>
        <v>49.19</v>
      </c>
      <c r="H77" s="126">
        <f>('[1]Table 1'!D77/25000)/'[1]Table 2'!G77</f>
        <v>0.13703679609676764</v>
      </c>
      <c r="I77" s="124">
        <f>VLOOKUP($A77,[1]!Data,67,FALSE)</f>
        <v>6.0999999999999999E-2</v>
      </c>
    </row>
    <row r="78" spans="1:9" x14ac:dyDescent="0.2">
      <c r="A78" s="51" t="s">
        <v>1172</v>
      </c>
      <c r="B78" s="51" t="s">
        <v>1571</v>
      </c>
      <c r="C78" s="78">
        <f>VLOOKUP($A78,[1]!Data,62,FALSE)</f>
        <v>3.5</v>
      </c>
      <c r="D78" s="39">
        <f>VLOOKUP($A78,[1]!Data,63,FALSE)</f>
        <v>0.88</v>
      </c>
      <c r="E78" s="39">
        <f>VLOOKUP($A78,[1]!Data,64,FALSE)</f>
        <v>4.38</v>
      </c>
      <c r="F78" s="39">
        <f>VLOOKUP($A78,[1]!Data,65,FALSE)</f>
        <v>3.94</v>
      </c>
      <c r="G78" s="39">
        <f>VLOOKUP($A78,[1]!Data,66,FALSE)</f>
        <v>8.32</v>
      </c>
      <c r="H78" s="126">
        <f>('[1]Table 1'!D78/25000)/'[1]Table 2'!G78</f>
        <v>0.21409615384615382</v>
      </c>
      <c r="I78" s="124">
        <f>VLOOKUP($A78,[1]!Data,67,FALSE)</f>
        <v>0.42070000000000002</v>
      </c>
    </row>
    <row r="79" spans="1:9" x14ac:dyDescent="0.2">
      <c r="A79" s="51" t="s">
        <v>1305</v>
      </c>
      <c r="B79" s="51" t="s">
        <v>1572</v>
      </c>
      <c r="C79" s="78">
        <f>VLOOKUP($A79,[1]!Data,62,FALSE)</f>
        <v>5</v>
      </c>
      <c r="D79" s="39">
        <f>VLOOKUP($A79,[1]!Data,63,FALSE)</f>
        <v>1</v>
      </c>
      <c r="E79" s="39">
        <f>VLOOKUP($A79,[1]!Data,64,FALSE)</f>
        <v>6</v>
      </c>
      <c r="F79" s="39">
        <f>VLOOKUP($A79,[1]!Data,65,FALSE)</f>
        <v>40.03</v>
      </c>
      <c r="G79" s="39">
        <f>VLOOKUP($A79,[1]!Data,66,FALSE)</f>
        <v>46.03</v>
      </c>
      <c r="H79" s="126">
        <f>('[1]Table 1'!D79/25000)/'[1]Table 2'!G79</f>
        <v>0.20236193786660872</v>
      </c>
      <c r="I79" s="124">
        <f>VLOOKUP($A79,[1]!Data,67,FALSE)</f>
        <v>0.1086</v>
      </c>
    </row>
    <row r="80" spans="1:9" ht="13.5" thickBot="1" x14ac:dyDescent="0.25">
      <c r="A80" s="624" t="s">
        <v>1471</v>
      </c>
      <c r="B80" s="626"/>
      <c r="C80" s="112">
        <f>AVERAGE(C68:C79)</f>
        <v>3.8958333333333335</v>
      </c>
      <c r="D80" s="107">
        <f t="shared" ref="D80:I80" si="1">AVERAGE(D68:D79)</f>
        <v>1.4591666666666667</v>
      </c>
      <c r="E80" s="107">
        <f t="shared" si="1"/>
        <v>5.3550000000000004</v>
      </c>
      <c r="F80" s="107">
        <f t="shared" si="1"/>
        <v>30.379166666666663</v>
      </c>
      <c r="G80" s="107">
        <f t="shared" si="1"/>
        <v>35.73416666666666</v>
      </c>
      <c r="H80" s="107">
        <f t="shared" si="1"/>
        <v>0.13514593483350498</v>
      </c>
      <c r="I80" s="113">
        <f t="shared" si="1"/>
        <v>0.13694166666666666</v>
      </c>
    </row>
    <row r="81" spans="1:9" ht="14.25" thickTop="1" thickBot="1" x14ac:dyDescent="0.25">
      <c r="A81" s="54"/>
      <c r="B81" s="571" t="s">
        <v>1456</v>
      </c>
      <c r="C81" s="108"/>
      <c r="D81" s="108"/>
      <c r="E81" s="108"/>
      <c r="F81" s="109"/>
      <c r="G81" s="109"/>
      <c r="H81" s="109"/>
      <c r="I81" s="110"/>
    </row>
    <row r="82" spans="1:9" ht="13.5" thickTop="1" x14ac:dyDescent="0.2">
      <c r="A82" s="51" t="s">
        <v>557</v>
      </c>
      <c r="B82" s="51" t="s">
        <v>1573</v>
      </c>
      <c r="C82" s="78">
        <f>VLOOKUP($A82,[1]!Data,62,FALSE)</f>
        <v>10</v>
      </c>
      <c r="D82" s="39">
        <f>VLOOKUP($A82,[1]!Data,63,FALSE)</f>
        <v>0</v>
      </c>
      <c r="E82" s="39">
        <f>VLOOKUP($A82,[1]!Data,64,FALSE)</f>
        <v>10</v>
      </c>
      <c r="F82" s="39">
        <f>VLOOKUP($A82,[1]!Data,65,FALSE)</f>
        <v>24.03</v>
      </c>
      <c r="G82" s="39">
        <f>VLOOKUP($A82,[1]!Data,66,FALSE)</f>
        <v>34.03</v>
      </c>
      <c r="H82" s="126">
        <f>('[1]Table 1'!D82/25000)/'[1]Table 2'!G82</f>
        <v>7.035204231560388E-2</v>
      </c>
      <c r="I82" s="124">
        <f>VLOOKUP($A82,[1]!Data,67,FALSE)</f>
        <v>0.29389999999999999</v>
      </c>
    </row>
    <row r="83" spans="1:9" x14ac:dyDescent="0.2">
      <c r="A83" s="51" t="s">
        <v>946</v>
      </c>
      <c r="B83" s="51" t="s">
        <v>1457</v>
      </c>
      <c r="C83" s="78">
        <f>VLOOKUP($A83,[1]!Data,62,FALSE)</f>
        <v>2</v>
      </c>
      <c r="D83" s="39">
        <f>VLOOKUP($A83,[1]!Data,63,FALSE)</f>
        <v>0</v>
      </c>
      <c r="E83" s="39">
        <f>VLOOKUP($A83,[1]!Data,64,FALSE)</f>
        <v>2</v>
      </c>
      <c r="F83" s="39">
        <f>VLOOKUP($A83,[1]!Data,65,FALSE)</f>
        <v>7.3</v>
      </c>
      <c r="G83" s="39">
        <f>VLOOKUP($A83,[1]!Data,66,FALSE)</f>
        <v>9.3000000000000007</v>
      </c>
      <c r="H83" s="126">
        <f>('[1]Table 1'!D83/25000)/'[1]Table 2'!G83</f>
        <v>8.3556989247311822E-2</v>
      </c>
      <c r="I83" s="124">
        <f>VLOOKUP($A83,[1]!Data,67,FALSE)</f>
        <v>0.21510000000000001</v>
      </c>
    </row>
    <row r="84" spans="1:9" x14ac:dyDescent="0.2">
      <c r="A84" s="51" t="s">
        <v>743</v>
      </c>
      <c r="B84" s="51" t="s">
        <v>1574</v>
      </c>
      <c r="C84" s="78">
        <f>VLOOKUP($A84,[1]!Data,62,FALSE)</f>
        <v>1</v>
      </c>
      <c r="D84" s="39">
        <f>VLOOKUP($A84,[1]!Data,63,FALSE)</f>
        <v>1</v>
      </c>
      <c r="E84" s="39">
        <f>VLOOKUP($A84,[1]!Data,64,FALSE)</f>
        <v>2</v>
      </c>
      <c r="F84" s="39">
        <f>VLOOKUP($A84,[1]!Data,65,FALSE)</f>
        <v>2</v>
      </c>
      <c r="G84" s="39">
        <f>VLOOKUP($A84,[1]!Data,66,FALSE)</f>
        <v>4</v>
      </c>
      <c r="H84" s="126">
        <f>('[1]Table 1'!D84/25000)/'[1]Table 2'!G84</f>
        <v>4.6699999999999998E-2</v>
      </c>
      <c r="I84" s="124">
        <f>VLOOKUP($A84,[1]!Data,67,FALSE)</f>
        <v>0.25</v>
      </c>
    </row>
    <row r="85" spans="1:9" x14ac:dyDescent="0.2">
      <c r="A85" s="51" t="s">
        <v>917</v>
      </c>
      <c r="B85" s="51" t="s">
        <v>1575</v>
      </c>
      <c r="C85" s="78">
        <f>VLOOKUP($A85,[1]!Data,62,FALSE)</f>
        <v>6.56</v>
      </c>
      <c r="D85" s="39">
        <f>VLOOKUP($A85,[1]!Data,63,FALSE)</f>
        <v>0.94</v>
      </c>
      <c r="E85" s="39">
        <f>VLOOKUP($A85,[1]!Data,64,FALSE)</f>
        <v>7.5</v>
      </c>
      <c r="F85" s="39">
        <f>VLOOKUP($A85,[1]!Data,65,FALSE)</f>
        <v>17.440000000000001</v>
      </c>
      <c r="G85" s="39">
        <f>VLOOKUP($A85,[1]!Data,66,FALSE)</f>
        <v>24.94</v>
      </c>
      <c r="H85" s="126">
        <f>('[1]Table 1'!D85/25000)/'[1]Table 2'!G85</f>
        <v>6.4880513231756212E-2</v>
      </c>
      <c r="I85" s="124">
        <f>VLOOKUP($A85,[1]!Data,67,FALSE)</f>
        <v>0.26300000000000001</v>
      </c>
    </row>
    <row r="86" spans="1:9" x14ac:dyDescent="0.2">
      <c r="A86" s="51" t="s">
        <v>932</v>
      </c>
      <c r="B86" s="51" t="s">
        <v>1576</v>
      </c>
      <c r="C86" s="78">
        <f>VLOOKUP($A86,[1]!Data,62,FALSE)</f>
        <v>16.75</v>
      </c>
      <c r="D86" s="39">
        <f>VLOOKUP($A86,[1]!Data,63,FALSE)</f>
        <v>0</v>
      </c>
      <c r="E86" s="39">
        <f>VLOOKUP($A86,[1]!Data,64,FALSE)</f>
        <v>16.75</v>
      </c>
      <c r="F86" s="39">
        <f>VLOOKUP($A86,[1]!Data,65,FALSE)</f>
        <v>43</v>
      </c>
      <c r="G86" s="39">
        <f>VLOOKUP($A86,[1]!Data,66,FALSE)</f>
        <v>59.75</v>
      </c>
      <c r="H86" s="126">
        <f>('[1]Table 1'!D86/25000)/'[1]Table 2'!G86</f>
        <v>7.3803514644351476E-2</v>
      </c>
      <c r="I86" s="124">
        <f>VLOOKUP($A86,[1]!Data,67,FALSE)</f>
        <v>0.28029999999999999</v>
      </c>
    </row>
    <row r="87" spans="1:9" x14ac:dyDescent="0.2">
      <c r="A87" s="51" t="s">
        <v>970</v>
      </c>
      <c r="B87" s="51" t="s">
        <v>1577</v>
      </c>
      <c r="C87" s="78">
        <f>VLOOKUP($A87,[1]!Data,62,FALSE)</f>
        <v>2</v>
      </c>
      <c r="D87" s="39">
        <f>VLOOKUP($A87,[1]!Data,63,FALSE)</f>
        <v>1</v>
      </c>
      <c r="E87" s="39">
        <f>VLOOKUP($A87,[1]!Data,64,FALSE)</f>
        <v>3</v>
      </c>
      <c r="F87" s="39">
        <f>VLOOKUP($A87,[1]!Data,65,FALSE)</f>
        <v>5</v>
      </c>
      <c r="G87" s="39">
        <f>VLOOKUP($A87,[1]!Data,66,FALSE)</f>
        <v>8</v>
      </c>
      <c r="H87" s="126">
        <f>('[1]Table 1'!D87/25000)/'[1]Table 2'!G87</f>
        <v>5.3594999999999997E-2</v>
      </c>
      <c r="I87" s="124">
        <f>VLOOKUP($A87,[1]!Data,67,FALSE)</f>
        <v>0.25</v>
      </c>
    </row>
    <row r="88" spans="1:9" x14ac:dyDescent="0.2">
      <c r="A88" s="51" t="s">
        <v>1033</v>
      </c>
      <c r="B88" s="51" t="s">
        <v>1578</v>
      </c>
      <c r="C88" s="78">
        <f>VLOOKUP($A88,[1]!Data,62,FALSE)</f>
        <v>6</v>
      </c>
      <c r="D88" s="39">
        <f>VLOOKUP($A88,[1]!Data,63,FALSE)</f>
        <v>1</v>
      </c>
      <c r="E88" s="39">
        <f>VLOOKUP($A88,[1]!Data,64,FALSE)</f>
        <v>7</v>
      </c>
      <c r="F88" s="39">
        <f>VLOOKUP($A88,[1]!Data,65,FALSE)</f>
        <v>20</v>
      </c>
      <c r="G88" s="39">
        <f>VLOOKUP($A88,[1]!Data,66,FALSE)</f>
        <v>27</v>
      </c>
      <c r="H88" s="126">
        <f>('[1]Table 1'!D88/25000)/'[1]Table 2'!G88</f>
        <v>5.7878518518518524E-2</v>
      </c>
      <c r="I88" s="124">
        <f>VLOOKUP($A88,[1]!Data,67,FALSE)</f>
        <v>0.22220000000000001</v>
      </c>
    </row>
    <row r="89" spans="1:9" x14ac:dyDescent="0.2">
      <c r="A89" s="51" t="s">
        <v>884</v>
      </c>
      <c r="B89" s="51" t="s">
        <v>1579</v>
      </c>
      <c r="C89" s="78">
        <f>VLOOKUP($A89,[1]!Data,62,FALSE)</f>
        <v>1</v>
      </c>
      <c r="D89" s="39">
        <f>VLOOKUP($A89,[1]!Data,63,FALSE)</f>
        <v>0</v>
      </c>
      <c r="E89" s="39">
        <f>VLOOKUP($A89,[1]!Data,64,FALSE)</f>
        <v>1</v>
      </c>
      <c r="F89" s="39">
        <f>VLOOKUP($A89,[1]!Data,65,FALSE)</f>
        <v>3.25</v>
      </c>
      <c r="G89" s="39">
        <f>VLOOKUP($A89,[1]!Data,66,FALSE)</f>
        <v>4.25</v>
      </c>
      <c r="H89" s="126">
        <f>('[1]Table 1'!D89/25000)/'[1]Table 2'!G89</f>
        <v>4.923294117647059E-2</v>
      </c>
      <c r="I89" s="124">
        <f>VLOOKUP($A89,[1]!Data,67,FALSE)</f>
        <v>0.23530000000000001</v>
      </c>
    </row>
    <row r="90" spans="1:9" x14ac:dyDescent="0.2">
      <c r="A90" s="51" t="s">
        <v>1224</v>
      </c>
      <c r="B90" s="51" t="s">
        <v>1580</v>
      </c>
      <c r="C90" s="78">
        <f>VLOOKUP($A90,[1]!Data,62,FALSE)</f>
        <v>1</v>
      </c>
      <c r="D90" s="39">
        <f>VLOOKUP($A90,[1]!Data,63,FALSE)</f>
        <v>0</v>
      </c>
      <c r="E90" s="39">
        <f>VLOOKUP($A90,[1]!Data,64,FALSE)</f>
        <v>1</v>
      </c>
      <c r="F90" s="39">
        <f>VLOOKUP($A90,[1]!Data,65,FALSE)</f>
        <v>4.05</v>
      </c>
      <c r="G90" s="39">
        <f>VLOOKUP($A90,[1]!Data,66,FALSE)</f>
        <v>5.05</v>
      </c>
      <c r="H90" s="126">
        <f>('[1]Table 1'!D90/25000)/'[1]Table 2'!G90</f>
        <v>0.11961188118811882</v>
      </c>
      <c r="I90" s="124">
        <f>VLOOKUP($A90,[1]!Data,67,FALSE)</f>
        <v>0.19800000000000001</v>
      </c>
    </row>
    <row r="91" spans="1:9" x14ac:dyDescent="0.2">
      <c r="A91" s="51" t="s">
        <v>1346</v>
      </c>
      <c r="B91" s="51" t="s">
        <v>1581</v>
      </c>
      <c r="C91" s="78">
        <f>VLOOKUP($A91,[1]!Data,62,FALSE)</f>
        <v>4</v>
      </c>
      <c r="D91" s="39">
        <f>VLOOKUP($A91,[1]!Data,63,FALSE)</f>
        <v>0</v>
      </c>
      <c r="E91" s="39">
        <f>VLOOKUP($A91,[1]!Data,64,FALSE)</f>
        <v>4</v>
      </c>
      <c r="F91" s="39">
        <f>VLOOKUP($A91,[1]!Data,65,FALSE)</f>
        <v>6.45</v>
      </c>
      <c r="G91" s="39">
        <f>VLOOKUP($A91,[1]!Data,66,FALSE)</f>
        <v>10.45</v>
      </c>
      <c r="H91" s="126">
        <f>('[1]Table 1'!D91/25000)/'[1]Table 2'!G91</f>
        <v>5.2654545454545454E-2</v>
      </c>
      <c r="I91" s="124">
        <f>VLOOKUP($A91,[1]!Data,67,FALSE)</f>
        <v>0.38279999999999997</v>
      </c>
    </row>
    <row r="92" spans="1:9" x14ac:dyDescent="0.2">
      <c r="A92" s="51" t="s">
        <v>819</v>
      </c>
      <c r="B92" s="51" t="s">
        <v>1582</v>
      </c>
      <c r="C92" s="78">
        <f>VLOOKUP($A92,[1]!Data,62,FALSE)</f>
        <v>1</v>
      </c>
      <c r="D92" s="39">
        <f>VLOOKUP($A92,[1]!Data,63,FALSE)</f>
        <v>0</v>
      </c>
      <c r="E92" s="39">
        <f>VLOOKUP($A92,[1]!Data,64,FALSE)</f>
        <v>1</v>
      </c>
      <c r="F92" s="39">
        <f>VLOOKUP($A92,[1]!Data,65,FALSE)</f>
        <v>6</v>
      </c>
      <c r="G92" s="39">
        <f>VLOOKUP($A92,[1]!Data,66,FALSE)</f>
        <v>7</v>
      </c>
      <c r="H92" s="126">
        <f>('[1]Table 1'!D92/25000)/'[1]Table 2'!G92</f>
        <v>5.4634285714285712E-2</v>
      </c>
      <c r="I92" s="124">
        <f>VLOOKUP($A92,[1]!Data,67,FALSE)</f>
        <v>0.1429</v>
      </c>
    </row>
    <row r="93" spans="1:9" ht="13.5" thickBot="1" x14ac:dyDescent="0.25">
      <c r="A93" s="627" t="s">
        <v>1471</v>
      </c>
      <c r="B93" s="628"/>
      <c r="C93" s="112">
        <f>AVERAGE(C82:C92)</f>
        <v>4.664545454545455</v>
      </c>
      <c r="D93" s="107">
        <f t="shared" ref="D93:I93" si="2">AVERAGE(D82:D92)</f>
        <v>0.35818181818181816</v>
      </c>
      <c r="E93" s="107">
        <f t="shared" si="2"/>
        <v>5.0227272727272725</v>
      </c>
      <c r="F93" s="107">
        <f t="shared" si="2"/>
        <v>12.592727272727272</v>
      </c>
      <c r="G93" s="107">
        <f t="shared" si="2"/>
        <v>17.615454545454543</v>
      </c>
      <c r="H93" s="107">
        <f t="shared" si="2"/>
        <v>6.6081839226451153E-2</v>
      </c>
      <c r="I93" s="114">
        <f t="shared" si="2"/>
        <v>0.24849999999999997</v>
      </c>
    </row>
    <row r="94" spans="1:9" ht="14.25" thickTop="1" thickBot="1" x14ac:dyDescent="0.25">
      <c r="A94" s="90"/>
      <c r="B94" s="115"/>
      <c r="C94" s="105"/>
      <c r="D94" s="105"/>
      <c r="E94" s="105"/>
      <c r="F94" s="111"/>
      <c r="G94" s="111"/>
      <c r="H94" s="111"/>
      <c r="I94" s="116"/>
    </row>
    <row r="95" spans="1:9" ht="13.5" thickTop="1" x14ac:dyDescent="0.2">
      <c r="A95" s="605" t="s">
        <v>1472</v>
      </c>
      <c r="B95" s="606"/>
      <c r="C95" s="117">
        <f>AVERAGE(C82:C91,C92,C68:C79,C8:C65)</f>
        <v>9.4751851851851843</v>
      </c>
      <c r="D95" s="117">
        <f t="shared" ref="D95:I95" si="3">AVERAGE(D82:D91,D92,D68:D79,D8:D65)</f>
        <v>0.98271604938271595</v>
      </c>
      <c r="E95" s="117">
        <f t="shared" si="3"/>
        <v>10.457901234567899</v>
      </c>
      <c r="F95" s="117">
        <f t="shared" si="3"/>
        <v>27.3079012345679</v>
      </c>
      <c r="G95" s="117">
        <f t="shared" si="3"/>
        <v>37.765802469135821</v>
      </c>
      <c r="H95" s="117">
        <f t="shared" si="3"/>
        <v>0.14552076428005292</v>
      </c>
      <c r="I95" s="117">
        <f t="shared" si="3"/>
        <v>0.20592469135802474</v>
      </c>
    </row>
    <row r="96" spans="1:9" x14ac:dyDescent="0.2">
      <c r="A96" s="118"/>
      <c r="B96" s="118"/>
      <c r="C96" s="119"/>
      <c r="D96" s="119"/>
      <c r="E96" s="119"/>
      <c r="F96" s="119"/>
      <c r="G96" s="119"/>
      <c r="H96" s="119"/>
      <c r="I96" s="120"/>
    </row>
  </sheetData>
  <mergeCells count="6">
    <mergeCell ref="A95:B95"/>
    <mergeCell ref="B4:B6"/>
    <mergeCell ref="A66:B66"/>
    <mergeCell ref="A67:B67"/>
    <mergeCell ref="A80:B80"/>
    <mergeCell ref="A93:B9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5"/>
  <sheetViews>
    <sheetView workbookViewId="0">
      <selection activeCell="C6" sqref="C6"/>
    </sheetView>
  </sheetViews>
  <sheetFormatPr defaultColWidth="8.85546875" defaultRowHeight="15" x14ac:dyDescent="0.25"/>
  <cols>
    <col min="2" max="2" width="21.42578125" customWidth="1"/>
    <col min="3" max="3" width="12.7109375" customWidth="1"/>
    <col min="4" max="4" width="14" customWidth="1"/>
    <col min="5" max="5" width="12.85546875" style="161" customWidth="1"/>
    <col min="6" max="6" width="18.140625" customWidth="1"/>
    <col min="7" max="7" width="11.140625" style="162" customWidth="1"/>
  </cols>
  <sheetData>
    <row r="1" spans="1:7" ht="15.75" x14ac:dyDescent="0.25">
      <c r="A1" s="127"/>
      <c r="B1" s="128"/>
      <c r="C1" s="128"/>
      <c r="D1" s="128"/>
      <c r="E1" s="129"/>
      <c r="F1" s="130"/>
      <c r="G1" s="11" t="s">
        <v>1758</v>
      </c>
    </row>
    <row r="2" spans="1:7" ht="15.75" x14ac:dyDescent="0.25">
      <c r="A2" s="13" t="s">
        <v>1473</v>
      </c>
      <c r="B2" s="14"/>
      <c r="C2" s="14"/>
      <c r="D2" s="14"/>
      <c r="E2" s="131"/>
      <c r="F2" s="132"/>
      <c r="G2" s="18" t="s">
        <v>1759</v>
      </c>
    </row>
    <row r="3" spans="1:7" ht="16.5" thickBot="1" x14ac:dyDescent="0.3">
      <c r="A3" s="134"/>
      <c r="B3" s="14"/>
      <c r="C3" s="14"/>
      <c r="D3" s="14"/>
      <c r="E3" s="131"/>
      <c r="F3" s="132"/>
      <c r="G3" s="133"/>
    </row>
    <row r="4" spans="1:7" s="136" customFormat="1" ht="15.75" thickTop="1" x14ac:dyDescent="0.25">
      <c r="A4" s="92"/>
      <c r="B4" s="612"/>
      <c r="C4" s="135" t="s">
        <v>1474</v>
      </c>
      <c r="D4" s="135" t="s">
        <v>1475</v>
      </c>
      <c r="E4" s="629" t="s">
        <v>1</v>
      </c>
      <c r="F4" s="630"/>
      <c r="G4" s="631"/>
    </row>
    <row r="5" spans="1:7" s="136" customFormat="1" x14ac:dyDescent="0.25">
      <c r="A5" s="95"/>
      <c r="B5" s="622"/>
      <c r="C5" s="140" t="s">
        <v>1478</v>
      </c>
      <c r="D5" s="140" t="s">
        <v>1479</v>
      </c>
      <c r="E5" s="137"/>
      <c r="F5" s="138" t="s">
        <v>1476</v>
      </c>
      <c r="G5" s="139" t="s">
        <v>1477</v>
      </c>
    </row>
    <row r="6" spans="1:7" s="136" customFormat="1" ht="15.75" thickBot="1" x14ac:dyDescent="0.3">
      <c r="A6" s="99"/>
      <c r="B6" s="623"/>
      <c r="C6" s="141" t="s">
        <v>1483</v>
      </c>
      <c r="D6" s="141" t="s">
        <v>1484</v>
      </c>
      <c r="E6" s="141" t="s">
        <v>1480</v>
      </c>
      <c r="F6" s="142" t="s">
        <v>1481</v>
      </c>
      <c r="G6" s="24" t="s">
        <v>1482</v>
      </c>
    </row>
    <row r="7" spans="1:7" s="12" customFormat="1" ht="16.5" thickTop="1" thickBot="1" x14ac:dyDescent="0.3">
      <c r="A7" s="30"/>
      <c r="B7" s="31" t="s">
        <v>1452</v>
      </c>
      <c r="C7" s="143"/>
      <c r="D7" s="146"/>
      <c r="E7" s="169"/>
      <c r="F7" s="144"/>
      <c r="G7" s="576"/>
    </row>
    <row r="8" spans="1:7" s="12" customFormat="1" ht="15.75" thickTop="1" x14ac:dyDescent="0.25">
      <c r="A8" s="36" t="s">
        <v>340</v>
      </c>
      <c r="B8" s="36" t="s">
        <v>1506</v>
      </c>
      <c r="C8" s="147">
        <f>'Table 1'!D8/VLOOKUP(A8,[0]!Data,140,FALSE)</f>
        <v>7.976289877312151E-2</v>
      </c>
      <c r="D8" s="147">
        <f>VLOOKUP(A8,[0]!Data,138,FALSE)/VLOOKUP(A8,[0]!Data,66,FALSE)</f>
        <v>43554.016463241562</v>
      </c>
      <c r="E8" s="167">
        <f>VLOOKUP($A8,[0]!Data,70,FALSE)</f>
        <v>76404</v>
      </c>
      <c r="F8" s="167">
        <f>VLOOKUP($A8,[0]!Data,71,FALSE)</f>
        <v>0</v>
      </c>
      <c r="G8" s="148"/>
    </row>
    <row r="9" spans="1:7" s="12" customFormat="1" x14ac:dyDescent="0.25">
      <c r="A9" s="36" t="s">
        <v>381</v>
      </c>
      <c r="B9" s="36" t="s">
        <v>1507</v>
      </c>
      <c r="C9" s="147">
        <f>'Table 1'!D9/VLOOKUP(A9,[0]!Data,140,FALSE)</f>
        <v>0.11571022272192855</v>
      </c>
      <c r="D9" s="147">
        <f>VLOOKUP(A9,[0]!Data,138,FALSE)/VLOOKUP(A9,[0]!Data,66,FALSE)</f>
        <v>35850.895522388062</v>
      </c>
      <c r="E9" s="167">
        <f>VLOOKUP($A9,[0]!Data,70,FALSE)</f>
        <v>47983</v>
      </c>
      <c r="F9" s="167">
        <f>VLOOKUP($A9,[0]!Data,71,FALSE)</f>
        <v>0</v>
      </c>
      <c r="G9" s="148"/>
    </row>
    <row r="10" spans="1:7" s="12" customFormat="1" x14ac:dyDescent="0.25">
      <c r="A10" s="36" t="s">
        <v>442</v>
      </c>
      <c r="B10" s="36" t="s">
        <v>1508</v>
      </c>
      <c r="C10" s="147">
        <f>'Table 1'!D10/VLOOKUP(A10,[0]!Data,140,FALSE)</f>
        <v>8.0663888442914944E-2</v>
      </c>
      <c r="D10" s="147">
        <f>VLOOKUP(A10,[0]!Data,138,FALSE)/VLOOKUP(A10,[0]!Data,66,FALSE)</f>
        <v>32795.89632829374</v>
      </c>
      <c r="E10" s="167">
        <f>VLOOKUP($A10,[0]!Data,70,FALSE)</f>
        <v>49099</v>
      </c>
      <c r="F10" s="167">
        <f>VLOOKUP($A10,[0]!Data,71,FALSE)</f>
        <v>0</v>
      </c>
      <c r="G10" s="148"/>
    </row>
    <row r="11" spans="1:7" s="12" customFormat="1" x14ac:dyDescent="0.25">
      <c r="A11" s="36" t="s">
        <v>470</v>
      </c>
      <c r="B11" s="36" t="s">
        <v>1509</v>
      </c>
      <c r="C11" s="147">
        <f>'Table 1'!D11/VLOOKUP(A11,[0]!Data,140,FALSE)</f>
        <v>0.13275099550257294</v>
      </c>
      <c r="D11" s="147">
        <f>VLOOKUP(A11,[0]!Data,138,FALSE)/VLOOKUP(A11,[0]!Data,66,FALSE)</f>
        <v>44758.333333333336</v>
      </c>
      <c r="E11" s="167">
        <f>VLOOKUP($A11,[0]!Data,70,FALSE)</f>
        <v>107769</v>
      </c>
      <c r="F11" s="167">
        <f>VLOOKUP($A11,[0]!Data,71,FALSE)</f>
        <v>0</v>
      </c>
      <c r="G11" s="148"/>
    </row>
    <row r="12" spans="1:7" s="12" customFormat="1" x14ac:dyDescent="0.25">
      <c r="A12" s="36" t="s">
        <v>484</v>
      </c>
      <c r="B12" s="36" t="s">
        <v>1510</v>
      </c>
      <c r="C12" s="147">
        <f>'Table 1'!D12/VLOOKUP(A12,[0]!Data,140,FALSE)</f>
        <v>7.0870918640209529E-2</v>
      </c>
      <c r="D12" s="147">
        <f>VLOOKUP(A12,[0]!Data,138,FALSE)/VLOOKUP(A12,[0]!Data,66,FALSE)</f>
        <v>53277.934782608696</v>
      </c>
      <c r="E12" s="167">
        <f>VLOOKUP($A12,[0]!Data,70,FALSE)</f>
        <v>99500</v>
      </c>
      <c r="F12" s="167">
        <f>VLOOKUP($A12,[0]!Data,71,FALSE)</f>
        <v>0</v>
      </c>
      <c r="G12" s="148"/>
    </row>
    <row r="13" spans="1:7" s="12" customFormat="1" x14ac:dyDescent="0.25">
      <c r="A13" s="36" t="s">
        <v>497</v>
      </c>
      <c r="B13" s="36" t="s">
        <v>1511</v>
      </c>
      <c r="C13" s="147">
        <f>'Table 1'!D13/VLOOKUP(A13,[0]!Data,140,FALSE)</f>
        <v>9.5545463062326474E-2</v>
      </c>
      <c r="D13" s="147">
        <f>VLOOKUP(A13,[0]!Data,138,FALSE)/VLOOKUP(A13,[0]!Data,66,FALSE)</f>
        <v>40387.80058651026</v>
      </c>
      <c r="E13" s="167">
        <f>VLOOKUP($A13,[0]!Data,70,FALSE)</f>
        <v>66300</v>
      </c>
      <c r="F13" s="167">
        <f>VLOOKUP($A13,[0]!Data,71,FALSE)</f>
        <v>0</v>
      </c>
      <c r="G13" s="148"/>
    </row>
    <row r="14" spans="1:7" s="12" customFormat="1" x14ac:dyDescent="0.25">
      <c r="A14" s="36" t="s">
        <v>509</v>
      </c>
      <c r="B14" s="36" t="s">
        <v>1512</v>
      </c>
      <c r="C14" s="147">
        <f>'Table 1'!D14/VLOOKUP(A14,[0]!Data,140,FALSE)</f>
        <v>8.4746278099289252E-2</v>
      </c>
      <c r="D14" s="147">
        <f>VLOOKUP(A14,[0]!Data,138,FALSE)/VLOOKUP(A14,[0]!Data,66,FALSE)</f>
        <v>43733.620253164554</v>
      </c>
      <c r="E14" s="167">
        <f>VLOOKUP($A14,[0]!Data,70,FALSE)</f>
        <v>79035</v>
      </c>
      <c r="F14" s="167">
        <f>VLOOKUP($A14,[0]!Data,71,FALSE)</f>
        <v>0</v>
      </c>
      <c r="G14" s="148"/>
    </row>
    <row r="15" spans="1:7" s="12" customFormat="1" x14ac:dyDescent="0.25">
      <c r="A15" s="36" t="s">
        <v>521</v>
      </c>
      <c r="B15" s="36" t="s">
        <v>1513</v>
      </c>
      <c r="C15" s="147">
        <f>'Table 1'!D15/VLOOKUP(A15,[0]!Data,140,FALSE)</f>
        <v>0.10215335097350026</v>
      </c>
      <c r="D15" s="147">
        <f>VLOOKUP(A15,[0]!Data,138,FALSE)/VLOOKUP(A15,[0]!Data,66,FALSE)</f>
        <v>43789.857142857145</v>
      </c>
      <c r="E15" s="167">
        <f>VLOOKUP($A15,[0]!Data,70,FALSE)</f>
        <v>48687</v>
      </c>
      <c r="F15" s="167">
        <f>VLOOKUP($A15,[0]!Data,71,FALSE)</f>
        <v>0</v>
      </c>
      <c r="G15" s="148"/>
    </row>
    <row r="16" spans="1:7" s="12" customFormat="1" x14ac:dyDescent="0.25">
      <c r="A16" s="36" t="s">
        <v>531</v>
      </c>
      <c r="B16" s="36" t="s">
        <v>1514</v>
      </c>
      <c r="C16" s="147">
        <f>'Table 1'!D16/VLOOKUP(A16,[0]!Data,140,FALSE)</f>
        <v>0.10642102094817091</v>
      </c>
      <c r="D16" s="147">
        <f>VLOOKUP(A16,[0]!Data,138,FALSE)/VLOOKUP(A16,[0]!Data,66,FALSE)</f>
        <v>28879.069767441862</v>
      </c>
      <c r="E16" s="167">
        <f>VLOOKUP($A16,[0]!Data,70,FALSE)</f>
        <v>52890</v>
      </c>
      <c r="F16" s="167">
        <f>VLOOKUP($A16,[0]!Data,71,FALSE)</f>
        <v>0</v>
      </c>
      <c r="G16" s="148"/>
    </row>
    <row r="17" spans="1:7" s="12" customFormat="1" x14ac:dyDescent="0.25">
      <c r="A17" s="36" t="s">
        <v>544</v>
      </c>
      <c r="B17" s="36" t="s">
        <v>1515</v>
      </c>
      <c r="C17" s="147">
        <f>'Table 1'!D17/VLOOKUP(A17,[0]!Data,140,FALSE)</f>
        <v>6.4676519918828487E-2</v>
      </c>
      <c r="D17" s="147">
        <f>VLOOKUP(A17,[0]!Data,138,FALSE)/VLOOKUP(A17,[0]!Data,66,FALSE)</f>
        <v>58859.36974789916</v>
      </c>
      <c r="E17" s="167">
        <f>VLOOKUP($A17,[0]!Data,70,FALSE)</f>
        <v>81824</v>
      </c>
      <c r="F17" s="167">
        <f>VLOOKUP($A17,[0]!Data,71,FALSE)</f>
        <v>0</v>
      </c>
      <c r="G17" s="148"/>
    </row>
    <row r="18" spans="1:7" s="12" customFormat="1" x14ac:dyDescent="0.25">
      <c r="A18" s="36" t="s">
        <v>590</v>
      </c>
      <c r="B18" s="36" t="s">
        <v>1516</v>
      </c>
      <c r="C18" s="147">
        <f>'Table 1'!D18/VLOOKUP(A18,[0]!Data,140,FALSE)</f>
        <v>8.2539317844963128E-2</v>
      </c>
      <c r="D18" s="147">
        <f>VLOOKUP(A18,[0]!Data,138,FALSE)/VLOOKUP(A18,[0]!Data,66,FALSE)</f>
        <v>61459.714285714283</v>
      </c>
      <c r="E18" s="167">
        <f>VLOOKUP($A18,[0]!Data,70,FALSE)</f>
        <v>78671</v>
      </c>
      <c r="F18" s="167">
        <f>VLOOKUP($A18,[0]!Data,71,FALSE)</f>
        <v>0</v>
      </c>
      <c r="G18" s="148"/>
    </row>
    <row r="19" spans="1:7" s="12" customFormat="1" x14ac:dyDescent="0.25">
      <c r="A19" s="36" t="s">
        <v>604</v>
      </c>
      <c r="B19" s="36" t="s">
        <v>1517</v>
      </c>
      <c r="C19" s="147">
        <f>'Table 1'!D19/VLOOKUP(A19,[0]!Data,140,FALSE)</f>
        <v>0.11412624848327155</v>
      </c>
      <c r="D19" s="147">
        <f>VLOOKUP(A19,[0]!Data,138,FALSE)/VLOOKUP(A19,[0]!Data,66,FALSE)</f>
        <v>36961.639344262294</v>
      </c>
      <c r="E19" s="167">
        <f>VLOOKUP($A19,[0]!Data,70,FALSE)</f>
        <v>67380</v>
      </c>
      <c r="F19" s="167">
        <f>VLOOKUP($A19,[0]!Data,71,FALSE)</f>
        <v>0</v>
      </c>
      <c r="G19" s="148"/>
    </row>
    <row r="20" spans="1:7" s="12" customFormat="1" x14ac:dyDescent="0.25">
      <c r="A20" s="36" t="s">
        <v>617</v>
      </c>
      <c r="B20" s="36" t="s">
        <v>1518</v>
      </c>
      <c r="C20" s="147">
        <f>'Table 1'!D20/VLOOKUP(A20,[0]!Data,140,FALSE)</f>
        <v>4.9563324076289141E-2</v>
      </c>
      <c r="D20" s="147">
        <f>VLOOKUP(A20,[0]!Data,138,FALSE)/VLOOKUP(A20,[0]!Data,66,FALSE)</f>
        <v>31723.439999999999</v>
      </c>
      <c r="E20" s="167">
        <f>VLOOKUP($A20,[0]!Data,70,FALSE)</f>
        <v>54989</v>
      </c>
      <c r="F20" s="167">
        <f>VLOOKUP($A20,[0]!Data,71,FALSE)</f>
        <v>0</v>
      </c>
      <c r="G20" s="148"/>
    </row>
    <row r="21" spans="1:7" s="12" customFormat="1" x14ac:dyDescent="0.25">
      <c r="A21" s="36" t="s">
        <v>645</v>
      </c>
      <c r="B21" s="36" t="s">
        <v>1519</v>
      </c>
      <c r="C21" s="147">
        <f>'Table 1'!D21/VLOOKUP(A21,[0]!Data,140,FALSE)</f>
        <v>3.9000477951670831E-2</v>
      </c>
      <c r="D21" s="147">
        <f>VLOOKUP(A21,[0]!Data,138,FALSE)/VLOOKUP(A21,[0]!Data,66,FALSE)</f>
        <v>45937.865497076018</v>
      </c>
      <c r="E21" s="167">
        <f>VLOOKUP($A21,[0]!Data,70,FALSE)</f>
        <v>105318</v>
      </c>
      <c r="F21" s="167">
        <f>VLOOKUP($A21,[0]!Data,71,FALSE)</f>
        <v>0</v>
      </c>
      <c r="G21" s="148"/>
    </row>
    <row r="22" spans="1:7" s="12" customFormat="1" x14ac:dyDescent="0.25">
      <c r="A22" s="36" t="s">
        <v>658</v>
      </c>
      <c r="B22" s="36" t="s">
        <v>1520</v>
      </c>
      <c r="C22" s="147">
        <f>'Table 1'!D22/VLOOKUP(A22,[0]!Data,140,FALSE)</f>
        <v>6.7799940045017049E-2</v>
      </c>
      <c r="D22" s="147">
        <f>VLOOKUP(A22,[0]!Data,138,FALSE)/VLOOKUP(A22,[0]!Data,66,FALSE)</f>
        <v>33874.911730090236</v>
      </c>
      <c r="E22" s="167">
        <f>VLOOKUP($A22,[0]!Data,70,FALSE)</f>
        <v>71097</v>
      </c>
      <c r="F22" s="167">
        <f>VLOOKUP($A22,[0]!Data,71,FALSE)</f>
        <v>0</v>
      </c>
      <c r="G22" s="148"/>
    </row>
    <row r="23" spans="1:7" s="12" customFormat="1" x14ac:dyDescent="0.25">
      <c r="A23" s="36" t="s">
        <v>674</v>
      </c>
      <c r="B23" s="36" t="s">
        <v>1521</v>
      </c>
      <c r="C23" s="147">
        <f>'Table 1'!D23/VLOOKUP(A23,[0]!Data,140,FALSE)</f>
        <v>9.6508315385635438E-2</v>
      </c>
      <c r="D23" s="147">
        <f>VLOOKUP(A23,[0]!Data,138,FALSE)/VLOOKUP(A23,[0]!Data,66,FALSE)</f>
        <v>46833.194444444445</v>
      </c>
      <c r="E23" s="167">
        <f>VLOOKUP($A23,[0]!Data,70,FALSE)</f>
        <v>61021</v>
      </c>
      <c r="F23" s="167">
        <f>VLOOKUP($A23,[0]!Data,71,FALSE)</f>
        <v>0</v>
      </c>
      <c r="G23" s="148"/>
    </row>
    <row r="24" spans="1:7" s="12" customFormat="1" x14ac:dyDescent="0.25">
      <c r="A24" s="36" t="s">
        <v>686</v>
      </c>
      <c r="B24" s="36" t="s">
        <v>1522</v>
      </c>
      <c r="C24" s="147">
        <f>'Table 1'!D24/VLOOKUP(A24,[0]!Data,140,FALSE)</f>
        <v>0.18606967348748338</v>
      </c>
      <c r="D24" s="147">
        <f>VLOOKUP(A24,[0]!Data,138,FALSE)/VLOOKUP(A24,[0]!Data,66,FALSE)</f>
        <v>25654.331550802141</v>
      </c>
      <c r="E24" s="167">
        <f>VLOOKUP($A24,[0]!Data,70,FALSE)</f>
        <v>61556</v>
      </c>
      <c r="F24" s="167">
        <f>VLOOKUP($A24,[0]!Data,71,FALSE)</f>
        <v>0</v>
      </c>
      <c r="G24" s="148"/>
    </row>
    <row r="25" spans="1:7" s="12" customFormat="1" x14ac:dyDescent="0.25">
      <c r="A25" s="36" t="s">
        <v>699</v>
      </c>
      <c r="B25" s="36" t="s">
        <v>1523</v>
      </c>
      <c r="C25" s="147">
        <f>'Table 1'!D25/VLOOKUP(A25,[0]!Data,140,FALSE)</f>
        <v>3.9409470821260034E-2</v>
      </c>
      <c r="D25" s="147">
        <f>VLOOKUP(A25,[0]!Data,138,FALSE)/VLOOKUP(A25,[0]!Data,66,FALSE)</f>
        <v>72903.690888119949</v>
      </c>
      <c r="E25" s="167">
        <f>VLOOKUP($A25,[0]!Data,70,FALSE)</f>
        <v>121944</v>
      </c>
      <c r="F25" s="167">
        <f>VLOOKUP($A25,[0]!Data,71,FALSE)</f>
        <v>0</v>
      </c>
      <c r="G25" s="148"/>
    </row>
    <row r="26" spans="1:7" s="12" customFormat="1" x14ac:dyDescent="0.25">
      <c r="A26" s="36" t="s">
        <v>729</v>
      </c>
      <c r="B26" s="36" t="s">
        <v>1524</v>
      </c>
      <c r="C26" s="147">
        <f>'Table 1'!D26/VLOOKUP(A26,[0]!Data,140,FALSE)</f>
        <v>0.11881359620876657</v>
      </c>
      <c r="D26" s="147">
        <f>VLOOKUP(A26,[0]!Data,138,FALSE)/VLOOKUP(A26,[0]!Data,66,FALSE)</f>
        <v>25316.821705426355</v>
      </c>
      <c r="E26" s="167">
        <f>VLOOKUP($A26,[0]!Data,70,FALSE)</f>
        <v>51600</v>
      </c>
      <c r="F26" s="167">
        <f>VLOOKUP($A26,[0]!Data,71,FALSE)</f>
        <v>0</v>
      </c>
      <c r="G26" s="148"/>
    </row>
    <row r="27" spans="1:7" s="12" customFormat="1" x14ac:dyDescent="0.25">
      <c r="A27" s="36" t="s">
        <v>774</v>
      </c>
      <c r="B27" s="36" t="s">
        <v>1525</v>
      </c>
      <c r="C27" s="147">
        <f>'Table 1'!D27/VLOOKUP(A27,[0]!Data,140,FALSE)</f>
        <v>7.6063867494032156E-2</v>
      </c>
      <c r="D27" s="147">
        <f>VLOOKUP(A27,[0]!Data,138,FALSE)/VLOOKUP(A27,[0]!Data,66,FALSE)</f>
        <v>62054.120781527534</v>
      </c>
      <c r="E27" s="167">
        <f>VLOOKUP($A27,[0]!Data,70,FALSE)</f>
        <v>130607</v>
      </c>
      <c r="F27" s="167">
        <f>VLOOKUP($A27,[0]!Data,71,FALSE)</f>
        <v>0</v>
      </c>
      <c r="G27" s="148"/>
    </row>
    <row r="28" spans="1:7" s="12" customFormat="1" x14ac:dyDescent="0.25">
      <c r="A28" s="36" t="s">
        <v>788</v>
      </c>
      <c r="B28" s="36" t="s">
        <v>1526</v>
      </c>
      <c r="C28" s="147">
        <f>'Table 1'!D28/VLOOKUP(A28,[0]!Data,140,FALSE)</f>
        <v>9.664714378117828E-2</v>
      </c>
      <c r="D28" s="147">
        <f>VLOOKUP(A28,[0]!Data,138,FALSE)/VLOOKUP(A28,[0]!Data,66,FALSE)</f>
        <v>53382.027168234061</v>
      </c>
      <c r="E28" s="167">
        <f>VLOOKUP($A28,[0]!Data,70,FALSE)</f>
        <v>68194</v>
      </c>
      <c r="F28" s="167">
        <f>VLOOKUP($A28,[0]!Data,71,FALSE)</f>
        <v>0</v>
      </c>
      <c r="G28" s="148"/>
    </row>
    <row r="29" spans="1:7" s="12" customFormat="1" x14ac:dyDescent="0.25">
      <c r="A29" s="36" t="s">
        <v>802</v>
      </c>
      <c r="B29" s="36" t="s">
        <v>817</v>
      </c>
      <c r="C29" s="147">
        <f>'Table 1'!D29/VLOOKUP(A29,[0]!Data,140,FALSE)</f>
        <v>7.7293855294776712E-2</v>
      </c>
      <c r="D29" s="147">
        <f>VLOOKUP(A29,[0]!Data,138,FALSE)/VLOOKUP(A29,[0]!Data,66,FALSE)</f>
        <v>57962.852941176468</v>
      </c>
      <c r="E29" s="167">
        <f>VLOOKUP($A29,[0]!Data,70,FALSE)</f>
        <v>103010</v>
      </c>
      <c r="F29" s="167">
        <f>VLOOKUP($A29,[0]!Data,71,FALSE)</f>
        <v>0</v>
      </c>
      <c r="G29" s="148"/>
    </row>
    <row r="30" spans="1:7" s="12" customFormat="1" x14ac:dyDescent="0.25">
      <c r="A30" s="36" t="s">
        <v>828</v>
      </c>
      <c r="B30" s="36" t="s">
        <v>1527</v>
      </c>
      <c r="C30" s="147">
        <f>'Table 1'!D30/VLOOKUP(A30,[0]!Data,140,FALSE)</f>
        <v>8.7734085990711849E-2</v>
      </c>
      <c r="D30" s="147">
        <f>VLOOKUP(A30,[0]!Data,138,FALSE)/VLOOKUP(A30,[0]!Data,66,FALSE)</f>
        <v>28396.108108108107</v>
      </c>
      <c r="E30" s="167">
        <f>VLOOKUP($A30,[0]!Data,70,FALSE)</f>
        <v>71400</v>
      </c>
      <c r="F30" s="167">
        <f>VLOOKUP($A30,[0]!Data,71,FALSE)</f>
        <v>0</v>
      </c>
      <c r="G30" s="148"/>
    </row>
    <row r="31" spans="1:7" s="12" customFormat="1" x14ac:dyDescent="0.25">
      <c r="A31" s="36" t="s">
        <v>842</v>
      </c>
      <c r="B31" s="36" t="s">
        <v>1528</v>
      </c>
      <c r="C31" s="147">
        <f>'Table 1'!D31/VLOOKUP(A31,[0]!Data,140,FALSE)</f>
        <v>7.5513849057973648E-2</v>
      </c>
      <c r="D31" s="147">
        <f>VLOOKUP(A31,[0]!Data,138,FALSE)/VLOOKUP(A31,[0]!Data,66,FALSE)</f>
        <v>58758.028985507248</v>
      </c>
      <c r="E31" s="167">
        <f>VLOOKUP($A31,[0]!Data,70,FALSE)</f>
        <v>113113</v>
      </c>
      <c r="F31" s="167">
        <f>VLOOKUP($A31,[0]!Data,71,FALSE)</f>
        <v>0</v>
      </c>
      <c r="G31" s="148"/>
    </row>
    <row r="32" spans="1:7" s="12" customFormat="1" x14ac:dyDescent="0.25">
      <c r="A32" s="36" t="s">
        <v>857</v>
      </c>
      <c r="B32" s="36" t="s">
        <v>1529</v>
      </c>
      <c r="C32" s="147">
        <f>'Table 1'!D32/VLOOKUP(A32,[0]!Data,140,FALSE)</f>
        <v>7.497405374566804E-2</v>
      </c>
      <c r="D32" s="147">
        <f>VLOOKUP(A32,[0]!Data,138,FALSE)/VLOOKUP(A32,[0]!Data,66,FALSE)</f>
        <v>40980.222222222219</v>
      </c>
      <c r="E32" s="167">
        <f>VLOOKUP($A32,[0]!Data,70,FALSE)</f>
        <v>67925</v>
      </c>
      <c r="F32" s="167">
        <f>VLOOKUP($A32,[0]!Data,71,FALSE)</f>
        <v>0</v>
      </c>
      <c r="G32" s="148"/>
    </row>
    <row r="33" spans="1:7" s="12" customFormat="1" x14ac:dyDescent="0.25">
      <c r="A33" s="36" t="s">
        <v>871</v>
      </c>
      <c r="B33" s="36" t="s">
        <v>1530</v>
      </c>
      <c r="C33" s="147">
        <f>'Table 1'!D33/VLOOKUP(A33,[0]!Data,140,FALSE)</f>
        <v>0.13327241455675898</v>
      </c>
      <c r="D33" s="147">
        <f>VLOOKUP(A33,[0]!Data,138,FALSE)/VLOOKUP(A33,[0]!Data,66,FALSE)</f>
        <v>69374.951456310679</v>
      </c>
      <c r="E33" s="167">
        <f>VLOOKUP($A33,[0]!Data,70,FALSE)</f>
        <v>56620</v>
      </c>
      <c r="F33" s="167">
        <f>VLOOKUP($A33,[0]!Data,71,FALSE)</f>
        <v>0</v>
      </c>
      <c r="G33" s="148"/>
    </row>
    <row r="34" spans="1:7" s="12" customFormat="1" x14ac:dyDescent="0.25">
      <c r="A34" s="36" t="s">
        <v>893</v>
      </c>
      <c r="B34" s="36" t="s">
        <v>1531</v>
      </c>
      <c r="C34" s="147">
        <f>'Table 1'!D34/VLOOKUP(A34,[0]!Data,140,FALSE)</f>
        <v>6.5334265506456643E-2</v>
      </c>
      <c r="D34" s="147">
        <f>VLOOKUP(A34,[0]!Data,138,FALSE)/VLOOKUP(A34,[0]!Data,66,FALSE)</f>
        <v>69108.899999999994</v>
      </c>
      <c r="E34" s="167">
        <f>VLOOKUP($A34,[0]!Data,70,FALSE)</f>
        <v>71851</v>
      </c>
      <c r="F34" s="167">
        <f>VLOOKUP($A34,[0]!Data,71,FALSE)</f>
        <v>0</v>
      </c>
      <c r="G34" s="148"/>
    </row>
    <row r="35" spans="1:7" s="12" customFormat="1" x14ac:dyDescent="0.25">
      <c r="A35" s="36" t="s">
        <v>905</v>
      </c>
      <c r="B35" s="36" t="s">
        <v>1532</v>
      </c>
      <c r="C35" s="147">
        <f>'Table 1'!D35/VLOOKUP(A35,[0]!Data,140,FALSE)</f>
        <v>5.435255198263151E-2</v>
      </c>
      <c r="D35" s="147">
        <f>VLOOKUP(A35,[0]!Data,138,FALSE)/VLOOKUP(A35,[0]!Data,66,FALSE)</f>
        <v>49813.019390581721</v>
      </c>
      <c r="E35" s="167">
        <f>VLOOKUP($A35,[0]!Data,70,FALSE)</f>
        <v>77250</v>
      </c>
      <c r="F35" s="167">
        <f>VLOOKUP($A35,[0]!Data,71,FALSE)</f>
        <v>0</v>
      </c>
      <c r="G35" s="148"/>
    </row>
    <row r="36" spans="1:7" s="12" customFormat="1" x14ac:dyDescent="0.25">
      <c r="A36" s="36" t="s">
        <v>957</v>
      </c>
      <c r="B36" s="36" t="s">
        <v>1533</v>
      </c>
      <c r="C36" s="147">
        <f>'Table 1'!D36/VLOOKUP(A36,[0]!Data,140,FALSE)</f>
        <v>8.7984651501574682E-2</v>
      </c>
      <c r="D36" s="147">
        <f>VLOOKUP(A36,[0]!Data,138,FALSE)/VLOOKUP(A36,[0]!Data,66,FALSE)</f>
        <v>48028.356164383564</v>
      </c>
      <c r="E36" s="167">
        <f>VLOOKUP($A36,[0]!Data,70,FALSE)</f>
        <v>98644</v>
      </c>
      <c r="F36" s="167">
        <f>VLOOKUP($A36,[0]!Data,71,FALSE)</f>
        <v>0</v>
      </c>
      <c r="G36" s="148"/>
    </row>
    <row r="37" spans="1:7" s="12" customFormat="1" x14ac:dyDescent="0.25">
      <c r="A37" s="36" t="s">
        <v>1198</v>
      </c>
      <c r="B37" s="36" t="s">
        <v>950</v>
      </c>
      <c r="C37" s="147">
        <f>'Table 1'!D37/VLOOKUP(A37,[0]!Data,140,FALSE)</f>
        <v>0.16844223156509922</v>
      </c>
      <c r="D37" s="147">
        <f>VLOOKUP(A37,[0]!Data,138,FALSE)/VLOOKUP(A37,[0]!Data,66,FALSE)</f>
        <v>40179.002770083098</v>
      </c>
      <c r="E37" s="167">
        <f>VLOOKUP($A37,[0]!Data,70,FALSE)</f>
        <v>62412</v>
      </c>
      <c r="F37" s="167">
        <f>VLOOKUP($A37,[0]!Data,71,FALSE)</f>
        <v>0</v>
      </c>
      <c r="G37" s="148"/>
    </row>
    <row r="38" spans="1:7" s="12" customFormat="1" x14ac:dyDescent="0.25">
      <c r="A38" s="36" t="s">
        <v>981</v>
      </c>
      <c r="B38" s="36" t="s">
        <v>1534</v>
      </c>
      <c r="C38" s="147">
        <f>'Table 1'!D38/VLOOKUP(A38,[0]!Data,140,FALSE)</f>
        <v>0.13455921432173015</v>
      </c>
      <c r="D38" s="147">
        <f>VLOOKUP(A38,[0]!Data,138,FALSE)/VLOOKUP(A38,[0]!Data,66,FALSE)</f>
        <v>46821.714285714283</v>
      </c>
      <c r="E38" s="167">
        <f>VLOOKUP($A38,[0]!Data,70,FALSE)</f>
        <v>67291</v>
      </c>
      <c r="F38" s="167">
        <f>VLOOKUP($A38,[0]!Data,71,FALSE)</f>
        <v>0</v>
      </c>
      <c r="G38" s="148"/>
    </row>
    <row r="39" spans="1:7" s="12" customFormat="1" x14ac:dyDescent="0.25">
      <c r="A39" s="36" t="s">
        <v>992</v>
      </c>
      <c r="B39" s="36" t="s">
        <v>1535</v>
      </c>
      <c r="C39" s="147">
        <f>'Table 1'!D39/VLOOKUP(A39,[0]!Data,140,FALSE)</f>
        <v>0.10571712456844171</v>
      </c>
      <c r="D39" s="147">
        <f>VLOOKUP(A39,[0]!Data,138,FALSE)/VLOOKUP(A39,[0]!Data,66,FALSE)</f>
        <v>31242.222222222223</v>
      </c>
      <c r="E39" s="167">
        <f>VLOOKUP($A39,[0]!Data,70,FALSE)</f>
        <v>79459</v>
      </c>
      <c r="F39" s="167">
        <f>VLOOKUP($A39,[0]!Data,71,FALSE)</f>
        <v>0</v>
      </c>
      <c r="G39" s="148"/>
    </row>
    <row r="40" spans="1:7" s="12" customFormat="1" x14ac:dyDescent="0.25">
      <c r="A40" s="36" t="s">
        <v>1009</v>
      </c>
      <c r="B40" s="36" t="s">
        <v>1536</v>
      </c>
      <c r="C40" s="147">
        <f>'Table 1'!D40/VLOOKUP(A40,[0]!Data,140,FALSE)</f>
        <v>7.5382847735496375E-2</v>
      </c>
      <c r="D40" s="147">
        <f>VLOOKUP(A40,[0]!Data,138,FALSE)/VLOOKUP(A40,[0]!Data,66,FALSE)</f>
        <v>22338.827098078866</v>
      </c>
      <c r="E40" s="167">
        <f>VLOOKUP($A40,[0]!Data,70,FALSE)</f>
        <v>50001</v>
      </c>
      <c r="F40" s="167">
        <f>VLOOKUP($A40,[0]!Data,71,FALSE)</f>
        <v>0</v>
      </c>
      <c r="G40" s="148"/>
    </row>
    <row r="41" spans="1:7" s="12" customFormat="1" x14ac:dyDescent="0.25">
      <c r="A41" s="36" t="s">
        <v>1021</v>
      </c>
      <c r="B41" s="36" t="s">
        <v>1537</v>
      </c>
      <c r="C41" s="147">
        <f>'Table 1'!D41/VLOOKUP(A41,[0]!Data,140,FALSE)</f>
        <v>9.0058891509807337E-2</v>
      </c>
      <c r="D41" s="147">
        <f>VLOOKUP(A41,[0]!Data,138,FALSE)/VLOOKUP(A41,[0]!Data,66,FALSE)</f>
        <v>20526.449864498645</v>
      </c>
      <c r="E41" s="167">
        <f>VLOOKUP($A41,[0]!Data,70,FALSE)</f>
        <v>57646</v>
      </c>
      <c r="F41" s="167">
        <f>VLOOKUP($A41,[0]!Data,71,FALSE)</f>
        <v>0</v>
      </c>
      <c r="G41" s="148"/>
    </row>
    <row r="42" spans="1:7" s="12" customFormat="1" x14ac:dyDescent="0.25">
      <c r="A42" s="36" t="s">
        <v>574</v>
      </c>
      <c r="B42" s="36" t="s">
        <v>1538</v>
      </c>
      <c r="C42" s="147">
        <f>'Table 1'!D42/VLOOKUP(A42,[0]!Data,140,FALSE)</f>
        <v>4.1210482654081115E-2</v>
      </c>
      <c r="D42" s="147">
        <f>VLOOKUP(A42,[0]!Data,138,FALSE)/VLOOKUP(A42,[0]!Data,66,FALSE)</f>
        <v>63610.951830966776</v>
      </c>
      <c r="E42" s="167">
        <f>VLOOKUP($A42,[0]!Data,70,FALSE)</f>
        <v>169070</v>
      </c>
      <c r="F42" s="167">
        <f>VLOOKUP($A42,[0]!Data,71,FALSE)</f>
        <v>0</v>
      </c>
      <c r="G42" s="148"/>
    </row>
    <row r="43" spans="1:7" s="12" customFormat="1" x14ac:dyDescent="0.25">
      <c r="A43" s="36" t="s">
        <v>455</v>
      </c>
      <c r="B43" s="36" t="s">
        <v>1539</v>
      </c>
      <c r="C43" s="147">
        <f>'Table 1'!D43/VLOOKUP(A43,[0]!Data,140,FALSE)</f>
        <v>6.3440060203685339E-2</v>
      </c>
      <c r="D43" s="147">
        <f>VLOOKUP(A43,[0]!Data,138,FALSE)/VLOOKUP(A43,[0]!Data,66,FALSE)</f>
        <v>64777.939393939392</v>
      </c>
      <c r="E43" s="167">
        <f>VLOOKUP($A43,[0]!Data,70,FALSE)</f>
        <v>76600</v>
      </c>
      <c r="F43" s="167">
        <f>VLOOKUP($A43,[0]!Data,71,FALSE)</f>
        <v>0</v>
      </c>
      <c r="G43" s="148"/>
    </row>
    <row r="44" spans="1:7" s="12" customFormat="1" x14ac:dyDescent="0.25">
      <c r="A44" s="36" t="s">
        <v>1078</v>
      </c>
      <c r="B44" s="36" t="s">
        <v>1540</v>
      </c>
      <c r="C44" s="147">
        <f>'Table 1'!D44/VLOOKUP(A44,[0]!Data,140,FALSE)</f>
        <v>7.228859575051369E-2</v>
      </c>
      <c r="D44" s="147">
        <f>VLOOKUP(A44,[0]!Data,138,FALSE)/VLOOKUP(A44,[0]!Data,66,FALSE)</f>
        <v>76217.870967741939</v>
      </c>
      <c r="E44" s="167">
        <f>VLOOKUP($A44,[0]!Data,70,FALSE)</f>
        <v>112556</v>
      </c>
      <c r="F44" s="167">
        <f>VLOOKUP($A44,[0]!Data,71,FALSE)</f>
        <v>0</v>
      </c>
      <c r="G44" s="148"/>
    </row>
    <row r="45" spans="1:7" s="12" customFormat="1" x14ac:dyDescent="0.25">
      <c r="A45" s="36" t="s">
        <v>1108</v>
      </c>
      <c r="B45" s="36" t="s">
        <v>1541</v>
      </c>
      <c r="C45" s="147">
        <f>'Table 1'!D45/VLOOKUP(A45,[0]!Data,140,FALSE)</f>
        <v>8.8418512651734643E-2</v>
      </c>
      <c r="D45" s="147">
        <f>VLOOKUP(A45,[0]!Data,138,FALSE)/VLOOKUP(A45,[0]!Data,66,FALSE)</f>
        <v>70135.169811320753</v>
      </c>
      <c r="E45" s="167">
        <f>VLOOKUP($A45,[0]!Data,70,FALSE)</f>
        <v>81931</v>
      </c>
      <c r="F45" s="167">
        <f>VLOOKUP($A45,[0]!Data,71,FALSE)</f>
        <v>0</v>
      </c>
      <c r="G45" s="148"/>
    </row>
    <row r="46" spans="1:7" s="12" customFormat="1" x14ac:dyDescent="0.25">
      <c r="A46" s="36" t="s">
        <v>1117</v>
      </c>
      <c r="B46" s="36" t="s">
        <v>1131</v>
      </c>
      <c r="C46" s="147">
        <f>'Table 1'!D46/VLOOKUP(A46,[0]!Data,140,FALSE)</f>
        <v>4.9789185297456677E-2</v>
      </c>
      <c r="D46" s="147">
        <f>VLOOKUP(A46,[0]!Data,138,FALSE)/VLOOKUP(A46,[0]!Data,66,FALSE)</f>
        <v>88516.56050955414</v>
      </c>
      <c r="E46" s="167">
        <f>VLOOKUP($A46,[0]!Data,70,FALSE)</f>
        <v>94091</v>
      </c>
      <c r="F46" s="167">
        <f>VLOOKUP($A46,[0]!Data,71,FALSE)</f>
        <v>0</v>
      </c>
      <c r="G46" s="148"/>
    </row>
    <row r="47" spans="1:7" s="12" customFormat="1" x14ac:dyDescent="0.25">
      <c r="A47" s="36" t="s">
        <v>1133</v>
      </c>
      <c r="B47" s="36" t="s">
        <v>1542</v>
      </c>
      <c r="C47" s="147">
        <f>'Table 1'!D47/VLOOKUP(A47,[0]!Data,140,FALSE)</f>
        <v>0.10189780571569589</v>
      </c>
      <c r="D47" s="147">
        <f>VLOOKUP(A47,[0]!Data,138,FALSE)/VLOOKUP(A47,[0]!Data,66,FALSE)</f>
        <v>39805.506993006995</v>
      </c>
      <c r="E47" s="167">
        <f>VLOOKUP($A47,[0]!Data,70,FALSE)</f>
        <v>70759</v>
      </c>
      <c r="F47" s="167">
        <f>VLOOKUP($A47,[0]!Data,71,FALSE)</f>
        <v>0</v>
      </c>
      <c r="G47" s="148"/>
    </row>
    <row r="48" spans="1:7" s="12" customFormat="1" x14ac:dyDescent="0.25">
      <c r="A48" s="36" t="s">
        <v>1159</v>
      </c>
      <c r="B48" s="36" t="s">
        <v>1543</v>
      </c>
      <c r="C48" s="147">
        <f>'Table 1'!D48/VLOOKUP(A48,[0]!Data,140,FALSE)</f>
        <v>0.10109368876946018</v>
      </c>
      <c r="D48" s="147">
        <f>VLOOKUP(A48,[0]!Data,138,FALSE)/VLOOKUP(A48,[0]!Data,66,FALSE)</f>
        <v>95875.333333333328</v>
      </c>
      <c r="E48" s="167">
        <f>VLOOKUP($A48,[0]!Data,70,FALSE)</f>
        <v>59387</v>
      </c>
      <c r="F48" s="167">
        <f>VLOOKUP($A48,[0]!Data,71,FALSE)</f>
        <v>0</v>
      </c>
      <c r="G48" s="148"/>
    </row>
    <row r="49" spans="1:7" s="12" customFormat="1" x14ac:dyDescent="0.25">
      <c r="A49" s="36" t="s">
        <v>1335</v>
      </c>
      <c r="B49" s="36" t="s">
        <v>1544</v>
      </c>
      <c r="C49" s="147">
        <f>'Table 1'!D49/VLOOKUP(A49,[0]!Data,140,FALSE)</f>
        <v>0.12136503858956692</v>
      </c>
      <c r="D49" s="147">
        <f>VLOOKUP(A49,[0]!Data,138,FALSE)/VLOOKUP(A49,[0]!Data,66,FALSE)</f>
        <v>36122.380636604772</v>
      </c>
      <c r="E49" s="167">
        <f>VLOOKUP($A49,[0]!Data,70,FALSE)</f>
        <v>94328</v>
      </c>
      <c r="F49" s="167">
        <f>VLOOKUP($A49,[0]!Data,71,FALSE)</f>
        <v>0</v>
      </c>
      <c r="G49" s="148"/>
    </row>
    <row r="50" spans="1:7" s="12" customFormat="1" x14ac:dyDescent="0.25">
      <c r="A50" s="36" t="s">
        <v>1187</v>
      </c>
      <c r="B50" s="36" t="s">
        <v>1545</v>
      </c>
      <c r="C50" s="147">
        <f>'Table 1'!D50/VLOOKUP(A50,[0]!Data,140,FALSE)</f>
        <v>5.5213081010690807E-2</v>
      </c>
      <c r="D50" s="147">
        <f>VLOOKUP(A50,[0]!Data,138,FALSE)/VLOOKUP(A50,[0]!Data,66,FALSE)</f>
        <v>38244</v>
      </c>
      <c r="E50" s="167">
        <f>VLOOKUP($A50,[0]!Data,70,FALSE)</f>
        <v>56292</v>
      </c>
      <c r="F50" s="167">
        <f>VLOOKUP($A50,[0]!Data,71,FALSE)</f>
        <v>0</v>
      </c>
      <c r="G50" s="148"/>
    </row>
    <row r="51" spans="1:7" s="12" customFormat="1" x14ac:dyDescent="0.25">
      <c r="A51" s="36" t="s">
        <v>1210</v>
      </c>
      <c r="B51" s="36" t="s">
        <v>1546</v>
      </c>
      <c r="C51" s="147">
        <f>'Table 1'!D51/VLOOKUP(A51,[0]!Data,140,FALSE)</f>
        <v>7.3528004662369625E-2</v>
      </c>
      <c r="D51" s="147">
        <f>VLOOKUP(A51,[0]!Data,138,FALSE)/VLOOKUP(A51,[0]!Data,66,FALSE)</f>
        <v>49313.499170812604</v>
      </c>
      <c r="E51" s="167">
        <f>VLOOKUP($A51,[0]!Data,70,FALSE)</f>
        <v>73011</v>
      </c>
      <c r="F51" s="167">
        <f>VLOOKUP($A51,[0]!Data,71,FALSE)</f>
        <v>0</v>
      </c>
      <c r="G51" s="148"/>
    </row>
    <row r="52" spans="1:7" s="12" customFormat="1" x14ac:dyDescent="0.25">
      <c r="A52" s="36" t="s">
        <v>1236</v>
      </c>
      <c r="B52" s="36" t="s">
        <v>1547</v>
      </c>
      <c r="C52" s="147">
        <f>'Table 1'!D52/VLOOKUP(A52,[0]!Data,140,FALSE)</f>
        <v>0.16492857409272313</v>
      </c>
      <c r="D52" s="147">
        <f>VLOOKUP(A52,[0]!Data,138,FALSE)/VLOOKUP(A52,[0]!Data,66,FALSE)</f>
        <v>41774</v>
      </c>
      <c r="E52" s="167">
        <f>VLOOKUP($A52,[0]!Data,70,FALSE)</f>
        <v>63623</v>
      </c>
      <c r="F52" s="167">
        <f>VLOOKUP($A52,[0]!Data,71,FALSE)</f>
        <v>0</v>
      </c>
      <c r="G52" s="148"/>
    </row>
    <row r="53" spans="1:7" s="12" customFormat="1" x14ac:dyDescent="0.25">
      <c r="A53" s="36" t="s">
        <v>1249</v>
      </c>
      <c r="B53" s="36" t="s">
        <v>1548</v>
      </c>
      <c r="C53" s="147">
        <f>'Table 1'!D53/VLOOKUP(A53,[0]!Data,140,FALSE)</f>
        <v>7.1464679458463992E-2</v>
      </c>
      <c r="D53" s="147">
        <f>VLOOKUP(A53,[0]!Data,138,FALSE)/VLOOKUP(A53,[0]!Data,66,FALSE)</f>
        <v>44709.274952919026</v>
      </c>
      <c r="E53" s="167">
        <f>VLOOKUP($A53,[0]!Data,70,FALSE)</f>
        <v>63065</v>
      </c>
      <c r="F53" s="167">
        <f>VLOOKUP($A53,[0]!Data,71,FALSE)</f>
        <v>0</v>
      </c>
      <c r="G53" s="148"/>
    </row>
    <row r="54" spans="1:7" s="12" customFormat="1" x14ac:dyDescent="0.25">
      <c r="A54" s="36" t="s">
        <v>1265</v>
      </c>
      <c r="B54" s="36" t="s">
        <v>1549</v>
      </c>
      <c r="C54" s="147">
        <f>'Table 1'!D54/VLOOKUP(A54,[0]!Data,140,FALSE)</f>
        <v>6.7472649812783378E-2</v>
      </c>
      <c r="D54" s="147">
        <f>VLOOKUP(A54,[0]!Data,138,FALSE)/VLOOKUP(A54,[0]!Data,66,FALSE)</f>
        <v>44546.674479929679</v>
      </c>
      <c r="E54" s="167">
        <f>VLOOKUP($A54,[0]!Data,70,FALSE)</f>
        <v>77795</v>
      </c>
      <c r="F54" s="167">
        <f>VLOOKUP($A54,[0]!Data,71,FALSE)</f>
        <v>0</v>
      </c>
      <c r="G54" s="148"/>
    </row>
    <row r="55" spans="1:7" s="12" customFormat="1" x14ac:dyDescent="0.25">
      <c r="A55" s="36" t="s">
        <v>1280</v>
      </c>
      <c r="B55" s="36" t="s">
        <v>1550</v>
      </c>
      <c r="C55" s="147">
        <f>'Table 1'!D55/VLOOKUP(A55,[0]!Data,140,FALSE)</f>
        <v>0.15788504053058217</v>
      </c>
      <c r="D55" s="147">
        <f>VLOOKUP(A55,[0]!Data,138,FALSE)/VLOOKUP(A55,[0]!Data,66,FALSE)</f>
        <v>48031.610942249237</v>
      </c>
      <c r="E55" s="167">
        <f>VLOOKUP($A55,[0]!Data,70,FALSE)</f>
        <v>56168</v>
      </c>
      <c r="F55" s="167">
        <f>VLOOKUP($A55,[0]!Data,71,FALSE)</f>
        <v>0</v>
      </c>
      <c r="G55" s="148"/>
    </row>
    <row r="56" spans="1:7" s="12" customFormat="1" x14ac:dyDescent="0.25">
      <c r="A56" s="36" t="s">
        <v>1292</v>
      </c>
      <c r="B56" s="36" t="s">
        <v>1551</v>
      </c>
      <c r="C56" s="147">
        <f>'Table 1'!D56/VLOOKUP(A56,[0]!Data,140,FALSE)</f>
        <v>0.10405816861294012</v>
      </c>
      <c r="D56" s="147">
        <f>VLOOKUP(A56,[0]!Data,138,FALSE)/VLOOKUP(A56,[0]!Data,66,FALSE)</f>
        <v>32362.905844155845</v>
      </c>
      <c r="E56" s="167">
        <f>VLOOKUP($A56,[0]!Data,70,FALSE)</f>
        <v>61524</v>
      </c>
      <c r="F56" s="167">
        <f>VLOOKUP($A56,[0]!Data,71,FALSE)</f>
        <v>0</v>
      </c>
      <c r="G56" s="148"/>
    </row>
    <row r="57" spans="1:7" s="12" customFormat="1" x14ac:dyDescent="0.25">
      <c r="A57" s="36" t="s">
        <v>1323</v>
      </c>
      <c r="B57" s="36" t="s">
        <v>1552</v>
      </c>
      <c r="C57" s="147">
        <f>'Table 1'!D57/VLOOKUP(A57,[0]!Data,140,FALSE)</f>
        <v>0.13231368721486508</v>
      </c>
      <c r="D57" s="147">
        <f>VLOOKUP(A57,[0]!Data,138,FALSE)/VLOOKUP(A57,[0]!Data,66,FALSE)</f>
        <v>36323.396226415098</v>
      </c>
      <c r="E57" s="167">
        <f>VLOOKUP($A57,[0]!Data,70,FALSE)</f>
        <v>56827</v>
      </c>
      <c r="F57" s="167">
        <f>VLOOKUP($A57,[0]!Data,71,FALSE)</f>
        <v>0</v>
      </c>
      <c r="G57" s="148"/>
    </row>
    <row r="58" spans="1:7" s="12" customFormat="1" x14ac:dyDescent="0.25">
      <c r="A58" s="36" t="s">
        <v>1360</v>
      </c>
      <c r="B58" s="36" t="s">
        <v>1553</v>
      </c>
      <c r="C58" s="147">
        <f>'Table 1'!D58/VLOOKUP(A58,[0]!Data,140,FALSE)</f>
        <v>7.2872597160905994E-2</v>
      </c>
      <c r="D58" s="147">
        <f>VLOOKUP(A58,[0]!Data,138,FALSE)/VLOOKUP(A58,[0]!Data,66,FALSE)</f>
        <v>63554.9</v>
      </c>
      <c r="E58" s="167">
        <f>VLOOKUP($A58,[0]!Data,70,FALSE)</f>
        <v>61160</v>
      </c>
      <c r="F58" s="167">
        <f>VLOOKUP($A58,[0]!Data,71,FALSE)</f>
        <v>0</v>
      </c>
      <c r="G58" s="148"/>
    </row>
    <row r="59" spans="1:7" s="12" customFormat="1" x14ac:dyDescent="0.25">
      <c r="A59" s="36" t="s">
        <v>1371</v>
      </c>
      <c r="B59" s="36" t="s">
        <v>1554</v>
      </c>
      <c r="C59" s="147">
        <f>'Table 1'!D59/VLOOKUP(A59,[0]!Data,140,FALSE)</f>
        <v>3.6099300304431543E-2</v>
      </c>
      <c r="D59" s="147">
        <f>VLOOKUP(A59,[0]!Data,138,FALSE)/VLOOKUP(A59,[0]!Data,66,FALSE)</f>
        <v>55756.14179719703</v>
      </c>
      <c r="E59" s="167">
        <f>VLOOKUP($A59,[0]!Data,70,FALSE)</f>
        <v>79015</v>
      </c>
      <c r="F59" s="167">
        <f>VLOOKUP($A59,[0]!Data,71,FALSE)</f>
        <v>0</v>
      </c>
      <c r="G59" s="148"/>
    </row>
    <row r="60" spans="1:7" s="12" customFormat="1" x14ac:dyDescent="0.25">
      <c r="A60" s="36" t="s">
        <v>1383</v>
      </c>
      <c r="B60" s="36" t="s">
        <v>1555</v>
      </c>
      <c r="C60" s="147">
        <f>'Table 1'!D60/VLOOKUP(A60,[0]!Data,140,FALSE)</f>
        <v>6.877720840985399E-2</v>
      </c>
      <c r="D60" s="147">
        <f>VLOOKUP(A60,[0]!Data,138,FALSE)/VLOOKUP(A60,[0]!Data,66,FALSE)</f>
        <v>46539.840106595599</v>
      </c>
      <c r="E60" s="167">
        <f>VLOOKUP($A60,[0]!Data,70,FALSE)</f>
        <v>78118</v>
      </c>
      <c r="F60" s="167">
        <f>VLOOKUP($A60,[0]!Data,71,FALSE)</f>
        <v>0</v>
      </c>
      <c r="G60" s="148"/>
    </row>
    <row r="61" spans="1:7" s="12" customFormat="1" x14ac:dyDescent="0.25">
      <c r="A61" s="36" t="s">
        <v>1146</v>
      </c>
      <c r="B61" s="36" t="s">
        <v>1556</v>
      </c>
      <c r="C61" s="147">
        <f>'Table 1'!D61/VLOOKUP(A61,All!A$3:RC$87,140,FALSE)</f>
        <v>7.6157055181458655E-2</v>
      </c>
      <c r="D61" s="147">
        <f>VLOOKUP(A61,[0]!Data,138,FALSE)/VLOOKUP(A61,[0]!Data,66,FALSE)</f>
        <v>39579</v>
      </c>
      <c r="E61" s="167">
        <f>VLOOKUP($A61,[0]!Data,70,FALSE)</f>
        <v>63240</v>
      </c>
      <c r="F61" s="167">
        <f>VLOOKUP($A61,[0]!Data,71,FALSE)</f>
        <v>0</v>
      </c>
      <c r="G61" s="148"/>
    </row>
    <row r="62" spans="1:7" s="12" customFormat="1" x14ac:dyDescent="0.25">
      <c r="A62" s="36" t="s">
        <v>1394</v>
      </c>
      <c r="B62" s="36" t="s">
        <v>1557</v>
      </c>
      <c r="C62" s="147">
        <f>'Table 1'!D62/VLOOKUP(A62,All!A$3:RC$87,140,FALSE)</f>
        <v>7.3612761491607157E-2</v>
      </c>
      <c r="D62" s="147">
        <f>VLOOKUP(A62,All!A$3:RC$87,138,FALSE)/VLOOKUP(A62,All!A$3:RC$87,66,FALSE)</f>
        <v>92666.535087719298</v>
      </c>
      <c r="E62" s="167">
        <f>VLOOKUP($A62,All!A$3:RC$87,70,FALSE)</f>
        <v>122110</v>
      </c>
      <c r="F62" s="167">
        <f>VLOOKUP($A62,All!A$3:RC$87,71,FALSE)</f>
        <v>0</v>
      </c>
      <c r="G62" s="148"/>
    </row>
    <row r="63" spans="1:7" s="12" customFormat="1" x14ac:dyDescent="0.25">
      <c r="A63" s="36" t="s">
        <v>1408</v>
      </c>
      <c r="B63" s="36" t="s">
        <v>1558</v>
      </c>
      <c r="C63" s="147">
        <f>'Table 1'!D63/VLOOKUP(A63,All!A$3:RC$87,140,FALSE)</f>
        <v>5.4875404658723037E-2</v>
      </c>
      <c r="D63" s="147">
        <f>VLOOKUP(A63,All!A$3:RC$87,138,FALSE)/VLOOKUP(A63,All!A$3:RC$87,66,FALSE)</f>
        <v>38266.857142857145</v>
      </c>
      <c r="E63" s="167">
        <f>VLOOKUP($A63,All!A$3:RC$87,70,FALSE)</f>
        <v>63056</v>
      </c>
      <c r="F63" s="167">
        <f>VLOOKUP($A63,All!A$3:RC$87,71,FALSE)</f>
        <v>0</v>
      </c>
      <c r="G63" s="148"/>
    </row>
    <row r="64" spans="1:7" s="12" customFormat="1" x14ac:dyDescent="0.25">
      <c r="A64" s="36" t="s">
        <v>1420</v>
      </c>
      <c r="B64" s="36" t="s">
        <v>1559</v>
      </c>
      <c r="C64" s="147">
        <f>'Table 1'!D64/VLOOKUP(A64,All!A$3:RC$87,140,FALSE)</f>
        <v>8.3920052446670806E-2</v>
      </c>
      <c r="D64" s="147">
        <f>VLOOKUP(A64,All!A$3:RC$87,138,FALSE)/VLOOKUP(A64,All!A$3:RC$87,66,FALSE)</f>
        <v>47788.720538720532</v>
      </c>
      <c r="E64" s="167">
        <f>VLOOKUP($A64,All!A$3:RC$87,70,FALSE)</f>
        <v>81706</v>
      </c>
      <c r="F64" s="167">
        <f>VLOOKUP($A64,All!A$3:RC$87,71,FALSE)</f>
        <v>0</v>
      </c>
      <c r="G64" s="148"/>
    </row>
    <row r="65" spans="1:7" s="12" customFormat="1" x14ac:dyDescent="0.25">
      <c r="A65" s="36" t="s">
        <v>1432</v>
      </c>
      <c r="B65" s="36" t="s">
        <v>1560</v>
      </c>
      <c r="C65" s="147">
        <f>'Table 1'!D65/VLOOKUP(A65,All!A$3:RC$87,140,FALSE)</f>
        <v>6.0024903308792218E-2</v>
      </c>
      <c r="D65" s="147">
        <f>VLOOKUP(A65,All!A$3:RC$87,138,FALSE)/VLOOKUP(A65,All!A$3:RC$87,66,FALSE)</f>
        <v>52911.516414799371</v>
      </c>
      <c r="E65" s="168">
        <f>VLOOKUP($A65,All!A$3:RC$87,70,FALSE)</f>
        <v>79968</v>
      </c>
      <c r="F65" s="168">
        <f>VLOOKUP($A65,All!A$3:RC$87,71,FALSE)</f>
        <v>0</v>
      </c>
      <c r="G65" s="166"/>
    </row>
    <row r="66" spans="1:7" s="12" customFormat="1" ht="15.75" thickBot="1" x14ac:dyDescent="0.3">
      <c r="A66" s="599" t="s">
        <v>1471</v>
      </c>
      <c r="B66" s="600"/>
      <c r="C66" s="112">
        <f>AVERAGE(C8:C65)</f>
        <v>8.8330508758441617E-2</v>
      </c>
      <c r="D66" s="107">
        <f>AVERAGE(D8:D65)</f>
        <v>48499.134362295874</v>
      </c>
      <c r="E66" s="123">
        <f>AVERAGE(E8:E65)</f>
        <v>76791.206896551725</v>
      </c>
      <c r="F66" s="170" t="s">
        <v>1485</v>
      </c>
      <c r="G66" s="577" t="s">
        <v>1485</v>
      </c>
    </row>
    <row r="67" spans="1:7" s="12" customFormat="1" ht="16.5" thickTop="1" thickBot="1" x14ac:dyDescent="0.3">
      <c r="A67" s="601" t="s">
        <v>1455</v>
      </c>
      <c r="B67" s="602"/>
      <c r="C67" s="31"/>
      <c r="D67" s="31"/>
      <c r="E67" s="152"/>
      <c r="F67" s="153"/>
      <c r="G67" s="326"/>
    </row>
    <row r="68" spans="1:7" s="12" customFormat="1" ht="15.75" thickTop="1" x14ac:dyDescent="0.25">
      <c r="A68" s="51" t="s">
        <v>364</v>
      </c>
      <c r="B68" s="51" t="s">
        <v>1561</v>
      </c>
      <c r="C68" s="147">
        <f>'Table 1'!D68/VLOOKUP(A68,All!A$3:RC$87,140,FALSE)</f>
        <v>9.8713923789508967E-2</v>
      </c>
      <c r="D68" s="147">
        <f>VLOOKUP(A68,All!A$3:RC$87,138,FALSE)/VLOOKUP(A68,All!A$3:RC$87,66,FALSE)</f>
        <v>38511.642542479545</v>
      </c>
      <c r="E68" s="167">
        <f>VLOOKUP($A68,All!A$3:RC$87,70,FALSE)</f>
        <v>72100</v>
      </c>
      <c r="F68" s="167">
        <f>VLOOKUP($A68,All!A$3:RC$87,71,FALSE)</f>
        <v>0</v>
      </c>
      <c r="G68" s="148"/>
    </row>
    <row r="69" spans="1:7" s="12" customFormat="1" x14ac:dyDescent="0.25">
      <c r="A69" s="51" t="s">
        <v>409</v>
      </c>
      <c r="B69" s="51" t="s">
        <v>1562</v>
      </c>
      <c r="C69" s="147">
        <f>'Table 1'!D69/VLOOKUP(A69,All!A$3:RC$87,140,FALSE)</f>
        <v>0.10797745106465943</v>
      </c>
      <c r="D69" s="147">
        <f>VLOOKUP(A69,All!A$3:RC$87,138,FALSE)/VLOOKUP(A69,All!A$3:RC$87,66,FALSE)</f>
        <v>21780.647058823528</v>
      </c>
      <c r="E69" s="167">
        <f>VLOOKUP($A69,All!A$3:RC$87,70,FALSE)</f>
        <v>41376</v>
      </c>
      <c r="F69" s="167">
        <f>VLOOKUP($A69,All!A$3:RC$87,71,FALSE)</f>
        <v>0</v>
      </c>
      <c r="G69" s="148"/>
    </row>
    <row r="70" spans="1:7" s="12" customFormat="1" x14ac:dyDescent="0.25">
      <c r="A70" s="51" t="s">
        <v>393</v>
      </c>
      <c r="B70" s="51" t="s">
        <v>1563</v>
      </c>
      <c r="C70" s="147">
        <f>'Table 1'!D70/VLOOKUP(A70,All!A$3:RC$87,140,FALSE)</f>
        <v>9.3464255962860412E-2</v>
      </c>
      <c r="D70" s="147">
        <f>VLOOKUP(A70,All!A$3:RC$87,138,FALSE)/VLOOKUP(A70,All!A$3:RC$87,66,FALSE)</f>
        <v>37211.114395506949</v>
      </c>
      <c r="E70" s="167">
        <f>VLOOKUP($A70,All!A$3:RC$87,70,FALSE)</f>
        <v>67619</v>
      </c>
      <c r="F70" s="167">
        <f>VLOOKUP($A70,All!A$3:RC$87,71,FALSE)</f>
        <v>0</v>
      </c>
      <c r="G70" s="148"/>
    </row>
    <row r="71" spans="1:7" s="12" customFormat="1" x14ac:dyDescent="0.25">
      <c r="A71" s="51" t="s">
        <v>428</v>
      </c>
      <c r="B71" s="51" t="s">
        <v>1564</v>
      </c>
      <c r="C71" s="147">
        <f>'Table 1'!D71/VLOOKUP(A71,All!A$3:RC$87,140,FALSE)</f>
        <v>0.12119639920086327</v>
      </c>
      <c r="D71" s="147">
        <f>VLOOKUP(A71,All!A$3:RC$87,138,FALSE)/VLOOKUP(A71,All!A$3:RC$87,66,FALSE)</f>
        <v>30455.815508021387</v>
      </c>
      <c r="E71" s="167">
        <f>VLOOKUP($A71,All!A$3:RC$87,70,FALSE)</f>
        <v>50551</v>
      </c>
      <c r="F71" s="167">
        <f>VLOOKUP($A71,All!A$3:RC$87,71,FALSE)</f>
        <v>0</v>
      </c>
      <c r="G71" s="148"/>
    </row>
    <row r="72" spans="1:7" s="12" customFormat="1" x14ac:dyDescent="0.25">
      <c r="A72" s="51" t="s">
        <v>629</v>
      </c>
      <c r="B72" s="51" t="s">
        <v>1565</v>
      </c>
      <c r="C72" s="147">
        <f>'Table 1'!D72/VLOOKUP(A72,All!A$3:RC$87,140,FALSE)</f>
        <v>7.7864342767371558E-2</v>
      </c>
      <c r="D72" s="147">
        <f>VLOOKUP(A72,All!A$3:RC$87,138,FALSE)/VLOOKUP(A72,All!A$3:RC$87,66,FALSE)</f>
        <v>28558.217091550425</v>
      </c>
      <c r="E72" s="167">
        <f>VLOOKUP($A72,All!A$3:RC$87,70,FALSE)</f>
        <v>84074</v>
      </c>
      <c r="F72" s="167">
        <f>VLOOKUP($A72,All!A$3:RC$87,71,FALSE)</f>
        <v>0</v>
      </c>
      <c r="G72" s="148"/>
    </row>
    <row r="73" spans="1:7" s="12" customFormat="1" x14ac:dyDescent="0.25">
      <c r="A73" s="51" t="s">
        <v>715</v>
      </c>
      <c r="B73" s="51" t="s">
        <v>1566</v>
      </c>
      <c r="C73" s="147">
        <f>'Table 1'!D73/VLOOKUP(A73,All!A$3:RC$87,140,FALSE)</f>
        <v>5.4589735629026005E-2</v>
      </c>
      <c r="D73" s="147">
        <f>VLOOKUP(A73,All!A$3:RC$87,138,FALSE)/VLOOKUP(A73,All!A$3:RC$87,66,FALSE)</f>
        <v>37630.53571428571</v>
      </c>
      <c r="E73" s="167">
        <f>VLOOKUP($A73,All!A$3:RC$87,70,FALSE)</f>
        <v>65267</v>
      </c>
      <c r="F73" s="167">
        <f>VLOOKUP($A73,All!A$3:RC$87,71,FALSE)</f>
        <v>0</v>
      </c>
      <c r="G73" s="148"/>
    </row>
    <row r="74" spans="1:7" s="12" customFormat="1" x14ac:dyDescent="0.25">
      <c r="A74" s="51" t="s">
        <v>754</v>
      </c>
      <c r="B74" s="51" t="s">
        <v>1567</v>
      </c>
      <c r="C74" s="147">
        <f>'Table 1'!D74/VLOOKUP(A74,All!A$3:RC$87,140,FALSE)</f>
        <v>7.4513764315582404E-2</v>
      </c>
      <c r="D74" s="147">
        <f>VLOOKUP(A74,All!A$3:RC$87,138,FALSE)/VLOOKUP(A74,All!A$3:RC$87,66,FALSE)</f>
        <v>30485.981828295939</v>
      </c>
      <c r="E74" s="167">
        <f>VLOOKUP($A74,All!A$3:RC$87,70,FALSE)</f>
        <v>79466</v>
      </c>
      <c r="F74" s="167">
        <f>VLOOKUP($A74,All!A$3:RC$87,71,FALSE)</f>
        <v>0</v>
      </c>
      <c r="G74" s="148"/>
    </row>
    <row r="75" spans="1:7" s="12" customFormat="1" x14ac:dyDescent="0.25">
      <c r="A75" s="51" t="s">
        <v>1048</v>
      </c>
      <c r="B75" s="51" t="s">
        <v>1568</v>
      </c>
      <c r="C75" s="147">
        <f>'Table 1'!D75/VLOOKUP(A75,All!A$3:RC$87,140,FALSE)</f>
        <v>6.2643449206451193E-2</v>
      </c>
      <c r="D75" s="147">
        <f>VLOOKUP(A75,All!A$3:RC$87,138,FALSE)/VLOOKUP(A75,All!A$3:RC$87,66,FALSE)</f>
        <v>46071.920289855079</v>
      </c>
      <c r="E75" s="167">
        <f>VLOOKUP($A75,All!A$3:RC$87,70,FALSE)</f>
        <v>51500</v>
      </c>
      <c r="F75" s="167">
        <f>VLOOKUP($A75,All!A$3:RC$87,71,FALSE)</f>
        <v>0</v>
      </c>
      <c r="G75" s="148"/>
    </row>
    <row r="76" spans="1:7" s="12" customFormat="1" x14ac:dyDescent="0.25">
      <c r="A76" s="51" t="s">
        <v>1064</v>
      </c>
      <c r="B76" s="51" t="s">
        <v>1569</v>
      </c>
      <c r="C76" s="147">
        <f>'Table 1'!D76/VLOOKUP(A76,All!A$3:RC$87,140,FALSE)</f>
        <v>7.7802833088100862E-2</v>
      </c>
      <c r="D76" s="147">
        <f>VLOOKUP(A76,All!A$3:RC$87,138,FALSE)/VLOOKUP(A76,All!A$3:RC$87,66,FALSE)</f>
        <v>34767.673248161052</v>
      </c>
      <c r="E76" s="167">
        <f>VLOOKUP($A76,All!A$3:RC$87,70,FALSE)</f>
        <v>182688</v>
      </c>
      <c r="F76" s="167">
        <f>VLOOKUP($A76,All!A$3:RC$87,71,FALSE)</f>
        <v>0</v>
      </c>
      <c r="G76" s="148"/>
    </row>
    <row r="77" spans="1:7" s="12" customFormat="1" x14ac:dyDescent="0.25">
      <c r="A77" s="51" t="s">
        <v>1093</v>
      </c>
      <c r="B77" s="51" t="s">
        <v>1570</v>
      </c>
      <c r="C77" s="147">
        <f>'Table 1'!D77/VLOOKUP(A77,All!A$3:RC$87,140,FALSE)</f>
        <v>9.4519399301709273E-2</v>
      </c>
      <c r="D77" s="147">
        <f>VLOOKUP(A77,All!A$3:RC$87,138,FALSE)/VLOOKUP(A77,All!A$3:RC$87,66,FALSE)</f>
        <v>28993.050443819011</v>
      </c>
      <c r="E77" s="167">
        <f>VLOOKUP($A77,All!A$3:RC$87,70,FALSE)</f>
        <v>65667</v>
      </c>
      <c r="F77" s="167">
        <f>VLOOKUP($A77,All!A$3:RC$87,71,FALSE)</f>
        <v>0</v>
      </c>
      <c r="G77" s="148"/>
    </row>
    <row r="78" spans="1:7" s="12" customFormat="1" x14ac:dyDescent="0.25">
      <c r="A78" s="51" t="s">
        <v>1172</v>
      </c>
      <c r="B78" s="51" t="s">
        <v>1571</v>
      </c>
      <c r="C78" s="147">
        <f>'Table 1'!D78/VLOOKUP(A78,All!A$3:RC$87,140,FALSE)</f>
        <v>5.8926898464502539E-2</v>
      </c>
      <c r="D78" s="147">
        <f>VLOOKUP(A78,All!A$3:RC$87,138,FALSE)/VLOOKUP(A78,All!A$3:RC$87,66,FALSE)</f>
        <v>149024.36548223349</v>
      </c>
      <c r="E78" s="167">
        <f>VLOOKUP($A78,All!A$3:RC$87,70,FALSE)</f>
        <v>59444</v>
      </c>
      <c r="F78" s="167">
        <f>VLOOKUP($A78,All!A$3:RC$87,71,FALSE)</f>
        <v>0</v>
      </c>
      <c r="G78" s="148"/>
    </row>
    <row r="79" spans="1:7" s="12" customFormat="1" x14ac:dyDescent="0.25">
      <c r="A79" s="51" t="s">
        <v>1305</v>
      </c>
      <c r="B79" s="51" t="s">
        <v>1572</v>
      </c>
      <c r="C79" s="147">
        <f>'Table 1'!D79/VLOOKUP(A79,All!A$3:RC$87,140,FALSE)</f>
        <v>0.12255971857390145</v>
      </c>
      <c r="D79" s="147">
        <f>VLOOKUP(A79,All!A$3:RC$87,138,FALSE)/VLOOKUP(A79,All!A$3:RC$87,66,FALSE)</f>
        <v>33372.265625</v>
      </c>
      <c r="E79" s="167">
        <f>VLOOKUP($A79,All!A$3:RC$87,70,FALSE)</f>
        <v>61200</v>
      </c>
      <c r="F79" s="167">
        <f>VLOOKUP($A79,All!A$3:RC$87,71,FALSE)</f>
        <v>0</v>
      </c>
      <c r="G79" s="148"/>
    </row>
    <row r="80" spans="1:7" s="12" customFormat="1" ht="15.75" thickBot="1" x14ac:dyDescent="0.3">
      <c r="A80" s="599" t="s">
        <v>1471</v>
      </c>
      <c r="B80" s="600"/>
      <c r="C80" s="163"/>
      <c r="D80" s="163"/>
      <c r="E80" s="155">
        <f>AVERAGE(E68:E79)</f>
        <v>73412.666666666672</v>
      </c>
      <c r="F80" s="149" t="s">
        <v>1485</v>
      </c>
      <c r="G80" s="578" t="s">
        <v>1485</v>
      </c>
    </row>
    <row r="81" spans="1:7" s="12" customFormat="1" ht="16.5" thickTop="1" thickBot="1" x14ac:dyDescent="0.3">
      <c r="A81" s="54"/>
      <c r="B81" s="31" t="s">
        <v>1456</v>
      </c>
      <c r="C81" s="31"/>
      <c r="D81" s="31"/>
      <c r="E81" s="152"/>
      <c r="F81" s="153"/>
      <c r="G81" s="326"/>
    </row>
    <row r="82" spans="1:7" s="12" customFormat="1" ht="15.75" thickTop="1" x14ac:dyDescent="0.25">
      <c r="A82" s="51" t="s">
        <v>557</v>
      </c>
      <c r="B82" s="51" t="s">
        <v>1573</v>
      </c>
      <c r="C82" s="147">
        <f>'Table 1'!D82/VLOOKUP(A82,All!A$3:RC$87,140,FALSE)</f>
        <v>2.9262172974976179E-2</v>
      </c>
      <c r="D82" s="147">
        <f>VLOOKUP(A82,All!A$3:RC$87,138,FALSE)/VLOOKUP(A82,All!A$3:RC$87,66,FALSE)</f>
        <v>63783.92124692371</v>
      </c>
      <c r="E82" s="167">
        <f>VLOOKUP($A82,All!A$3:RC$87,70,FALSE)</f>
        <v>95464</v>
      </c>
      <c r="F82" s="167">
        <f>VLOOKUP($A82,All!A$3:RC$87,71,FALSE)</f>
        <v>0</v>
      </c>
      <c r="G82" s="148"/>
    </row>
    <row r="83" spans="1:7" s="12" customFormat="1" x14ac:dyDescent="0.25">
      <c r="A83" s="51" t="s">
        <v>946</v>
      </c>
      <c r="B83" s="51" t="s">
        <v>1457</v>
      </c>
      <c r="C83" s="147">
        <f>'Table 1'!D83/VLOOKUP(A83,All!A$3:RC$87,140,FALSE)</f>
        <v>4.4114474643316977E-2</v>
      </c>
      <c r="D83" s="147">
        <f>VLOOKUP(A83,All!A$3:RC$87,138,FALSE)/VLOOKUP(A83,All!A$3:RC$87,66,FALSE)</f>
        <v>55166.166666666664</v>
      </c>
      <c r="E83" s="167">
        <f>VLOOKUP($A83,All!A$3:RC$87,70,FALSE)</f>
        <v>58000</v>
      </c>
      <c r="F83" s="167">
        <f>VLOOKUP($A83,All!A$3:RC$87,71,FALSE)</f>
        <v>0</v>
      </c>
      <c r="G83" s="148"/>
    </row>
    <row r="84" spans="1:7" s="12" customFormat="1" x14ac:dyDescent="0.25">
      <c r="A84" s="51" t="s">
        <v>743</v>
      </c>
      <c r="B84" s="51" t="s">
        <v>1574</v>
      </c>
      <c r="C84" s="147">
        <f>'Table 1'!D84/VLOOKUP(A84,All!A$3:RC$87,140,FALSE)</f>
        <v>2.0335204288246079E-2</v>
      </c>
      <c r="D84" s="147">
        <f>VLOOKUP(A84,All!A$3:RC$87,138,FALSE)/VLOOKUP(A84,All!A$3:RC$87,66,FALSE)</f>
        <v>77287.5</v>
      </c>
      <c r="E84" s="167">
        <f>VLOOKUP($A84,All!A$3:RC$87,70,FALSE)</f>
        <v>45240</v>
      </c>
      <c r="F84" s="167">
        <f>VLOOKUP($A84,All!A$3:RC$87,71,FALSE)</f>
        <v>0</v>
      </c>
      <c r="G84" s="148"/>
    </row>
    <row r="85" spans="1:7" s="12" customFormat="1" x14ac:dyDescent="0.25">
      <c r="A85" s="51" t="s">
        <v>917</v>
      </c>
      <c r="B85" s="51" t="s">
        <v>1575</v>
      </c>
      <c r="C85" s="147">
        <f>'Table 1'!D85/VLOOKUP(A85,All!A$3:RC$87,140,FALSE)</f>
        <v>3.5951894688757001E-2</v>
      </c>
      <c r="D85" s="147">
        <f>VLOOKUP(A85,All!A$3:RC$87,138,FALSE)/VLOOKUP(A85,All!A$3:RC$87,66,FALSE)</f>
        <v>52501.146788990824</v>
      </c>
      <c r="E85" s="167">
        <f>VLOOKUP($A85,All!A$3:RC$87,70,FALSE)</f>
        <v>70638</v>
      </c>
      <c r="F85" s="167">
        <f>VLOOKUP($A85,All!A$3:RC$87,71,FALSE)</f>
        <v>0</v>
      </c>
      <c r="G85" s="148"/>
    </row>
    <row r="86" spans="1:7" s="12" customFormat="1" x14ac:dyDescent="0.25">
      <c r="A86" s="51" t="s">
        <v>932</v>
      </c>
      <c r="B86" s="51" t="s">
        <v>1576</v>
      </c>
      <c r="C86" s="147">
        <f>'Table 1'!D86/VLOOKUP(A86,All!A$3:RC$87,140,FALSE)</f>
        <v>3.4109314778506344E-2</v>
      </c>
      <c r="D86" s="147">
        <f>VLOOKUP(A86,All!A$3:RC$87,138,FALSE)/VLOOKUP(A86,All!A$3:RC$87,66,FALSE)</f>
        <v>46181.923809523811</v>
      </c>
      <c r="E86" s="167">
        <f>VLOOKUP($A86,All!A$3:RC$87,70,FALSE)</f>
        <v>108753</v>
      </c>
      <c r="F86" s="167">
        <f>VLOOKUP($A86,All!A$3:RC$87,71,FALSE)</f>
        <v>0</v>
      </c>
      <c r="G86" s="148"/>
    </row>
    <row r="87" spans="1:7" s="12" customFormat="1" x14ac:dyDescent="0.25">
      <c r="A87" s="51" t="s">
        <v>970</v>
      </c>
      <c r="B87" s="51" t="s">
        <v>1577</v>
      </c>
      <c r="C87" s="147">
        <f>'Table 1'!D87/VLOOKUP(A87,All!A$3:RC$87,140,FALSE)</f>
        <v>2.7206688596491228E-2</v>
      </c>
      <c r="D87" s="147">
        <f>VLOOKUP(A87,All!A$3:RC$87,138,FALSE)/VLOOKUP(A87,All!A$3:RC$87,66,FALSE)</f>
        <v>48915.454545454544</v>
      </c>
      <c r="E87" s="167">
        <f>VLOOKUP($A87,All!A$3:RC$87,70,FALSE)</f>
        <v>55589</v>
      </c>
      <c r="F87" s="167">
        <f>VLOOKUP($A87,All!A$3:RC$87,71,FALSE)</f>
        <v>0</v>
      </c>
      <c r="G87" s="148"/>
    </row>
    <row r="88" spans="1:7" s="12" customFormat="1" x14ac:dyDescent="0.25">
      <c r="A88" s="51" t="s">
        <v>1033</v>
      </c>
      <c r="B88" s="51" t="s">
        <v>1578</v>
      </c>
      <c r="C88" s="147">
        <f>'Table 1'!D88/VLOOKUP(A88,All!A$3:RC$87,140,FALSE)</f>
        <v>2.8895637548648781E-2</v>
      </c>
      <c r="D88" s="147">
        <f>VLOOKUP(A88,All!A$3:RC$87,138,FALSE)/VLOOKUP(A88,All!A$3:RC$87,66,FALSE)</f>
        <v>51279.064935064933</v>
      </c>
      <c r="E88" s="167">
        <f>VLOOKUP($A88,All!A$3:RC$87,70,FALSE)</f>
        <v>93312</v>
      </c>
      <c r="F88" s="167">
        <f>VLOOKUP($A88,All!A$3:RC$87,71,FALSE)</f>
        <v>0</v>
      </c>
      <c r="G88" s="148"/>
    </row>
    <row r="89" spans="1:7" s="12" customFormat="1" x14ac:dyDescent="0.25">
      <c r="A89" s="51" t="s">
        <v>884</v>
      </c>
      <c r="B89" s="51" t="s">
        <v>1579</v>
      </c>
      <c r="C89" s="147">
        <f>'Table 1'!D89/VLOOKUP(A89,All!A$3:RC$87,140,FALSE)</f>
        <v>3.5950901693424235E-2</v>
      </c>
      <c r="D89" s="147">
        <f>VLOOKUP(A89,All!A$3:RC$87,138,FALSE)/VLOOKUP(A89,All!A$3:RC$87,66,FALSE)</f>
        <v>30088.266666666666</v>
      </c>
      <c r="E89" s="167">
        <f>VLOOKUP($A89,All!A$3:RC$87,70,FALSE)</f>
        <v>45000</v>
      </c>
      <c r="F89" s="167">
        <f>VLOOKUP($A89,All!A$3:RC$87,71,FALSE)</f>
        <v>0</v>
      </c>
      <c r="G89" s="148"/>
    </row>
    <row r="90" spans="1:7" s="12" customFormat="1" x14ac:dyDescent="0.25">
      <c r="A90" s="51" t="s">
        <v>1224</v>
      </c>
      <c r="B90" s="51" t="s">
        <v>1580</v>
      </c>
      <c r="C90" s="147">
        <f>'Table 1'!D90/VLOOKUP(A90,All!A$3:RC$87,140,FALSE)</f>
        <v>7.5957325875589135E-2</v>
      </c>
      <c r="D90" s="147">
        <f>VLOOKUP(A90,All!A$3:RC$87,138,FALSE)/VLOOKUP(A90,All!A$3:RC$87,66,FALSE)</f>
        <v>38081.725888324872</v>
      </c>
      <c r="E90" s="167">
        <f>VLOOKUP($A90,All!A$3:RC$87,70,FALSE)</f>
        <v>47003</v>
      </c>
      <c r="F90" s="167">
        <f>VLOOKUP($A90,All!A$3:RC$87,71,FALSE)</f>
        <v>0</v>
      </c>
      <c r="G90" s="148"/>
    </row>
    <row r="91" spans="1:7" s="12" customFormat="1" x14ac:dyDescent="0.25">
      <c r="A91" s="51" t="s">
        <v>1346</v>
      </c>
      <c r="B91" s="51" t="s">
        <v>1581</v>
      </c>
      <c r="C91" s="147">
        <f>'Table 1'!D91/VLOOKUP(A91,All!A$3:RC$87,140,FALSE)</f>
        <v>2.3202427517714706E-2</v>
      </c>
      <c r="D91" s="147">
        <f>VLOOKUP(A91,All!A$3:RC$87,138,FALSE)/VLOOKUP(A91,All!A$3:RC$87,66,FALSE)</f>
        <v>72055.038759689924</v>
      </c>
      <c r="E91" s="167"/>
      <c r="F91" s="167">
        <f>VLOOKUP($A91,All!A$3:RC$87,71,FALSE)</f>
        <v>0</v>
      </c>
      <c r="G91" s="148"/>
    </row>
    <row r="92" spans="1:7" s="12" customFormat="1" x14ac:dyDescent="0.25">
      <c r="A92" s="51" t="s">
        <v>819</v>
      </c>
      <c r="B92" s="51" t="s">
        <v>1582</v>
      </c>
      <c r="C92" s="147">
        <f>'Table 1'!D92/VLOOKUP(A92,All!A$3:RC$87,140,FALSE)</f>
        <v>3.3776813724104793E-2</v>
      </c>
      <c r="D92" s="147">
        <f>VLOOKUP(A92,All!A$3:RC$87,138,FALSE)/VLOOKUP(A92,All!A$3:RC$87,66,FALSE)</f>
        <v>35730.5</v>
      </c>
      <c r="E92" s="167">
        <f>VLOOKUP($A92,All!A$3:RC$87,70,FALSE)</f>
        <v>63994</v>
      </c>
      <c r="F92" s="167">
        <f>VLOOKUP($A92,All!A$3:RC$87,71,FALSE)</f>
        <v>0</v>
      </c>
      <c r="G92" s="148"/>
    </row>
    <row r="93" spans="1:7" s="12" customFormat="1" x14ac:dyDescent="0.25">
      <c r="A93" s="603" t="s">
        <v>1471</v>
      </c>
      <c r="B93" s="604"/>
      <c r="C93" s="164"/>
      <c r="D93" s="164"/>
      <c r="E93" s="156">
        <f>AVERAGE(E82:E92)</f>
        <v>68299.3</v>
      </c>
      <c r="F93" s="157" t="s">
        <v>1485</v>
      </c>
      <c r="G93" s="579" t="s">
        <v>1485</v>
      </c>
    </row>
    <row r="94" spans="1:7" s="12" customFormat="1" ht="15.75" thickBot="1" x14ac:dyDescent="0.3">
      <c r="A94" s="19"/>
      <c r="B94" s="61"/>
      <c r="C94" s="20"/>
      <c r="D94" s="20"/>
      <c r="E94" s="158"/>
      <c r="F94" s="159"/>
      <c r="G94" s="580"/>
    </row>
    <row r="95" spans="1:7" s="12" customFormat="1" ht="15.75" thickTop="1" x14ac:dyDescent="0.25">
      <c r="A95" s="605" t="s">
        <v>1472</v>
      </c>
      <c r="B95" s="606"/>
      <c r="C95" s="165"/>
      <c r="D95" s="165"/>
      <c r="E95" s="160">
        <f>AVERAGE(E8:E57,E59:E65,E68:E79,E82:E90,E92)</f>
        <v>75400.9493670886</v>
      </c>
      <c r="F95" s="160" t="s">
        <v>1485</v>
      </c>
      <c r="G95" s="581" t="s">
        <v>1485</v>
      </c>
    </row>
  </sheetData>
  <mergeCells count="7">
    <mergeCell ref="A95:B95"/>
    <mergeCell ref="B4:B6"/>
    <mergeCell ref="E4:G4"/>
    <mergeCell ref="A66:B66"/>
    <mergeCell ref="A67:B67"/>
    <mergeCell ref="A80:B80"/>
    <mergeCell ref="A93:B9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95"/>
  <sheetViews>
    <sheetView tabSelected="1" workbookViewId="0">
      <selection activeCell="H87" sqref="H87"/>
    </sheetView>
  </sheetViews>
  <sheetFormatPr defaultColWidth="8.85546875" defaultRowHeight="15" x14ac:dyDescent="0.25"/>
  <cols>
    <col min="2" max="2" width="18.28515625" customWidth="1"/>
    <col min="3" max="3" width="12.7109375" customWidth="1"/>
    <col min="4" max="5" width="15.28515625" customWidth="1"/>
    <col min="6" max="6" width="13.28515625" customWidth="1"/>
    <col min="7" max="7" width="12.42578125" customWidth="1"/>
    <col min="8" max="8" width="13.28515625" customWidth="1"/>
    <col min="9" max="9" width="13.42578125" customWidth="1"/>
    <col min="10" max="10" width="10.7109375" customWidth="1"/>
    <col min="11" max="11" width="11.85546875" customWidth="1"/>
    <col min="12" max="12" width="13.85546875" customWidth="1"/>
    <col min="13" max="13" width="14.140625" customWidth="1"/>
  </cols>
  <sheetData>
    <row r="1" spans="1:13" ht="15.75" x14ac:dyDescent="0.25">
      <c r="A1" s="127"/>
      <c r="B1" s="128"/>
      <c r="C1" s="130"/>
      <c r="D1" s="130"/>
      <c r="E1" s="130"/>
      <c r="F1" s="128"/>
      <c r="G1" s="128"/>
      <c r="H1" s="128"/>
      <c r="M1" s="11" t="s">
        <v>1758</v>
      </c>
    </row>
    <row r="2" spans="1:13" ht="15.75" x14ac:dyDescent="0.25">
      <c r="A2" s="171" t="s">
        <v>1487</v>
      </c>
      <c r="B2" s="14"/>
      <c r="C2" s="132"/>
      <c r="D2" s="132"/>
      <c r="E2" s="132"/>
      <c r="F2" s="14"/>
      <c r="G2" s="14"/>
      <c r="H2" s="14"/>
      <c r="M2" s="18" t="s">
        <v>1759</v>
      </c>
    </row>
    <row r="3" spans="1:13" ht="16.5" thickBot="1" x14ac:dyDescent="0.3">
      <c r="A3" s="134"/>
      <c r="B3" s="14"/>
      <c r="C3" s="132"/>
      <c r="D3" s="132"/>
      <c r="E3" s="132"/>
      <c r="F3" s="14"/>
      <c r="G3" s="14"/>
      <c r="H3" s="14"/>
      <c r="I3" s="14"/>
    </row>
    <row r="4" spans="1:13" ht="15.75" thickTop="1" x14ac:dyDescent="0.25">
      <c r="A4" s="92"/>
      <c r="B4" s="632"/>
      <c r="C4" s="172"/>
      <c r="D4" s="173"/>
      <c r="E4" s="174"/>
      <c r="F4" s="173"/>
      <c r="G4" s="173"/>
      <c r="H4" s="174"/>
      <c r="I4" s="172"/>
      <c r="J4" s="173"/>
      <c r="K4" s="173"/>
      <c r="L4" s="175"/>
      <c r="M4" s="176" t="s">
        <v>1462</v>
      </c>
    </row>
    <row r="5" spans="1:13" x14ac:dyDescent="0.25">
      <c r="A5" s="95"/>
      <c r="B5" s="633"/>
      <c r="C5" s="177" t="s">
        <v>1488</v>
      </c>
      <c r="D5" s="178"/>
      <c r="E5" s="179"/>
      <c r="F5" s="178" t="s">
        <v>1489</v>
      </c>
      <c r="G5" s="178"/>
      <c r="H5" s="179"/>
      <c r="I5" s="178" t="s">
        <v>1490</v>
      </c>
      <c r="J5" s="178"/>
      <c r="K5" s="178"/>
      <c r="L5" s="180" t="s">
        <v>469</v>
      </c>
      <c r="M5" s="181" t="s">
        <v>1491</v>
      </c>
    </row>
    <row r="6" spans="1:13" ht="15.75" thickBot="1" x14ac:dyDescent="0.3">
      <c r="A6" s="182"/>
      <c r="B6" s="183"/>
      <c r="C6" s="184" t="s">
        <v>564</v>
      </c>
      <c r="D6" s="184" t="s">
        <v>1492</v>
      </c>
      <c r="E6" s="184" t="s">
        <v>1493</v>
      </c>
      <c r="F6" s="185" t="s">
        <v>1494</v>
      </c>
      <c r="G6" s="185" t="s">
        <v>1495</v>
      </c>
      <c r="H6" s="186" t="s">
        <v>1493</v>
      </c>
      <c r="I6" s="184" t="s">
        <v>130</v>
      </c>
      <c r="J6" s="184" t="s">
        <v>1495</v>
      </c>
      <c r="K6" s="184" t="s">
        <v>1496</v>
      </c>
      <c r="L6" s="187" t="s">
        <v>1497</v>
      </c>
      <c r="M6" s="188" t="s">
        <v>1498</v>
      </c>
    </row>
    <row r="7" spans="1:13" ht="16.5" thickTop="1" thickBot="1" x14ac:dyDescent="0.3">
      <c r="A7" s="601" t="s">
        <v>1452</v>
      </c>
      <c r="B7" s="602"/>
      <c r="C7" s="144"/>
      <c r="D7" s="144"/>
      <c r="E7" s="144"/>
      <c r="F7" s="189"/>
      <c r="G7" s="189"/>
      <c r="H7" s="189"/>
      <c r="I7" s="189"/>
      <c r="J7" s="190"/>
      <c r="K7" s="190"/>
      <c r="L7" s="190"/>
      <c r="M7" s="191"/>
    </row>
    <row r="8" spans="1:13" ht="15.75" thickTop="1" x14ac:dyDescent="0.25">
      <c r="A8" s="36" t="s">
        <v>340</v>
      </c>
      <c r="B8" s="36" t="s">
        <v>1506</v>
      </c>
      <c r="C8" s="192">
        <f>VLOOKUP($A8,[0]!Data,127,FALSE)</f>
        <v>232000</v>
      </c>
      <c r="D8" s="192">
        <f>VLOOKUP($A8,[0]!Data,128,FALSE)</f>
        <v>2397591</v>
      </c>
      <c r="E8" s="192">
        <f>VLOOKUP($A8,[0]!Data,129,FALSE)</f>
        <v>2629591</v>
      </c>
      <c r="F8" s="192">
        <f>VLOOKUP($A8,[0]!Data,130,FALSE)</f>
        <v>180565</v>
      </c>
      <c r="G8" s="192">
        <f>VLOOKUP($A8,[0]!Data,131,FALSE)</f>
        <v>0</v>
      </c>
      <c r="H8" s="192">
        <f>VLOOKUP($A8,[0]!Data,132,FALSE)</f>
        <v>180565</v>
      </c>
      <c r="I8" s="192">
        <f>VLOOKUP($A8,[0]!Data,133,FALSE)</f>
        <v>49980</v>
      </c>
      <c r="J8" s="192">
        <f>VLOOKUP($A8,[0]!Data,134,FALSE)</f>
        <v>10000</v>
      </c>
      <c r="K8" s="192">
        <f>VLOOKUP($A8,[0]!Data,135,FALSE)</f>
        <v>59980</v>
      </c>
      <c r="L8" s="192">
        <f>VLOOKUP($A8,[0]!Data,136,FALSE)</f>
        <v>104431</v>
      </c>
      <c r="M8" s="193">
        <f>VLOOKUP($A8,[0]!Data,137,FALSE)</f>
        <v>2974567</v>
      </c>
    </row>
    <row r="9" spans="1:13" x14ac:dyDescent="0.25">
      <c r="A9" s="36" t="s">
        <v>381</v>
      </c>
      <c r="B9" s="36" t="s">
        <v>1507</v>
      </c>
      <c r="C9" s="192">
        <f>VLOOKUP($A9,[0]!Data,127,FALSE)</f>
        <v>0</v>
      </c>
      <c r="D9" s="192">
        <f>VLOOKUP($A9,[0]!Data,128,FALSE)</f>
        <v>492259</v>
      </c>
      <c r="E9" s="192">
        <f>VLOOKUP($A9,[0]!Data,129,FALSE)</f>
        <v>492259</v>
      </c>
      <c r="F9" s="192">
        <f>VLOOKUP($A9,[0]!Data,130,FALSE)</f>
        <v>95790</v>
      </c>
      <c r="G9" s="192">
        <f>VLOOKUP($A9,[0]!Data,131,FALSE)</f>
        <v>0</v>
      </c>
      <c r="H9" s="192">
        <f>VLOOKUP($A9,[0]!Data,132,FALSE)</f>
        <v>95790</v>
      </c>
      <c r="I9" s="192">
        <f>VLOOKUP($A9,[0]!Data,133,FALSE)</f>
        <v>11810</v>
      </c>
      <c r="J9" s="192">
        <f>VLOOKUP($A9,[0]!Data,134,FALSE)</f>
        <v>0</v>
      </c>
      <c r="K9" s="192">
        <f>VLOOKUP($A9,[0]!Data,135,FALSE)</f>
        <v>11810</v>
      </c>
      <c r="L9" s="192">
        <f>VLOOKUP($A9,[0]!Data,136,FALSE)</f>
        <v>12037</v>
      </c>
      <c r="M9" s="194">
        <f>VLOOKUP($A9,[0]!Data,137,FALSE)</f>
        <v>611896</v>
      </c>
    </row>
    <row r="10" spans="1:13" x14ac:dyDescent="0.25">
      <c r="A10" s="36" t="s">
        <v>442</v>
      </c>
      <c r="B10" s="36" t="s">
        <v>1508</v>
      </c>
      <c r="C10" s="192">
        <f>VLOOKUP($A10,[0]!Data,127,FALSE)</f>
        <v>15000</v>
      </c>
      <c r="D10" s="192">
        <f>VLOOKUP($A10,[0]!Data,128,FALSE)</f>
        <v>393906</v>
      </c>
      <c r="E10" s="192">
        <f>VLOOKUP($A10,[0]!Data,129,FALSE)</f>
        <v>408906</v>
      </c>
      <c r="F10" s="192">
        <f>VLOOKUP($A10,[0]!Data,130,FALSE)</f>
        <v>92985</v>
      </c>
      <c r="G10" s="192">
        <f>VLOOKUP($A10,[0]!Data,131,FALSE)</f>
        <v>0</v>
      </c>
      <c r="H10" s="192">
        <f>VLOOKUP($A10,[0]!Data,132,FALSE)</f>
        <v>92985</v>
      </c>
      <c r="I10" s="192">
        <f>VLOOKUP($A10,[0]!Data,133,FALSE)</f>
        <v>3882</v>
      </c>
      <c r="J10" s="192">
        <f>VLOOKUP($A10,[0]!Data,134,FALSE)</f>
        <v>0</v>
      </c>
      <c r="K10" s="192">
        <f>VLOOKUP($A10,[0]!Data,135,FALSE)</f>
        <v>3882</v>
      </c>
      <c r="L10" s="192">
        <f>VLOOKUP($A10,[0]!Data,136,FALSE)</f>
        <v>0</v>
      </c>
      <c r="M10" s="194">
        <f>VLOOKUP($A10,[0]!Data,137,FALSE)</f>
        <v>505773</v>
      </c>
    </row>
    <row r="11" spans="1:13" x14ac:dyDescent="0.25">
      <c r="A11" s="36" t="s">
        <v>470</v>
      </c>
      <c r="B11" s="36" t="s">
        <v>1509</v>
      </c>
      <c r="C11" s="192">
        <f>VLOOKUP($A11,[0]!Data,127,FALSE)</f>
        <v>0</v>
      </c>
      <c r="D11" s="192">
        <f>VLOOKUP($A11,[0]!Data,128,FALSE)</f>
        <v>1124513</v>
      </c>
      <c r="E11" s="192">
        <f>VLOOKUP($A11,[0]!Data,129,FALSE)</f>
        <v>1124513</v>
      </c>
      <c r="F11" s="192">
        <f>VLOOKUP($A11,[0]!Data,130,FALSE)</f>
        <v>139960</v>
      </c>
      <c r="G11" s="192">
        <f>VLOOKUP($A11,[0]!Data,131,FALSE)</f>
        <v>0</v>
      </c>
      <c r="H11" s="192">
        <f>VLOOKUP($A11,[0]!Data,132,FALSE)</f>
        <v>139960</v>
      </c>
      <c r="I11" s="192">
        <f>VLOOKUP($A11,[0]!Data,133,FALSE)</f>
        <v>0</v>
      </c>
      <c r="J11" s="192">
        <f>VLOOKUP($A11,[0]!Data,134,FALSE)</f>
        <v>0</v>
      </c>
      <c r="K11" s="192">
        <f>VLOOKUP($A11,[0]!Data,135,FALSE)</f>
        <v>0</v>
      </c>
      <c r="L11" s="192">
        <f>VLOOKUP($A11,[0]!Data,136,FALSE)</f>
        <v>0</v>
      </c>
      <c r="M11" s="194">
        <f>VLOOKUP($A11,[0]!Data,137,FALSE)</f>
        <v>1264473</v>
      </c>
    </row>
    <row r="12" spans="1:13" x14ac:dyDescent="0.25">
      <c r="A12" s="36" t="s">
        <v>484</v>
      </c>
      <c r="B12" s="36" t="s">
        <v>1510</v>
      </c>
      <c r="C12" s="192">
        <f>VLOOKUP($A12,[0]!Data,127,FALSE)</f>
        <v>0</v>
      </c>
      <c r="D12" s="192">
        <f>VLOOKUP($A12,[0]!Data,128,FALSE)</f>
        <v>4469407</v>
      </c>
      <c r="E12" s="192">
        <f>VLOOKUP($A12,[0]!Data,129,FALSE)</f>
        <v>4469407</v>
      </c>
      <c r="F12" s="192">
        <f>VLOOKUP($A12,[0]!Data,130,FALSE)</f>
        <v>224470</v>
      </c>
      <c r="G12" s="192">
        <f>VLOOKUP($A12,[0]!Data,131,FALSE)</f>
        <v>0</v>
      </c>
      <c r="H12" s="192">
        <f>VLOOKUP($A12,[0]!Data,132,FALSE)</f>
        <v>224470</v>
      </c>
      <c r="I12" s="192">
        <f>VLOOKUP($A12,[0]!Data,133,FALSE)</f>
        <v>37491</v>
      </c>
      <c r="J12" s="192">
        <f>VLOOKUP($A12,[0]!Data,134,FALSE)</f>
        <v>0</v>
      </c>
      <c r="K12" s="192">
        <f>VLOOKUP($A12,[0]!Data,135,FALSE)</f>
        <v>37491</v>
      </c>
      <c r="L12" s="192">
        <f>VLOOKUP($A12,[0]!Data,136,FALSE)</f>
        <v>234889</v>
      </c>
      <c r="M12" s="194">
        <f>VLOOKUP($A12,[0]!Data,137,FALSE)</f>
        <v>4966257</v>
      </c>
    </row>
    <row r="13" spans="1:13" x14ac:dyDescent="0.25">
      <c r="A13" s="36" t="s">
        <v>497</v>
      </c>
      <c r="B13" s="36" t="s">
        <v>1511</v>
      </c>
      <c r="C13" s="192">
        <f>VLOOKUP($A13,[0]!Data,127,FALSE)</f>
        <v>268500</v>
      </c>
      <c r="D13" s="192">
        <f>VLOOKUP($A13,[0]!Data,128,FALSE)</f>
        <v>810360</v>
      </c>
      <c r="E13" s="192">
        <f>VLOOKUP($A13,[0]!Data,129,FALSE)</f>
        <v>1078860</v>
      </c>
      <c r="F13" s="192">
        <f>VLOOKUP($A13,[0]!Data,130,FALSE)</f>
        <v>142287</v>
      </c>
      <c r="G13" s="192">
        <f>VLOOKUP($A13,[0]!Data,131,FALSE)</f>
        <v>0</v>
      </c>
      <c r="H13" s="192">
        <f>VLOOKUP($A13,[0]!Data,132,FALSE)</f>
        <v>142287</v>
      </c>
      <c r="I13" s="192">
        <f>VLOOKUP($A13,[0]!Data,133,FALSE)</f>
        <v>21250</v>
      </c>
      <c r="J13" s="192">
        <f>VLOOKUP($A13,[0]!Data,134,FALSE)</f>
        <v>11855</v>
      </c>
      <c r="K13" s="192">
        <f>VLOOKUP($A13,[0]!Data,135,FALSE)</f>
        <v>33105</v>
      </c>
      <c r="L13" s="192">
        <f>VLOOKUP($A13,[0]!Data,136,FALSE)</f>
        <v>40387</v>
      </c>
      <c r="M13" s="194">
        <f>VLOOKUP($A13,[0]!Data,137,FALSE)</f>
        <v>1294639</v>
      </c>
    </row>
    <row r="14" spans="1:13" x14ac:dyDescent="0.25">
      <c r="A14" s="36" t="s">
        <v>509</v>
      </c>
      <c r="B14" s="36" t="s">
        <v>1512</v>
      </c>
      <c r="C14" s="192">
        <f>VLOOKUP($A14,[0]!Data,127,FALSE)</f>
        <v>0</v>
      </c>
      <c r="D14" s="192">
        <f>VLOOKUP($A14,[0]!Data,128,FALSE)</f>
        <v>3098094</v>
      </c>
      <c r="E14" s="192">
        <f>VLOOKUP($A14,[0]!Data,129,FALSE)</f>
        <v>3098094</v>
      </c>
      <c r="F14" s="192">
        <f>VLOOKUP($A14,[0]!Data,130,FALSE)</f>
        <v>195223</v>
      </c>
      <c r="G14" s="192">
        <f>VLOOKUP($A14,[0]!Data,131,FALSE)</f>
        <v>0</v>
      </c>
      <c r="H14" s="192">
        <f>VLOOKUP($A14,[0]!Data,132,FALSE)</f>
        <v>195223</v>
      </c>
      <c r="I14" s="192">
        <f>VLOOKUP($A14,[0]!Data,133,FALSE)</f>
        <v>0</v>
      </c>
      <c r="J14" s="192">
        <f>VLOOKUP($A14,[0]!Data,134,FALSE)</f>
        <v>0</v>
      </c>
      <c r="K14" s="192">
        <f>VLOOKUP($A14,[0]!Data,135,FALSE)</f>
        <v>0</v>
      </c>
      <c r="L14" s="192">
        <f>VLOOKUP($A14,[0]!Data,136,FALSE)</f>
        <v>0</v>
      </c>
      <c r="M14" s="194">
        <f>VLOOKUP($A14,[0]!Data,137,FALSE)</f>
        <v>3293317</v>
      </c>
    </row>
    <row r="15" spans="1:13" x14ac:dyDescent="0.25">
      <c r="A15" s="36" t="s">
        <v>521</v>
      </c>
      <c r="B15" s="36" t="s">
        <v>1513</v>
      </c>
      <c r="C15" s="192">
        <f>VLOOKUP($A15,[0]!Data,127,FALSE)</f>
        <v>0</v>
      </c>
      <c r="D15" s="192">
        <f>VLOOKUP($A15,[0]!Data,128,FALSE)</f>
        <v>837223</v>
      </c>
      <c r="E15" s="192">
        <f>VLOOKUP($A15,[0]!Data,129,FALSE)</f>
        <v>837223</v>
      </c>
      <c r="F15" s="192">
        <f>VLOOKUP($A15,[0]!Data,130,FALSE)</f>
        <v>138156</v>
      </c>
      <c r="G15" s="192">
        <f>VLOOKUP($A15,[0]!Data,131,FALSE)</f>
        <v>0</v>
      </c>
      <c r="H15" s="192">
        <f>VLOOKUP($A15,[0]!Data,132,FALSE)</f>
        <v>138156</v>
      </c>
      <c r="I15" s="192">
        <f>VLOOKUP($A15,[0]!Data,133,FALSE)</f>
        <v>750</v>
      </c>
      <c r="J15" s="192">
        <f>VLOOKUP($A15,[0]!Data,134,FALSE)</f>
        <v>0</v>
      </c>
      <c r="K15" s="192">
        <f>VLOOKUP($A15,[0]!Data,135,FALSE)</f>
        <v>750</v>
      </c>
      <c r="L15" s="192">
        <f>VLOOKUP($A15,[0]!Data,136,FALSE)</f>
        <v>32902</v>
      </c>
      <c r="M15" s="194">
        <f>VLOOKUP($A15,[0]!Data,137,FALSE)</f>
        <v>1009031</v>
      </c>
    </row>
    <row r="16" spans="1:13" x14ac:dyDescent="0.25">
      <c r="A16" s="36" t="s">
        <v>531</v>
      </c>
      <c r="B16" s="36" t="s">
        <v>1514</v>
      </c>
      <c r="C16" s="192">
        <f>VLOOKUP($A16,[0]!Data,127,FALSE)</f>
        <v>0</v>
      </c>
      <c r="D16" s="192">
        <f>VLOOKUP($A16,[0]!Data,128,FALSE)</f>
        <v>175409</v>
      </c>
      <c r="E16" s="192">
        <f>VLOOKUP($A16,[0]!Data,129,FALSE)</f>
        <v>175409</v>
      </c>
      <c r="F16" s="192">
        <f>VLOOKUP($A16,[0]!Data,130,FALSE)</f>
        <v>86436</v>
      </c>
      <c r="G16" s="192">
        <f>VLOOKUP($A16,[0]!Data,131,FALSE)</f>
        <v>0</v>
      </c>
      <c r="H16" s="192">
        <f>VLOOKUP($A16,[0]!Data,132,FALSE)</f>
        <v>86436</v>
      </c>
      <c r="I16" s="192">
        <f>VLOOKUP($A16,[0]!Data,133,FALSE)</f>
        <v>39814</v>
      </c>
      <c r="J16" s="192">
        <f>VLOOKUP($A16,[0]!Data,134,FALSE)</f>
        <v>0</v>
      </c>
      <c r="K16" s="192">
        <f>VLOOKUP($A16,[0]!Data,135,FALSE)</f>
        <v>39814</v>
      </c>
      <c r="L16" s="192">
        <f>VLOOKUP($A16,[0]!Data,136,FALSE)</f>
        <v>24890</v>
      </c>
      <c r="M16" s="194">
        <f>VLOOKUP($A16,[0]!Data,137,FALSE)</f>
        <v>326549</v>
      </c>
    </row>
    <row r="17" spans="1:13" x14ac:dyDescent="0.25">
      <c r="A17" s="36" t="s">
        <v>544</v>
      </c>
      <c r="B17" s="36" t="s">
        <v>1515</v>
      </c>
      <c r="C17" s="192">
        <f>VLOOKUP($A17,[0]!Data,127,FALSE)</f>
        <v>59024</v>
      </c>
      <c r="D17" s="192">
        <f>VLOOKUP($A17,[0]!Data,128,FALSE)</f>
        <v>2546325</v>
      </c>
      <c r="E17" s="192">
        <f>VLOOKUP($A17,[0]!Data,129,FALSE)</f>
        <v>2605349</v>
      </c>
      <c r="F17" s="192">
        <f>VLOOKUP($A17,[0]!Data,130,FALSE)</f>
        <v>150133</v>
      </c>
      <c r="G17" s="192">
        <f>VLOOKUP($A17,[0]!Data,131,FALSE)</f>
        <v>0</v>
      </c>
      <c r="H17" s="192">
        <f>VLOOKUP($A17,[0]!Data,132,FALSE)</f>
        <v>150133</v>
      </c>
      <c r="I17" s="192">
        <f>VLOOKUP($A17,[0]!Data,133,FALSE)</f>
        <v>100208</v>
      </c>
      <c r="J17" s="192">
        <f>VLOOKUP($A17,[0]!Data,134,FALSE)</f>
        <v>19800</v>
      </c>
      <c r="K17" s="192">
        <f>VLOOKUP($A17,[0]!Data,135,FALSE)</f>
        <v>120008</v>
      </c>
      <c r="L17" s="192">
        <f>VLOOKUP($A17,[0]!Data,136,FALSE)</f>
        <v>68693</v>
      </c>
      <c r="M17" s="194">
        <f>VLOOKUP($A17,[0]!Data,137,FALSE)</f>
        <v>2944183</v>
      </c>
    </row>
    <row r="18" spans="1:13" x14ac:dyDescent="0.25">
      <c r="A18" s="36" t="s">
        <v>590</v>
      </c>
      <c r="B18" s="36" t="s">
        <v>1516</v>
      </c>
      <c r="C18" s="192">
        <f>VLOOKUP($A18,[0]!Data,127,FALSE)</f>
        <v>0</v>
      </c>
      <c r="D18" s="192">
        <f>VLOOKUP($A18,[0]!Data,128,FALSE)</f>
        <v>1895955</v>
      </c>
      <c r="E18" s="192">
        <f>VLOOKUP($A18,[0]!Data,129,FALSE)</f>
        <v>1895955</v>
      </c>
      <c r="F18" s="192">
        <f>VLOOKUP($A18,[0]!Data,130,FALSE)</f>
        <v>101940</v>
      </c>
      <c r="G18" s="192">
        <f>VLOOKUP($A18,[0]!Data,131,FALSE)</f>
        <v>0</v>
      </c>
      <c r="H18" s="192">
        <f>VLOOKUP($A18,[0]!Data,132,FALSE)</f>
        <v>101940</v>
      </c>
      <c r="I18" s="192">
        <f>VLOOKUP($A18,[0]!Data,133,FALSE)</f>
        <v>0</v>
      </c>
      <c r="J18" s="192">
        <f>VLOOKUP($A18,[0]!Data,134,FALSE)</f>
        <v>0</v>
      </c>
      <c r="K18" s="192">
        <f>VLOOKUP($A18,[0]!Data,135,FALSE)</f>
        <v>0</v>
      </c>
      <c r="L18" s="192">
        <f>VLOOKUP($A18,[0]!Data,136,FALSE)</f>
        <v>127832</v>
      </c>
      <c r="M18" s="194">
        <f>VLOOKUP($A18,[0]!Data,137,FALSE)</f>
        <v>2125727</v>
      </c>
    </row>
    <row r="19" spans="1:13" x14ac:dyDescent="0.25">
      <c r="A19" s="36" t="s">
        <v>604</v>
      </c>
      <c r="B19" s="36" t="s">
        <v>1517</v>
      </c>
      <c r="C19" s="192">
        <f>VLOOKUP($A19,[0]!Data,127,FALSE)</f>
        <v>0</v>
      </c>
      <c r="D19" s="192">
        <f>VLOOKUP($A19,[0]!Data,128,FALSE)</f>
        <v>829625</v>
      </c>
      <c r="E19" s="192">
        <f>VLOOKUP($A19,[0]!Data,129,FALSE)</f>
        <v>829625</v>
      </c>
      <c r="F19" s="192">
        <f>VLOOKUP($A19,[0]!Data,130,FALSE)</f>
        <v>140195</v>
      </c>
      <c r="G19" s="192">
        <f>VLOOKUP($A19,[0]!Data,131,FALSE)</f>
        <v>0</v>
      </c>
      <c r="H19" s="192">
        <f>VLOOKUP($A19,[0]!Data,132,FALSE)</f>
        <v>140195</v>
      </c>
      <c r="I19" s="192">
        <f>VLOOKUP($A19,[0]!Data,133,FALSE)</f>
        <v>68105</v>
      </c>
      <c r="J19" s="192">
        <f>VLOOKUP($A19,[0]!Data,134,FALSE)</f>
        <v>0</v>
      </c>
      <c r="K19" s="192">
        <f>VLOOKUP($A19,[0]!Data,135,FALSE)</f>
        <v>68105</v>
      </c>
      <c r="L19" s="192">
        <f>VLOOKUP($A19,[0]!Data,136,FALSE)</f>
        <v>52658</v>
      </c>
      <c r="M19" s="194">
        <f>VLOOKUP($A19,[0]!Data,137,FALSE)</f>
        <v>1090583</v>
      </c>
    </row>
    <row r="20" spans="1:13" x14ac:dyDescent="0.25">
      <c r="A20" s="36" t="s">
        <v>617</v>
      </c>
      <c r="B20" s="36" t="s">
        <v>1518</v>
      </c>
      <c r="C20" s="192">
        <f>VLOOKUP($A20,[0]!Data,127,FALSE)</f>
        <v>0</v>
      </c>
      <c r="D20" s="192">
        <f>VLOOKUP($A20,[0]!Data,128,FALSE)</f>
        <v>1287164</v>
      </c>
      <c r="E20" s="192">
        <f>VLOOKUP($A20,[0]!Data,129,FALSE)</f>
        <v>1287164</v>
      </c>
      <c r="F20" s="192">
        <f>VLOOKUP($A20,[0]!Data,130,FALSE)</f>
        <v>115602</v>
      </c>
      <c r="G20" s="192">
        <f>VLOOKUP($A20,[0]!Data,131,FALSE)</f>
        <v>50000</v>
      </c>
      <c r="H20" s="192">
        <f>VLOOKUP($A20,[0]!Data,132,FALSE)</f>
        <v>165602</v>
      </c>
      <c r="I20" s="192">
        <f>VLOOKUP($A20,[0]!Data,133,FALSE)</f>
        <v>0</v>
      </c>
      <c r="J20" s="192">
        <f>VLOOKUP($A20,[0]!Data,134,FALSE)</f>
        <v>0</v>
      </c>
      <c r="K20" s="192">
        <f>VLOOKUP($A20,[0]!Data,135,FALSE)</f>
        <v>0</v>
      </c>
      <c r="L20" s="192">
        <f>VLOOKUP($A20,[0]!Data,136,FALSE)</f>
        <v>0</v>
      </c>
      <c r="M20" s="194">
        <f>VLOOKUP($A20,[0]!Data,137,FALSE)</f>
        <v>1452766</v>
      </c>
    </row>
    <row r="21" spans="1:13" x14ac:dyDescent="0.25">
      <c r="A21" s="36" t="s">
        <v>645</v>
      </c>
      <c r="B21" s="36" t="s">
        <v>1519</v>
      </c>
      <c r="C21" s="192">
        <f>VLOOKUP($A21,[0]!Data,127,FALSE)</f>
        <v>0</v>
      </c>
      <c r="D21" s="192">
        <f>VLOOKUP($A21,[0]!Data,128,FALSE)</f>
        <v>10343815</v>
      </c>
      <c r="E21" s="192">
        <f>VLOOKUP($A21,[0]!Data,129,FALSE)</f>
        <v>10343815</v>
      </c>
      <c r="F21" s="192">
        <f>VLOOKUP($A21,[0]!Data,130,FALSE)</f>
        <v>311976</v>
      </c>
      <c r="G21" s="192">
        <f>VLOOKUP($A21,[0]!Data,131,FALSE)</f>
        <v>170618</v>
      </c>
      <c r="H21" s="192">
        <f>VLOOKUP($A21,[0]!Data,132,FALSE)</f>
        <v>482594</v>
      </c>
      <c r="I21" s="192">
        <f>VLOOKUP($A21,[0]!Data,133,FALSE)</f>
        <v>40484</v>
      </c>
      <c r="J21" s="192">
        <f>VLOOKUP($A21,[0]!Data,134,FALSE)</f>
        <v>0</v>
      </c>
      <c r="K21" s="192">
        <f>VLOOKUP($A21,[0]!Data,135,FALSE)</f>
        <v>40484</v>
      </c>
      <c r="L21" s="192">
        <f>VLOOKUP($A21,[0]!Data,136,FALSE)</f>
        <v>116852</v>
      </c>
      <c r="M21" s="194">
        <f>VLOOKUP($A21,[0]!Data,137,FALSE)</f>
        <v>10983745</v>
      </c>
    </row>
    <row r="22" spans="1:13" x14ac:dyDescent="0.25">
      <c r="A22" s="36" t="s">
        <v>658</v>
      </c>
      <c r="B22" s="36" t="s">
        <v>1520</v>
      </c>
      <c r="C22" s="192">
        <f>VLOOKUP($A22,[0]!Data,127,FALSE)</f>
        <v>0</v>
      </c>
      <c r="D22" s="192">
        <f>VLOOKUP($A22,[0]!Data,128,FALSE)</f>
        <v>3280820</v>
      </c>
      <c r="E22" s="192">
        <f>VLOOKUP($A22,[0]!Data,129,FALSE)</f>
        <v>3280820</v>
      </c>
      <c r="F22" s="192">
        <f>VLOOKUP($A22,[0]!Data,130,FALSE)</f>
        <v>186015</v>
      </c>
      <c r="G22" s="192">
        <f>VLOOKUP($A22,[0]!Data,131,FALSE)</f>
        <v>0</v>
      </c>
      <c r="H22" s="192">
        <f>VLOOKUP($A22,[0]!Data,132,FALSE)</f>
        <v>186015</v>
      </c>
      <c r="I22" s="192">
        <f>VLOOKUP($A22,[0]!Data,133,FALSE)</f>
        <v>5750</v>
      </c>
      <c r="J22" s="192">
        <f>VLOOKUP($A22,[0]!Data,134,FALSE)</f>
        <v>1000</v>
      </c>
      <c r="K22" s="192">
        <f>VLOOKUP($A22,[0]!Data,135,FALSE)</f>
        <v>6750</v>
      </c>
      <c r="L22" s="192">
        <f>VLOOKUP($A22,[0]!Data,136,FALSE)</f>
        <v>107146</v>
      </c>
      <c r="M22" s="194">
        <f>VLOOKUP($A22,[0]!Data,137,FALSE)</f>
        <v>3580731</v>
      </c>
    </row>
    <row r="23" spans="1:13" x14ac:dyDescent="0.25">
      <c r="A23" s="36" t="s">
        <v>674</v>
      </c>
      <c r="B23" s="36" t="s">
        <v>1521</v>
      </c>
      <c r="C23" s="192">
        <f>VLOOKUP($A23,[0]!Data,127,FALSE)</f>
        <v>49831</v>
      </c>
      <c r="D23" s="192">
        <f>VLOOKUP($A23,[0]!Data,128,FALSE)</f>
        <v>448125</v>
      </c>
      <c r="E23" s="192">
        <f>VLOOKUP($A23,[0]!Data,129,FALSE)</f>
        <v>497956</v>
      </c>
      <c r="F23" s="192">
        <f>VLOOKUP($A23,[0]!Data,130,FALSE)</f>
        <v>91007</v>
      </c>
      <c r="G23" s="192">
        <f>VLOOKUP($A23,[0]!Data,131,FALSE)</f>
        <v>0</v>
      </c>
      <c r="H23" s="192">
        <f>VLOOKUP($A23,[0]!Data,132,FALSE)</f>
        <v>91007</v>
      </c>
      <c r="I23" s="192">
        <f>VLOOKUP($A23,[0]!Data,133,FALSE)</f>
        <v>750</v>
      </c>
      <c r="J23" s="192">
        <f>VLOOKUP($A23,[0]!Data,134,FALSE)</f>
        <v>0</v>
      </c>
      <c r="K23" s="192">
        <f>VLOOKUP($A23,[0]!Data,135,FALSE)</f>
        <v>750</v>
      </c>
      <c r="L23" s="192">
        <f>VLOOKUP($A23,[0]!Data,136,FALSE)</f>
        <v>59814</v>
      </c>
      <c r="M23" s="194">
        <f>VLOOKUP($A23,[0]!Data,137,FALSE)</f>
        <v>649527</v>
      </c>
    </row>
    <row r="24" spans="1:13" x14ac:dyDescent="0.25">
      <c r="A24" s="36" t="s">
        <v>686</v>
      </c>
      <c r="B24" s="36" t="s">
        <v>1522</v>
      </c>
      <c r="C24" s="192">
        <f>VLOOKUP($A24,[0]!Data,127,FALSE)</f>
        <v>36880</v>
      </c>
      <c r="D24" s="192">
        <f>VLOOKUP($A24,[0]!Data,128,FALSE)</f>
        <v>480946</v>
      </c>
      <c r="E24" s="192">
        <f>VLOOKUP($A24,[0]!Data,129,FALSE)</f>
        <v>517826</v>
      </c>
      <c r="F24" s="192">
        <f>VLOOKUP($A24,[0]!Data,130,FALSE)</f>
        <v>124675</v>
      </c>
      <c r="G24" s="192">
        <f>VLOOKUP($A24,[0]!Data,131,FALSE)</f>
        <v>0</v>
      </c>
      <c r="H24" s="192">
        <f>VLOOKUP($A24,[0]!Data,132,FALSE)</f>
        <v>124675</v>
      </c>
      <c r="I24" s="192">
        <f>VLOOKUP($A24,[0]!Data,133,FALSE)</f>
        <v>0</v>
      </c>
      <c r="J24" s="192">
        <f>VLOOKUP($A24,[0]!Data,134,FALSE)</f>
        <v>0</v>
      </c>
      <c r="K24" s="192">
        <f>VLOOKUP($A24,[0]!Data,135,FALSE)</f>
        <v>0</v>
      </c>
      <c r="L24" s="192">
        <f>VLOOKUP($A24,[0]!Data,136,FALSE)</f>
        <v>0</v>
      </c>
      <c r="M24" s="194">
        <f>VLOOKUP($A24,[0]!Data,137,FALSE)</f>
        <v>642501</v>
      </c>
    </row>
    <row r="25" spans="1:13" x14ac:dyDescent="0.25">
      <c r="A25" s="36" t="s">
        <v>699</v>
      </c>
      <c r="B25" s="36" t="s">
        <v>1523</v>
      </c>
      <c r="C25" s="192">
        <f>VLOOKUP($A25,[0]!Data,127,FALSE)</f>
        <v>0</v>
      </c>
      <c r="D25" s="192">
        <f>VLOOKUP($A25,[0]!Data,128,FALSE)</f>
        <v>11122872</v>
      </c>
      <c r="E25" s="192">
        <f>VLOOKUP($A25,[0]!Data,129,FALSE)</f>
        <v>11122872</v>
      </c>
      <c r="F25" s="192">
        <f>VLOOKUP($A25,[0]!Data,130,FALSE)</f>
        <v>234962</v>
      </c>
      <c r="G25" s="192">
        <f>VLOOKUP($A25,[0]!Data,131,FALSE)</f>
        <v>0</v>
      </c>
      <c r="H25" s="192">
        <f>VLOOKUP($A25,[0]!Data,132,FALSE)</f>
        <v>234962</v>
      </c>
      <c r="I25" s="192">
        <f>VLOOKUP($A25,[0]!Data,133,FALSE)</f>
        <v>70557</v>
      </c>
      <c r="J25" s="192">
        <f>VLOOKUP($A25,[0]!Data,134,FALSE)</f>
        <v>10000</v>
      </c>
      <c r="K25" s="192">
        <f>VLOOKUP($A25,[0]!Data,135,FALSE)</f>
        <v>80557</v>
      </c>
      <c r="L25" s="192">
        <f>VLOOKUP($A25,[0]!Data,136,FALSE)</f>
        <v>14783</v>
      </c>
      <c r="M25" s="194">
        <f>VLOOKUP($A25,[0]!Data,137,FALSE)</f>
        <v>11453174</v>
      </c>
    </row>
    <row r="26" spans="1:13" x14ac:dyDescent="0.25">
      <c r="A26" s="36" t="s">
        <v>729</v>
      </c>
      <c r="B26" s="36" t="s">
        <v>1524</v>
      </c>
      <c r="C26" s="192">
        <f>VLOOKUP($A26,[0]!Data,127,FALSE)</f>
        <v>146528</v>
      </c>
      <c r="D26" s="192">
        <f>VLOOKUP($A26,[0]!Data,128,FALSE)</f>
        <v>373850</v>
      </c>
      <c r="E26" s="192">
        <f>VLOOKUP($A26,[0]!Data,129,FALSE)</f>
        <v>520378</v>
      </c>
      <c r="F26" s="192">
        <f>VLOOKUP($A26,[0]!Data,130,FALSE)</f>
        <v>119067</v>
      </c>
      <c r="G26" s="192">
        <f>VLOOKUP($A26,[0]!Data,131,FALSE)</f>
        <v>0</v>
      </c>
      <c r="H26" s="192">
        <f>VLOOKUP($A26,[0]!Data,132,FALSE)</f>
        <v>119067</v>
      </c>
      <c r="I26" s="192">
        <f>VLOOKUP($A26,[0]!Data,133,FALSE)</f>
        <v>2223</v>
      </c>
      <c r="J26" s="192">
        <f>VLOOKUP($A26,[0]!Data,134,FALSE)</f>
        <v>0</v>
      </c>
      <c r="K26" s="192">
        <f>VLOOKUP($A26,[0]!Data,135,FALSE)</f>
        <v>2223</v>
      </c>
      <c r="L26" s="192">
        <f>VLOOKUP($A26,[0]!Data,136,FALSE)</f>
        <v>127862</v>
      </c>
      <c r="M26" s="194">
        <f>VLOOKUP($A26,[0]!Data,137,FALSE)</f>
        <v>769530</v>
      </c>
    </row>
    <row r="27" spans="1:13" x14ac:dyDescent="0.25">
      <c r="A27" s="36" t="s">
        <v>774</v>
      </c>
      <c r="B27" s="36" t="s">
        <v>1525</v>
      </c>
      <c r="C27" s="192">
        <f>VLOOKUP($A27,[0]!Data,127,FALSE)</f>
        <v>0</v>
      </c>
      <c r="D27" s="192">
        <f>VLOOKUP($A27,[0]!Data,128,FALSE)</f>
        <v>7547345</v>
      </c>
      <c r="E27" s="192">
        <f>VLOOKUP($A27,[0]!Data,129,FALSE)</f>
        <v>7547345</v>
      </c>
      <c r="F27" s="192">
        <f>VLOOKUP($A27,[0]!Data,130,FALSE)</f>
        <v>294157</v>
      </c>
      <c r="G27" s="192">
        <f>VLOOKUP($A27,[0]!Data,131,FALSE)</f>
        <v>0</v>
      </c>
      <c r="H27" s="192">
        <f>VLOOKUP($A27,[0]!Data,132,FALSE)</f>
        <v>294157</v>
      </c>
      <c r="I27" s="192">
        <f>VLOOKUP($A27,[0]!Data,133,FALSE)</f>
        <v>39822</v>
      </c>
      <c r="J27" s="192">
        <f>VLOOKUP($A27,[0]!Data,134,FALSE)</f>
        <v>0</v>
      </c>
      <c r="K27" s="192">
        <f>VLOOKUP($A27,[0]!Data,135,FALSE)</f>
        <v>39822</v>
      </c>
      <c r="L27" s="192">
        <f>VLOOKUP($A27,[0]!Data,136,FALSE)</f>
        <v>496955</v>
      </c>
      <c r="M27" s="194">
        <f>VLOOKUP($A27,[0]!Data,137,FALSE)</f>
        <v>8378279</v>
      </c>
    </row>
    <row r="28" spans="1:13" x14ac:dyDescent="0.25">
      <c r="A28" s="36" t="s">
        <v>788</v>
      </c>
      <c r="B28" s="36" t="s">
        <v>1526</v>
      </c>
      <c r="C28" s="192">
        <f>VLOOKUP($A28,[0]!Data,127,FALSE)</f>
        <v>3000</v>
      </c>
      <c r="D28" s="192">
        <f>VLOOKUP($A28,[0]!Data,128,FALSE)</f>
        <v>745640</v>
      </c>
      <c r="E28" s="192">
        <f>VLOOKUP($A28,[0]!Data,129,FALSE)</f>
        <v>748640</v>
      </c>
      <c r="F28" s="192">
        <f>VLOOKUP($A28,[0]!Data,130,FALSE)</f>
        <v>114987</v>
      </c>
      <c r="G28" s="192">
        <f>VLOOKUP($A28,[0]!Data,131,FALSE)</f>
        <v>0</v>
      </c>
      <c r="H28" s="192">
        <f>VLOOKUP($A28,[0]!Data,132,FALSE)</f>
        <v>114987</v>
      </c>
      <c r="I28" s="192">
        <f>VLOOKUP($A28,[0]!Data,133,FALSE)</f>
        <v>750</v>
      </c>
      <c r="J28" s="192">
        <f>VLOOKUP($A28,[0]!Data,134,FALSE)</f>
        <v>0</v>
      </c>
      <c r="K28" s="192">
        <f>VLOOKUP($A28,[0]!Data,135,FALSE)</f>
        <v>750</v>
      </c>
      <c r="L28" s="192">
        <f>VLOOKUP($A28,[0]!Data,136,FALSE)</f>
        <v>0</v>
      </c>
      <c r="M28" s="194">
        <f>VLOOKUP($A28,[0]!Data,137,FALSE)</f>
        <v>864377</v>
      </c>
    </row>
    <row r="29" spans="1:13" x14ac:dyDescent="0.25">
      <c r="A29" s="36" t="s">
        <v>802</v>
      </c>
      <c r="B29" s="36" t="s">
        <v>817</v>
      </c>
      <c r="C29" s="192">
        <f>VLOOKUP($A29,[0]!Data,127,FALSE)</f>
        <v>0</v>
      </c>
      <c r="D29" s="192">
        <f>VLOOKUP($A29,[0]!Data,128,FALSE)</f>
        <v>3913352</v>
      </c>
      <c r="E29" s="192">
        <f>VLOOKUP($A29,[0]!Data,129,FALSE)</f>
        <v>3913352</v>
      </c>
      <c r="F29" s="192">
        <f>VLOOKUP($A29,[0]!Data,130,FALSE)</f>
        <v>224550</v>
      </c>
      <c r="G29" s="192">
        <f>VLOOKUP($A29,[0]!Data,131,FALSE)</f>
        <v>0</v>
      </c>
      <c r="H29" s="192">
        <f>VLOOKUP($A29,[0]!Data,132,FALSE)</f>
        <v>224550</v>
      </c>
      <c r="I29" s="192">
        <f>VLOOKUP($A29,[0]!Data,133,FALSE)</f>
        <v>19134</v>
      </c>
      <c r="J29" s="192">
        <f>VLOOKUP($A29,[0]!Data,134,FALSE)</f>
        <v>0</v>
      </c>
      <c r="K29" s="192">
        <f>VLOOKUP($A29,[0]!Data,135,FALSE)</f>
        <v>19134</v>
      </c>
      <c r="L29" s="192">
        <f>VLOOKUP($A29,[0]!Data,136,FALSE)</f>
        <v>0</v>
      </c>
      <c r="M29" s="194">
        <f>VLOOKUP($A29,[0]!Data,137,FALSE)</f>
        <v>4157036</v>
      </c>
    </row>
    <row r="30" spans="1:13" x14ac:dyDescent="0.25">
      <c r="A30" s="36" t="s">
        <v>828</v>
      </c>
      <c r="B30" s="36" t="s">
        <v>1527</v>
      </c>
      <c r="C30" s="192">
        <f>VLOOKUP($A30,[0]!Data,127,FALSE)</f>
        <v>0</v>
      </c>
      <c r="D30" s="192">
        <f>VLOOKUP($A30,[0]!Data,128,FALSE)</f>
        <v>1671280</v>
      </c>
      <c r="E30" s="192">
        <f>VLOOKUP($A30,[0]!Data,129,FALSE)</f>
        <v>1671280</v>
      </c>
      <c r="F30" s="192">
        <f>VLOOKUP($A30,[0]!Data,130,FALSE)</f>
        <v>108926</v>
      </c>
      <c r="G30" s="192">
        <f>VLOOKUP($A30,[0]!Data,131,FALSE)</f>
        <v>0</v>
      </c>
      <c r="H30" s="192">
        <f>VLOOKUP($A30,[0]!Data,132,FALSE)</f>
        <v>108926</v>
      </c>
      <c r="I30" s="192">
        <f>VLOOKUP($A30,[0]!Data,133,FALSE)</f>
        <v>0</v>
      </c>
      <c r="J30" s="192">
        <f>VLOOKUP($A30,[0]!Data,134,FALSE)</f>
        <v>0</v>
      </c>
      <c r="K30" s="192">
        <f>VLOOKUP($A30,[0]!Data,135,FALSE)</f>
        <v>0</v>
      </c>
      <c r="L30" s="192">
        <f>VLOOKUP($A30,[0]!Data,136,FALSE)</f>
        <v>23985</v>
      </c>
      <c r="M30" s="194">
        <f>VLOOKUP($A30,[0]!Data,137,FALSE)</f>
        <v>1804191</v>
      </c>
    </row>
    <row r="31" spans="1:13" x14ac:dyDescent="0.25">
      <c r="A31" s="36" t="s">
        <v>842</v>
      </c>
      <c r="B31" s="36" t="s">
        <v>1528</v>
      </c>
      <c r="C31" s="192">
        <f>VLOOKUP($A31,[0]!Data,127,FALSE)</f>
        <v>6776573</v>
      </c>
      <c r="D31" s="192">
        <f>VLOOKUP($A31,[0]!Data,128,FALSE)</f>
        <v>1356847</v>
      </c>
      <c r="E31" s="192">
        <f>VLOOKUP($A31,[0]!Data,129,FALSE)</f>
        <v>8133420</v>
      </c>
      <c r="F31" s="192">
        <f>VLOOKUP($A31,[0]!Data,130,FALSE)</f>
        <v>383054</v>
      </c>
      <c r="G31" s="192">
        <f>VLOOKUP($A31,[0]!Data,131,FALSE)</f>
        <v>0</v>
      </c>
      <c r="H31" s="192">
        <f>VLOOKUP($A31,[0]!Data,132,FALSE)</f>
        <v>383054</v>
      </c>
      <c r="I31" s="192">
        <f>VLOOKUP($A31,[0]!Data,133,FALSE)</f>
        <v>0</v>
      </c>
      <c r="J31" s="192">
        <f>VLOOKUP($A31,[0]!Data,134,FALSE)</f>
        <v>0</v>
      </c>
      <c r="K31" s="192">
        <f>VLOOKUP($A31,[0]!Data,135,FALSE)</f>
        <v>0</v>
      </c>
      <c r="L31" s="192">
        <f>VLOOKUP($A31,[0]!Data,136,FALSE)</f>
        <v>206425</v>
      </c>
      <c r="M31" s="194">
        <f>VLOOKUP($A31,[0]!Data,137,FALSE)</f>
        <v>8722899</v>
      </c>
    </row>
    <row r="32" spans="1:13" x14ac:dyDescent="0.25">
      <c r="A32" s="36" t="s">
        <v>857</v>
      </c>
      <c r="B32" s="36" t="s">
        <v>1529</v>
      </c>
      <c r="C32" s="192">
        <f>VLOOKUP($A32,[0]!Data,127,FALSE)</f>
        <v>0</v>
      </c>
      <c r="D32" s="192">
        <f>VLOOKUP($A32,[0]!Data,128,FALSE)</f>
        <v>490045</v>
      </c>
      <c r="E32" s="192">
        <f>VLOOKUP($A32,[0]!Data,129,FALSE)</f>
        <v>490045</v>
      </c>
      <c r="F32" s="192">
        <f>VLOOKUP($A32,[0]!Data,130,FALSE)</f>
        <v>99183</v>
      </c>
      <c r="G32" s="192">
        <f>VLOOKUP($A32,[0]!Data,131,FALSE)</f>
        <v>0</v>
      </c>
      <c r="H32" s="192">
        <f>VLOOKUP($A32,[0]!Data,132,FALSE)</f>
        <v>99183</v>
      </c>
      <c r="I32" s="192">
        <f>VLOOKUP($A32,[0]!Data,133,FALSE)</f>
        <v>2295</v>
      </c>
      <c r="J32" s="192">
        <f>VLOOKUP($A32,[0]!Data,134,FALSE)</f>
        <v>0</v>
      </c>
      <c r="K32" s="192">
        <f>VLOOKUP($A32,[0]!Data,135,FALSE)</f>
        <v>2295</v>
      </c>
      <c r="L32" s="192">
        <f>VLOOKUP($A32,[0]!Data,136,FALSE)</f>
        <v>12686</v>
      </c>
      <c r="M32" s="194">
        <f>VLOOKUP($A32,[0]!Data,137,FALSE)</f>
        <v>604209</v>
      </c>
    </row>
    <row r="33" spans="1:13" x14ac:dyDescent="0.25">
      <c r="A33" s="36" t="s">
        <v>871</v>
      </c>
      <c r="B33" s="36" t="s">
        <v>1530</v>
      </c>
      <c r="C33" s="192">
        <f>VLOOKUP($A33,[0]!Data,127,FALSE)</f>
        <v>553243</v>
      </c>
      <c r="D33" s="192">
        <f>VLOOKUP($A33,[0]!Data,128,FALSE)</f>
        <v>814216</v>
      </c>
      <c r="E33" s="192">
        <f>VLOOKUP($A33,[0]!Data,129,FALSE)</f>
        <v>1367459</v>
      </c>
      <c r="F33" s="192">
        <f>VLOOKUP($A33,[0]!Data,130,FALSE)</f>
        <v>159013</v>
      </c>
      <c r="G33" s="192">
        <f>VLOOKUP($A33,[0]!Data,131,FALSE)</f>
        <v>0</v>
      </c>
      <c r="H33" s="192">
        <f>VLOOKUP($A33,[0]!Data,132,FALSE)</f>
        <v>159013</v>
      </c>
      <c r="I33" s="192">
        <f>VLOOKUP($A33,[0]!Data,133,FALSE)</f>
        <v>28044</v>
      </c>
      <c r="J33" s="192">
        <f>VLOOKUP($A33,[0]!Data,134,FALSE)</f>
        <v>0</v>
      </c>
      <c r="K33" s="192">
        <f>VLOOKUP($A33,[0]!Data,135,FALSE)</f>
        <v>28044</v>
      </c>
      <c r="L33" s="192">
        <f>VLOOKUP($A33,[0]!Data,136,FALSE)</f>
        <v>11998</v>
      </c>
      <c r="M33" s="194">
        <f>VLOOKUP($A33,[0]!Data,137,FALSE)</f>
        <v>1566514</v>
      </c>
    </row>
    <row r="34" spans="1:13" x14ac:dyDescent="0.25">
      <c r="A34" s="36" t="s">
        <v>893</v>
      </c>
      <c r="B34" s="36" t="s">
        <v>1531</v>
      </c>
      <c r="C34" s="192">
        <f>VLOOKUP($A34,[0]!Data,127,FALSE)</f>
        <v>1074</v>
      </c>
      <c r="D34" s="192">
        <f>VLOOKUP($A34,[0]!Data,128,FALSE)</f>
        <v>1230359</v>
      </c>
      <c r="E34" s="192">
        <f>VLOOKUP($A34,[0]!Data,129,FALSE)</f>
        <v>1231433</v>
      </c>
      <c r="F34" s="192">
        <f>VLOOKUP($A34,[0]!Data,130,FALSE)</f>
        <v>106068</v>
      </c>
      <c r="G34" s="192">
        <f>VLOOKUP($A34,[0]!Data,131,FALSE)</f>
        <v>0</v>
      </c>
      <c r="H34" s="192">
        <f>VLOOKUP($A34,[0]!Data,132,FALSE)</f>
        <v>106068</v>
      </c>
      <c r="I34" s="192">
        <f>VLOOKUP($A34,[0]!Data,133,FALSE)</f>
        <v>6465</v>
      </c>
      <c r="J34" s="192">
        <f>VLOOKUP($A34,[0]!Data,134,FALSE)</f>
        <v>11517</v>
      </c>
      <c r="K34" s="192">
        <f>VLOOKUP($A34,[0]!Data,135,FALSE)</f>
        <v>17982</v>
      </c>
      <c r="L34" s="192">
        <f>VLOOKUP($A34,[0]!Data,136,FALSE)</f>
        <v>0</v>
      </c>
      <c r="M34" s="194">
        <f>VLOOKUP($A34,[0]!Data,137,FALSE)</f>
        <v>1355483</v>
      </c>
    </row>
    <row r="35" spans="1:13" x14ac:dyDescent="0.25">
      <c r="A35" s="36" t="s">
        <v>905</v>
      </c>
      <c r="B35" s="36" t="s">
        <v>1532</v>
      </c>
      <c r="C35" s="192">
        <f>VLOOKUP($A35,[0]!Data,127,FALSE)</f>
        <v>0</v>
      </c>
      <c r="D35" s="192">
        <f>VLOOKUP($A35,[0]!Data,128,FALSE)</f>
        <v>2788776</v>
      </c>
      <c r="E35" s="192">
        <f>VLOOKUP($A35,[0]!Data,129,FALSE)</f>
        <v>2788776</v>
      </c>
      <c r="F35" s="192">
        <f>VLOOKUP($A35,[0]!Data,130,FALSE)</f>
        <v>138738</v>
      </c>
      <c r="G35" s="192">
        <f>VLOOKUP($A35,[0]!Data,131,FALSE)</f>
        <v>0</v>
      </c>
      <c r="H35" s="192">
        <f>VLOOKUP($A35,[0]!Data,132,FALSE)</f>
        <v>138738</v>
      </c>
      <c r="I35" s="192">
        <f>VLOOKUP($A35,[0]!Data,133,FALSE)</f>
        <v>53985</v>
      </c>
      <c r="J35" s="192">
        <f>VLOOKUP($A35,[0]!Data,134,FALSE)</f>
        <v>0</v>
      </c>
      <c r="K35" s="192">
        <f>VLOOKUP($A35,[0]!Data,135,FALSE)</f>
        <v>53985</v>
      </c>
      <c r="L35" s="192">
        <f>VLOOKUP($A35,[0]!Data,136,FALSE)</f>
        <v>62913</v>
      </c>
      <c r="M35" s="194">
        <f>VLOOKUP($A35,[0]!Data,137,FALSE)</f>
        <v>3044412</v>
      </c>
    </row>
    <row r="36" spans="1:13" x14ac:dyDescent="0.25">
      <c r="A36" s="36" t="s">
        <v>957</v>
      </c>
      <c r="B36" s="36" t="s">
        <v>1533</v>
      </c>
      <c r="C36" s="192">
        <f>VLOOKUP($A36,[0]!Data,127,FALSE)</f>
        <v>0</v>
      </c>
      <c r="D36" s="192">
        <f>VLOOKUP($A36,[0]!Data,128,FALSE)</f>
        <v>1938182</v>
      </c>
      <c r="E36" s="192">
        <f>VLOOKUP($A36,[0]!Data,129,FALSE)</f>
        <v>1938182</v>
      </c>
      <c r="F36" s="192">
        <f>VLOOKUP($A36,[0]!Data,130,FALSE)</f>
        <v>149530</v>
      </c>
      <c r="G36" s="192">
        <f>VLOOKUP($A36,[0]!Data,131,FALSE)</f>
        <v>0</v>
      </c>
      <c r="H36" s="192">
        <f>VLOOKUP($A36,[0]!Data,132,FALSE)</f>
        <v>149530</v>
      </c>
      <c r="I36" s="192">
        <f>VLOOKUP($A36,[0]!Data,133,FALSE)</f>
        <v>53947</v>
      </c>
      <c r="J36" s="192">
        <f>VLOOKUP($A36,[0]!Data,134,FALSE)</f>
        <v>0</v>
      </c>
      <c r="K36" s="192">
        <f>VLOOKUP($A36,[0]!Data,135,FALSE)</f>
        <v>53947</v>
      </c>
      <c r="L36" s="192">
        <f>VLOOKUP($A36,[0]!Data,136,FALSE)</f>
        <v>1042</v>
      </c>
      <c r="M36" s="194">
        <f>VLOOKUP($A36,[0]!Data,137,FALSE)</f>
        <v>2142701</v>
      </c>
    </row>
    <row r="37" spans="1:13" x14ac:dyDescent="0.25">
      <c r="A37" s="36" t="s">
        <v>1198</v>
      </c>
      <c r="B37" s="36" t="s">
        <v>950</v>
      </c>
      <c r="C37" s="192">
        <f>VLOOKUP($A37,[0]!Data,127,FALSE)</f>
        <v>660209</v>
      </c>
      <c r="D37" s="192">
        <f>VLOOKUP($A37,[0]!Data,128,FALSE)</f>
        <v>441000</v>
      </c>
      <c r="E37" s="192">
        <f>VLOOKUP($A37,[0]!Data,129,FALSE)</f>
        <v>1101209</v>
      </c>
      <c r="F37" s="192">
        <f>VLOOKUP($A37,[0]!Data,130,FALSE)</f>
        <v>189876</v>
      </c>
      <c r="G37" s="192">
        <f>VLOOKUP($A37,[0]!Data,131,FALSE)</f>
        <v>0</v>
      </c>
      <c r="H37" s="192">
        <f>VLOOKUP($A37,[0]!Data,132,FALSE)</f>
        <v>189876</v>
      </c>
      <c r="I37" s="192">
        <f>VLOOKUP($A37,[0]!Data,133,FALSE)</f>
        <v>94983</v>
      </c>
      <c r="J37" s="192">
        <f>VLOOKUP($A37,[0]!Data,134,FALSE)</f>
        <v>0</v>
      </c>
      <c r="K37" s="192">
        <f>VLOOKUP($A37,[0]!Data,135,FALSE)</f>
        <v>94983</v>
      </c>
      <c r="L37" s="192">
        <f>VLOOKUP($A37,[0]!Data,136,FALSE)</f>
        <v>52593</v>
      </c>
      <c r="M37" s="194">
        <f>VLOOKUP($A37,[0]!Data,137,FALSE)</f>
        <v>1438661</v>
      </c>
    </row>
    <row r="38" spans="1:13" x14ac:dyDescent="0.25">
      <c r="A38" s="36" t="s">
        <v>981</v>
      </c>
      <c r="B38" s="36" t="s">
        <v>1534</v>
      </c>
      <c r="C38" s="192">
        <f>VLOOKUP($A38,[0]!Data,127,FALSE)</f>
        <v>0</v>
      </c>
      <c r="D38" s="192">
        <f>VLOOKUP($A38,[0]!Data,128,FALSE)</f>
        <v>550459</v>
      </c>
      <c r="E38" s="192">
        <f>VLOOKUP($A38,[0]!Data,129,FALSE)</f>
        <v>550459</v>
      </c>
      <c r="F38" s="192">
        <f>VLOOKUP($A38,[0]!Data,130,FALSE)</f>
        <v>111599</v>
      </c>
      <c r="G38" s="192">
        <f>VLOOKUP($A38,[0]!Data,131,FALSE)</f>
        <v>0</v>
      </c>
      <c r="H38" s="192">
        <f>VLOOKUP($A38,[0]!Data,132,FALSE)</f>
        <v>111599</v>
      </c>
      <c r="I38" s="192">
        <f>VLOOKUP($A38,[0]!Data,133,FALSE)</f>
        <v>25233</v>
      </c>
      <c r="J38" s="192">
        <f>VLOOKUP($A38,[0]!Data,134,FALSE)</f>
        <v>0</v>
      </c>
      <c r="K38" s="192">
        <f>VLOOKUP($A38,[0]!Data,135,FALSE)</f>
        <v>25233</v>
      </c>
      <c r="L38" s="192">
        <f>VLOOKUP($A38,[0]!Data,136,FALSE)</f>
        <v>11748</v>
      </c>
      <c r="M38" s="194">
        <f>VLOOKUP($A38,[0]!Data,137,FALSE)</f>
        <v>699039</v>
      </c>
    </row>
    <row r="39" spans="1:13" x14ac:dyDescent="0.25">
      <c r="A39" s="36" t="s">
        <v>992</v>
      </c>
      <c r="B39" s="36" t="s">
        <v>1535</v>
      </c>
      <c r="C39" s="192">
        <f>VLOOKUP($A39,[0]!Data,127,FALSE)</f>
        <v>0</v>
      </c>
      <c r="D39" s="192">
        <f>VLOOKUP($A39,[0]!Data,128,FALSE)</f>
        <v>1135846</v>
      </c>
      <c r="E39" s="192">
        <f>VLOOKUP($A39,[0]!Data,129,FALSE)</f>
        <v>1135846</v>
      </c>
      <c r="F39" s="192">
        <f>VLOOKUP($A39,[0]!Data,130,FALSE)</f>
        <v>118195</v>
      </c>
      <c r="G39" s="192">
        <f>VLOOKUP($A39,[0]!Data,131,FALSE)</f>
        <v>0</v>
      </c>
      <c r="H39" s="192">
        <f>VLOOKUP($A39,[0]!Data,132,FALSE)</f>
        <v>118195</v>
      </c>
      <c r="I39" s="192">
        <f>VLOOKUP($A39,[0]!Data,133,FALSE)</f>
        <v>58458</v>
      </c>
      <c r="J39" s="192">
        <f>VLOOKUP($A39,[0]!Data,134,FALSE)</f>
        <v>0</v>
      </c>
      <c r="K39" s="192">
        <f>VLOOKUP($A39,[0]!Data,135,FALSE)</f>
        <v>58458</v>
      </c>
      <c r="L39" s="192">
        <f>VLOOKUP($A39,[0]!Data,136,FALSE)</f>
        <v>5810</v>
      </c>
      <c r="M39" s="194">
        <f>VLOOKUP($A39,[0]!Data,137,FALSE)</f>
        <v>1318309</v>
      </c>
    </row>
    <row r="40" spans="1:13" x14ac:dyDescent="0.25">
      <c r="A40" s="36" t="s">
        <v>1009</v>
      </c>
      <c r="B40" s="36" t="s">
        <v>1536</v>
      </c>
      <c r="C40" s="192">
        <f>VLOOKUP($A40,[0]!Data,127,FALSE)</f>
        <v>6000</v>
      </c>
      <c r="D40" s="192">
        <f>VLOOKUP($A40,[0]!Data,128,FALSE)</f>
        <v>363855</v>
      </c>
      <c r="E40" s="192">
        <f>VLOOKUP($A40,[0]!Data,129,FALSE)</f>
        <v>369855</v>
      </c>
      <c r="F40" s="192">
        <f>VLOOKUP($A40,[0]!Data,130,FALSE)</f>
        <v>82461</v>
      </c>
      <c r="G40" s="192">
        <f>VLOOKUP($A40,[0]!Data,131,FALSE)</f>
        <v>0</v>
      </c>
      <c r="H40" s="192">
        <f>VLOOKUP($A40,[0]!Data,132,FALSE)</f>
        <v>82461</v>
      </c>
      <c r="I40" s="192">
        <f>VLOOKUP($A40,[0]!Data,133,FALSE)</f>
        <v>6025</v>
      </c>
      <c r="J40" s="192">
        <f>VLOOKUP($A40,[0]!Data,134,FALSE)</f>
        <v>0</v>
      </c>
      <c r="K40" s="192">
        <f>VLOOKUP($A40,[0]!Data,135,FALSE)</f>
        <v>6025</v>
      </c>
      <c r="L40" s="192">
        <f>VLOOKUP($A40,[0]!Data,136,FALSE)</f>
        <v>18935</v>
      </c>
      <c r="M40" s="194">
        <f>VLOOKUP($A40,[0]!Data,137,FALSE)</f>
        <v>477276</v>
      </c>
    </row>
    <row r="41" spans="1:13" x14ac:dyDescent="0.25">
      <c r="A41" s="36" t="s">
        <v>1021</v>
      </c>
      <c r="B41" s="36" t="s">
        <v>1537</v>
      </c>
      <c r="C41" s="192">
        <f>VLOOKUP($A41,[0]!Data,127,FALSE)</f>
        <v>0</v>
      </c>
      <c r="D41" s="192">
        <f>VLOOKUP($A41,[0]!Data,128,FALSE)</f>
        <v>681518</v>
      </c>
      <c r="E41" s="192">
        <f>VLOOKUP($A41,[0]!Data,129,FALSE)</f>
        <v>681518</v>
      </c>
      <c r="F41" s="192">
        <f>VLOOKUP($A41,[0]!Data,130,FALSE)</f>
        <v>105234</v>
      </c>
      <c r="G41" s="192">
        <f>VLOOKUP($A41,[0]!Data,131,FALSE)</f>
        <v>0</v>
      </c>
      <c r="H41" s="192">
        <f>VLOOKUP($A41,[0]!Data,132,FALSE)</f>
        <v>105234</v>
      </c>
      <c r="I41" s="192">
        <f>VLOOKUP($A41,[0]!Data,133,FALSE)</f>
        <v>750</v>
      </c>
      <c r="J41" s="192">
        <f>VLOOKUP($A41,[0]!Data,134,FALSE)</f>
        <v>0</v>
      </c>
      <c r="K41" s="192">
        <f>VLOOKUP($A41,[0]!Data,135,FALSE)</f>
        <v>750</v>
      </c>
      <c r="L41" s="192">
        <f>VLOOKUP($A41,[0]!Data,136,FALSE)</f>
        <v>2432</v>
      </c>
      <c r="M41" s="194">
        <f>VLOOKUP($A41,[0]!Data,137,FALSE)</f>
        <v>789934</v>
      </c>
    </row>
    <row r="42" spans="1:13" x14ac:dyDescent="0.25">
      <c r="A42" s="36" t="s">
        <v>574</v>
      </c>
      <c r="B42" s="36" t="s">
        <v>1538</v>
      </c>
      <c r="C42" s="192">
        <f>VLOOKUP($A42,[0]!Data,127,FALSE)</f>
        <v>2500</v>
      </c>
      <c r="D42" s="192">
        <f>VLOOKUP($A42,[0]!Data,128,FALSE)</f>
        <v>34671973</v>
      </c>
      <c r="E42" s="192">
        <f>VLOOKUP($A42,[0]!Data,129,FALSE)</f>
        <v>34674473</v>
      </c>
      <c r="F42" s="192">
        <f>VLOOKUP($A42,[0]!Data,130,FALSE)</f>
        <v>606135</v>
      </c>
      <c r="G42" s="192">
        <f>VLOOKUP($A42,[0]!Data,131,FALSE)</f>
        <v>0</v>
      </c>
      <c r="H42" s="192">
        <f>VLOOKUP($A42,[0]!Data,132,FALSE)</f>
        <v>606135</v>
      </c>
      <c r="I42" s="192">
        <f>VLOOKUP($A42,[0]!Data,133,FALSE)</f>
        <v>118576</v>
      </c>
      <c r="J42" s="192">
        <f>VLOOKUP($A42,[0]!Data,134,FALSE)</f>
        <v>3848</v>
      </c>
      <c r="K42" s="192">
        <f>VLOOKUP($A42,[0]!Data,135,FALSE)</f>
        <v>122424</v>
      </c>
      <c r="L42" s="192">
        <f>VLOOKUP($A42,[0]!Data,136,FALSE)</f>
        <v>2995019</v>
      </c>
      <c r="M42" s="194">
        <f>VLOOKUP($A42,[0]!Data,137,FALSE)</f>
        <v>38398051</v>
      </c>
    </row>
    <row r="43" spans="1:13" x14ac:dyDescent="0.25">
      <c r="A43" s="36" t="s">
        <v>455</v>
      </c>
      <c r="B43" s="36" t="s">
        <v>1539</v>
      </c>
      <c r="C43" s="192">
        <f>VLOOKUP($A43,[0]!Data,127,FALSE)</f>
        <v>613260</v>
      </c>
      <c r="D43" s="192">
        <f>VLOOKUP($A43,[0]!Data,128,FALSE)</f>
        <v>1046182</v>
      </c>
      <c r="E43" s="192">
        <f>VLOOKUP($A43,[0]!Data,129,FALSE)</f>
        <v>1659442</v>
      </c>
      <c r="F43" s="192">
        <f>VLOOKUP($A43,[0]!Data,130,FALSE)</f>
        <v>131397</v>
      </c>
      <c r="G43" s="192">
        <f>VLOOKUP($A43,[0]!Data,131,FALSE)</f>
        <v>0</v>
      </c>
      <c r="H43" s="192">
        <f>VLOOKUP($A43,[0]!Data,132,FALSE)</f>
        <v>131397</v>
      </c>
      <c r="I43" s="192">
        <f>VLOOKUP($A43,[0]!Data,133,FALSE)</f>
        <v>32163</v>
      </c>
      <c r="J43" s="192">
        <f>VLOOKUP($A43,[0]!Data,134,FALSE)</f>
        <v>0</v>
      </c>
      <c r="K43" s="192">
        <f>VLOOKUP($A43,[0]!Data,135,FALSE)</f>
        <v>32163</v>
      </c>
      <c r="L43" s="192">
        <f>VLOOKUP($A43,[0]!Data,136,FALSE)</f>
        <v>338294</v>
      </c>
      <c r="M43" s="194">
        <f>VLOOKUP($A43,[0]!Data,137,FALSE)</f>
        <v>2161296</v>
      </c>
    </row>
    <row r="44" spans="1:13" x14ac:dyDescent="0.25">
      <c r="A44" s="36" t="s">
        <v>1078</v>
      </c>
      <c r="B44" s="36" t="s">
        <v>1540</v>
      </c>
      <c r="C44" s="192">
        <f>VLOOKUP($A44,[0]!Data,127,FALSE)</f>
        <v>0</v>
      </c>
      <c r="D44" s="192">
        <f>VLOOKUP($A44,[0]!Data,128,FALSE)</f>
        <v>3572948</v>
      </c>
      <c r="E44" s="192">
        <f>VLOOKUP($A44,[0]!Data,129,FALSE)</f>
        <v>3572948</v>
      </c>
      <c r="F44" s="192">
        <f>VLOOKUP($A44,[0]!Data,130,FALSE)</f>
        <v>190743</v>
      </c>
      <c r="G44" s="192">
        <f>VLOOKUP($A44,[0]!Data,131,FALSE)</f>
        <v>91500</v>
      </c>
      <c r="H44" s="192">
        <f>VLOOKUP($A44,[0]!Data,132,FALSE)</f>
        <v>282243</v>
      </c>
      <c r="I44" s="192">
        <f>VLOOKUP($A44,[0]!Data,133,FALSE)</f>
        <v>34596</v>
      </c>
      <c r="J44" s="192">
        <f>VLOOKUP($A44,[0]!Data,134,FALSE)</f>
        <v>0</v>
      </c>
      <c r="K44" s="192">
        <f>VLOOKUP($A44,[0]!Data,135,FALSE)</f>
        <v>34596</v>
      </c>
      <c r="L44" s="192">
        <f>VLOOKUP($A44,[0]!Data,136,FALSE)</f>
        <v>296812</v>
      </c>
      <c r="M44" s="194">
        <f>VLOOKUP($A44,[0]!Data,137,FALSE)</f>
        <v>4186599</v>
      </c>
    </row>
    <row r="45" spans="1:13" x14ac:dyDescent="0.25">
      <c r="A45" s="36" t="s">
        <v>1108</v>
      </c>
      <c r="B45" s="36" t="s">
        <v>1541</v>
      </c>
      <c r="C45" s="192">
        <f>VLOOKUP($A45,[0]!Data,127,FALSE)</f>
        <v>0</v>
      </c>
      <c r="D45" s="192">
        <f>VLOOKUP($A45,[0]!Data,128,FALSE)</f>
        <v>1642836</v>
      </c>
      <c r="E45" s="192">
        <f>VLOOKUP($A45,[0]!Data,129,FALSE)</f>
        <v>1642836</v>
      </c>
      <c r="F45" s="192">
        <f>VLOOKUP($A45,[0]!Data,130,FALSE)</f>
        <v>222981</v>
      </c>
      <c r="G45" s="192">
        <f>VLOOKUP($A45,[0]!Data,131,FALSE)</f>
        <v>0</v>
      </c>
      <c r="H45" s="192">
        <f>VLOOKUP($A45,[0]!Data,132,FALSE)</f>
        <v>222981</v>
      </c>
      <c r="I45" s="192">
        <f>VLOOKUP($A45,[0]!Data,133,FALSE)</f>
        <v>0</v>
      </c>
      <c r="J45" s="192">
        <f>VLOOKUP($A45,[0]!Data,134,FALSE)</f>
        <v>0</v>
      </c>
      <c r="K45" s="192">
        <f>VLOOKUP($A45,[0]!Data,135,FALSE)</f>
        <v>0</v>
      </c>
      <c r="L45" s="192">
        <f>VLOOKUP($A45,[0]!Data,136,FALSE)</f>
        <v>180985</v>
      </c>
      <c r="M45" s="194">
        <f>VLOOKUP($A45,[0]!Data,137,FALSE)</f>
        <v>2046802</v>
      </c>
    </row>
    <row r="46" spans="1:13" x14ac:dyDescent="0.25">
      <c r="A46" s="36" t="s">
        <v>1117</v>
      </c>
      <c r="B46" s="36" t="s">
        <v>1131</v>
      </c>
      <c r="C46" s="192">
        <f>VLOOKUP($A46,[0]!Data,127,FALSE)</f>
        <v>4000</v>
      </c>
      <c r="D46" s="192">
        <f>VLOOKUP($A46,[0]!Data,128,FALSE)</f>
        <v>1967047</v>
      </c>
      <c r="E46" s="192">
        <f>VLOOKUP($A46,[0]!Data,129,FALSE)</f>
        <v>1971047</v>
      </c>
      <c r="F46" s="192">
        <f>VLOOKUP($A46,[0]!Data,130,FALSE)</f>
        <v>105598</v>
      </c>
      <c r="G46" s="192">
        <f>VLOOKUP($A46,[0]!Data,131,FALSE)</f>
        <v>0</v>
      </c>
      <c r="H46" s="192">
        <f>VLOOKUP($A46,[0]!Data,132,FALSE)</f>
        <v>105598</v>
      </c>
      <c r="I46" s="192">
        <f>VLOOKUP($A46,[0]!Data,133,FALSE)</f>
        <v>12628</v>
      </c>
      <c r="J46" s="192">
        <f>VLOOKUP($A46,[0]!Data,134,FALSE)</f>
        <v>0</v>
      </c>
      <c r="K46" s="192">
        <f>VLOOKUP($A46,[0]!Data,135,FALSE)</f>
        <v>12628</v>
      </c>
      <c r="L46" s="192">
        <f>VLOOKUP($A46,[0]!Data,136,FALSE)</f>
        <v>43528</v>
      </c>
      <c r="M46" s="194">
        <f>VLOOKUP($A46,[0]!Data,137,FALSE)</f>
        <v>2132801</v>
      </c>
    </row>
    <row r="47" spans="1:13" x14ac:dyDescent="0.25">
      <c r="A47" s="36" t="s">
        <v>1133</v>
      </c>
      <c r="B47" s="36" t="s">
        <v>1542</v>
      </c>
      <c r="C47" s="192">
        <f>VLOOKUP($A47,[0]!Data,127,FALSE)</f>
        <v>0</v>
      </c>
      <c r="D47" s="192">
        <f>VLOOKUP($A47,[0]!Data,128,FALSE)</f>
        <v>690175</v>
      </c>
      <c r="E47" s="192">
        <f>VLOOKUP($A47,[0]!Data,129,FALSE)</f>
        <v>690175</v>
      </c>
      <c r="F47" s="192">
        <f>VLOOKUP($A47,[0]!Data,130,FALSE)</f>
        <v>105394</v>
      </c>
      <c r="G47" s="192">
        <f>VLOOKUP($A47,[0]!Data,131,FALSE)</f>
        <v>0</v>
      </c>
      <c r="H47" s="192">
        <f>VLOOKUP($A47,[0]!Data,132,FALSE)</f>
        <v>105394</v>
      </c>
      <c r="I47" s="192">
        <f>VLOOKUP($A47,[0]!Data,133,FALSE)</f>
        <v>0</v>
      </c>
      <c r="J47" s="192">
        <f>VLOOKUP($A47,[0]!Data,134,FALSE)</f>
        <v>0</v>
      </c>
      <c r="K47" s="192">
        <f>VLOOKUP($A47,[0]!Data,135,FALSE)</f>
        <v>0</v>
      </c>
      <c r="L47" s="192">
        <f>VLOOKUP($A47,[0]!Data,136,FALSE)</f>
        <v>0</v>
      </c>
      <c r="M47" s="194">
        <f>VLOOKUP($A47,[0]!Data,137,FALSE)</f>
        <v>795569</v>
      </c>
    </row>
    <row r="48" spans="1:13" x14ac:dyDescent="0.25">
      <c r="A48" s="36" t="s">
        <v>1159</v>
      </c>
      <c r="B48" s="36" t="s">
        <v>1543</v>
      </c>
      <c r="C48" s="192">
        <f>VLOOKUP($A48,[0]!Data,127,FALSE)</f>
        <v>0</v>
      </c>
      <c r="D48" s="192">
        <f>VLOOKUP($A48,[0]!Data,128,FALSE)</f>
        <v>402169</v>
      </c>
      <c r="E48" s="192">
        <f>VLOOKUP($A48,[0]!Data,129,FALSE)</f>
        <v>402169</v>
      </c>
      <c r="F48" s="192">
        <f>VLOOKUP($A48,[0]!Data,130,FALSE)</f>
        <v>95672</v>
      </c>
      <c r="G48" s="192">
        <f>VLOOKUP($A48,[0]!Data,131,FALSE)</f>
        <v>0</v>
      </c>
      <c r="H48" s="192">
        <f>VLOOKUP($A48,[0]!Data,132,FALSE)</f>
        <v>95672</v>
      </c>
      <c r="I48" s="192">
        <f>VLOOKUP($A48,[0]!Data,133,FALSE)</f>
        <v>2400</v>
      </c>
      <c r="J48" s="192">
        <f>VLOOKUP($A48,[0]!Data,134,FALSE)</f>
        <v>0</v>
      </c>
      <c r="K48" s="192">
        <f>VLOOKUP($A48,[0]!Data,135,FALSE)</f>
        <v>2400</v>
      </c>
      <c r="L48" s="192">
        <f>VLOOKUP($A48,[0]!Data,136,FALSE)</f>
        <v>0</v>
      </c>
      <c r="M48" s="194">
        <f>VLOOKUP($A48,[0]!Data,137,FALSE)</f>
        <v>500241</v>
      </c>
    </row>
    <row r="49" spans="1:13" x14ac:dyDescent="0.25">
      <c r="A49" s="36" t="s">
        <v>1335</v>
      </c>
      <c r="B49" s="36" t="s">
        <v>1544</v>
      </c>
      <c r="C49" s="192">
        <f>VLOOKUP($A49,[0]!Data,127,FALSE)</f>
        <v>1354127</v>
      </c>
      <c r="D49" s="192">
        <f>VLOOKUP($A49,[0]!Data,128,FALSE)</f>
        <v>579395</v>
      </c>
      <c r="E49" s="192">
        <f>VLOOKUP($A49,[0]!Data,129,FALSE)</f>
        <v>1933522</v>
      </c>
      <c r="F49" s="192">
        <f>VLOOKUP($A49,[0]!Data,130,FALSE)</f>
        <v>191774</v>
      </c>
      <c r="G49" s="192">
        <f>VLOOKUP($A49,[0]!Data,131,FALSE)</f>
        <v>0</v>
      </c>
      <c r="H49" s="192">
        <f>VLOOKUP($A49,[0]!Data,132,FALSE)</f>
        <v>191774</v>
      </c>
      <c r="I49" s="192">
        <f>VLOOKUP($A49,[0]!Data,133,FALSE)</f>
        <v>29322</v>
      </c>
      <c r="J49" s="192">
        <f>VLOOKUP($A49,[0]!Data,134,FALSE)</f>
        <v>0</v>
      </c>
      <c r="K49" s="192">
        <f>VLOOKUP($A49,[0]!Data,135,FALSE)</f>
        <v>29322</v>
      </c>
      <c r="L49" s="192">
        <f>VLOOKUP($A49,[0]!Data,136,FALSE)</f>
        <v>183640</v>
      </c>
      <c r="M49" s="194">
        <f>VLOOKUP($A49,[0]!Data,137,FALSE)</f>
        <v>2338258</v>
      </c>
    </row>
    <row r="50" spans="1:13" x14ac:dyDescent="0.25">
      <c r="A50" s="36" t="s">
        <v>1187</v>
      </c>
      <c r="B50" s="36" t="s">
        <v>1545</v>
      </c>
      <c r="C50" s="192">
        <f>VLOOKUP($A50,[0]!Data,127,FALSE)</f>
        <v>0</v>
      </c>
      <c r="D50" s="192">
        <f>VLOOKUP($A50,[0]!Data,128,FALSE)</f>
        <v>465436</v>
      </c>
      <c r="E50" s="192">
        <f>VLOOKUP($A50,[0]!Data,129,FALSE)</f>
        <v>465436</v>
      </c>
      <c r="F50" s="192">
        <f>VLOOKUP($A50,[0]!Data,130,FALSE)</f>
        <v>78255</v>
      </c>
      <c r="G50" s="192">
        <f>VLOOKUP($A50,[0]!Data,131,FALSE)</f>
        <v>0</v>
      </c>
      <c r="H50" s="192">
        <f>VLOOKUP($A50,[0]!Data,132,FALSE)</f>
        <v>78255</v>
      </c>
      <c r="I50" s="192">
        <f>VLOOKUP($A50,[0]!Data,133,FALSE)</f>
        <v>21377</v>
      </c>
      <c r="J50" s="192">
        <f>VLOOKUP($A50,[0]!Data,134,FALSE)</f>
        <v>0</v>
      </c>
      <c r="K50" s="192">
        <f>VLOOKUP($A50,[0]!Data,135,FALSE)</f>
        <v>21377</v>
      </c>
      <c r="L50" s="192">
        <f>VLOOKUP($A50,[0]!Data,136,FALSE)</f>
        <v>17394</v>
      </c>
      <c r="M50" s="194">
        <f>VLOOKUP($A50,[0]!Data,137,FALSE)</f>
        <v>582462</v>
      </c>
    </row>
    <row r="51" spans="1:13" x14ac:dyDescent="0.25">
      <c r="A51" s="36" t="s">
        <v>1210</v>
      </c>
      <c r="B51" s="36" t="s">
        <v>1546</v>
      </c>
      <c r="C51" s="192">
        <f>VLOOKUP($A51,[0]!Data,127,FALSE)</f>
        <v>704312</v>
      </c>
      <c r="D51" s="192">
        <f>VLOOKUP($A51,[0]!Data,128,FALSE)</f>
        <v>1748751</v>
      </c>
      <c r="E51" s="192">
        <f>VLOOKUP($A51,[0]!Data,129,FALSE)</f>
        <v>2453063</v>
      </c>
      <c r="F51" s="192">
        <f>VLOOKUP($A51,[0]!Data,130,FALSE)</f>
        <v>184846</v>
      </c>
      <c r="G51" s="192">
        <f>VLOOKUP($A51,[0]!Data,131,FALSE)</f>
        <v>0</v>
      </c>
      <c r="H51" s="192">
        <f>VLOOKUP($A51,[0]!Data,132,FALSE)</f>
        <v>184846</v>
      </c>
      <c r="I51" s="192">
        <f>VLOOKUP($A51,[0]!Data,133,FALSE)</f>
        <v>0</v>
      </c>
      <c r="J51" s="192">
        <f>VLOOKUP($A51,[0]!Data,134,FALSE)</f>
        <v>0</v>
      </c>
      <c r="K51" s="192">
        <f>VLOOKUP($A51,[0]!Data,135,FALSE)</f>
        <v>0</v>
      </c>
      <c r="L51" s="192">
        <f>VLOOKUP($A51,[0]!Data,136,FALSE)</f>
        <v>137838</v>
      </c>
      <c r="M51" s="194">
        <f>VLOOKUP($A51,[0]!Data,137,FALSE)</f>
        <v>2775747</v>
      </c>
    </row>
    <row r="52" spans="1:13" x14ac:dyDescent="0.25">
      <c r="A52" s="36" t="s">
        <v>1236</v>
      </c>
      <c r="B52" s="36" t="s">
        <v>1547</v>
      </c>
      <c r="C52" s="192">
        <f>VLOOKUP($A52,[0]!Data,127,FALSE)</f>
        <v>322327</v>
      </c>
      <c r="D52" s="192">
        <f>VLOOKUP($A52,[0]!Data,128,FALSE)</f>
        <v>540000</v>
      </c>
      <c r="E52" s="192">
        <f>VLOOKUP($A52,[0]!Data,129,FALSE)</f>
        <v>862327</v>
      </c>
      <c r="F52" s="192">
        <f>VLOOKUP($A52,[0]!Data,130,FALSE)</f>
        <v>215012</v>
      </c>
      <c r="G52" s="192">
        <f>VLOOKUP($A52,[0]!Data,131,FALSE)</f>
        <v>0</v>
      </c>
      <c r="H52" s="192">
        <f>VLOOKUP($A52,[0]!Data,132,FALSE)</f>
        <v>215012</v>
      </c>
      <c r="I52" s="192">
        <f>VLOOKUP($A52,[0]!Data,133,FALSE)</f>
        <v>45818</v>
      </c>
      <c r="J52" s="192">
        <f>VLOOKUP($A52,[0]!Data,134,FALSE)</f>
        <v>5382</v>
      </c>
      <c r="K52" s="192">
        <f>VLOOKUP($A52,[0]!Data,135,FALSE)</f>
        <v>51200</v>
      </c>
      <c r="L52" s="192">
        <f>VLOOKUP($A52,[0]!Data,136,FALSE)</f>
        <v>134579</v>
      </c>
      <c r="M52" s="194">
        <f>VLOOKUP($A52,[0]!Data,137,FALSE)</f>
        <v>1263118</v>
      </c>
    </row>
    <row r="53" spans="1:13" x14ac:dyDescent="0.25">
      <c r="A53" s="36" t="s">
        <v>1249</v>
      </c>
      <c r="B53" s="36" t="s">
        <v>1548</v>
      </c>
      <c r="C53" s="192">
        <f>VLOOKUP($A53,[0]!Data,127,FALSE)</f>
        <v>2600</v>
      </c>
      <c r="D53" s="192">
        <f>VLOOKUP($A53,[0]!Data,128,FALSE)</f>
        <v>1513332</v>
      </c>
      <c r="E53" s="192">
        <f>VLOOKUP($A53,[0]!Data,129,FALSE)</f>
        <v>1515932</v>
      </c>
      <c r="F53" s="192">
        <f>VLOOKUP($A53,[0]!Data,130,FALSE)</f>
        <v>139876</v>
      </c>
      <c r="G53" s="192">
        <f>VLOOKUP($A53,[0]!Data,131,FALSE)</f>
        <v>0</v>
      </c>
      <c r="H53" s="192">
        <f>VLOOKUP($A53,[0]!Data,132,FALSE)</f>
        <v>139876</v>
      </c>
      <c r="I53" s="192">
        <f>VLOOKUP($A53,[0]!Data,133,FALSE)</f>
        <v>7645</v>
      </c>
      <c r="J53" s="192">
        <f>VLOOKUP($A53,[0]!Data,134,FALSE)</f>
        <v>0</v>
      </c>
      <c r="K53" s="192">
        <f>VLOOKUP($A53,[0]!Data,135,FALSE)</f>
        <v>7645</v>
      </c>
      <c r="L53" s="192">
        <f>VLOOKUP($A53,[0]!Data,136,FALSE)</f>
        <v>147849</v>
      </c>
      <c r="M53" s="194">
        <f>VLOOKUP($A53,[0]!Data,137,FALSE)</f>
        <v>1811302</v>
      </c>
    </row>
    <row r="54" spans="1:13" x14ac:dyDescent="0.25">
      <c r="A54" s="36" t="s">
        <v>1265</v>
      </c>
      <c r="B54" s="36" t="s">
        <v>1549</v>
      </c>
      <c r="C54" s="192">
        <f>VLOOKUP($A54,[0]!Data,127,FALSE)</f>
        <v>0</v>
      </c>
      <c r="D54" s="192">
        <f>VLOOKUP($A54,[0]!Data,128,FALSE)</f>
        <v>3000082</v>
      </c>
      <c r="E54" s="192">
        <f>VLOOKUP($A54,[0]!Data,129,FALSE)</f>
        <v>3000082</v>
      </c>
      <c r="F54" s="192">
        <f>VLOOKUP($A54,[0]!Data,130,FALSE)</f>
        <v>172301</v>
      </c>
      <c r="G54" s="192">
        <f>VLOOKUP($A54,[0]!Data,131,FALSE)</f>
        <v>0</v>
      </c>
      <c r="H54" s="192">
        <f>VLOOKUP($A54,[0]!Data,132,FALSE)</f>
        <v>172301</v>
      </c>
      <c r="I54" s="192">
        <f>VLOOKUP($A54,[0]!Data,133,FALSE)</f>
        <v>5000</v>
      </c>
      <c r="J54" s="192">
        <f>VLOOKUP($A54,[0]!Data,134,FALSE)</f>
        <v>0</v>
      </c>
      <c r="K54" s="192">
        <f>VLOOKUP($A54,[0]!Data,135,FALSE)</f>
        <v>5000</v>
      </c>
      <c r="L54" s="192">
        <f>VLOOKUP($A54,[0]!Data,136,FALSE)</f>
        <v>0</v>
      </c>
      <c r="M54" s="194">
        <f>VLOOKUP($A54,[0]!Data,137,FALSE)</f>
        <v>3177383</v>
      </c>
    </row>
    <row r="55" spans="1:13" x14ac:dyDescent="0.25">
      <c r="A55" s="36" t="s">
        <v>1280</v>
      </c>
      <c r="B55" s="36" t="s">
        <v>1550</v>
      </c>
      <c r="C55" s="192">
        <f>VLOOKUP($A55,[0]!Data,127,FALSE)</f>
        <v>0</v>
      </c>
      <c r="D55" s="192">
        <f>VLOOKUP($A55,[0]!Data,128,FALSE)</f>
        <v>437342</v>
      </c>
      <c r="E55" s="192">
        <f>VLOOKUP($A55,[0]!Data,129,FALSE)</f>
        <v>437342</v>
      </c>
      <c r="F55" s="192">
        <f>VLOOKUP($A55,[0]!Data,130,FALSE)</f>
        <v>123742</v>
      </c>
      <c r="G55" s="192">
        <f>VLOOKUP($A55,[0]!Data,131,FALSE)</f>
        <v>0</v>
      </c>
      <c r="H55" s="192">
        <f>VLOOKUP($A55,[0]!Data,132,FALSE)</f>
        <v>123742</v>
      </c>
      <c r="I55" s="192">
        <f>VLOOKUP($A55,[0]!Data,133,FALSE)</f>
        <v>35485</v>
      </c>
      <c r="J55" s="192">
        <f>VLOOKUP($A55,[0]!Data,134,FALSE)</f>
        <v>0</v>
      </c>
      <c r="K55" s="192">
        <f>VLOOKUP($A55,[0]!Data,135,FALSE)</f>
        <v>35485</v>
      </c>
      <c r="L55" s="192">
        <f>VLOOKUP($A55,[0]!Data,136,FALSE)</f>
        <v>23858</v>
      </c>
      <c r="M55" s="194">
        <f>VLOOKUP($A55,[0]!Data,137,FALSE)</f>
        <v>620427</v>
      </c>
    </row>
    <row r="56" spans="1:13" x14ac:dyDescent="0.25">
      <c r="A56" s="36" t="s">
        <v>1292</v>
      </c>
      <c r="B56" s="36" t="s">
        <v>1551</v>
      </c>
      <c r="C56" s="192">
        <f>VLOOKUP($A56,[0]!Data,127,FALSE)</f>
        <v>4000</v>
      </c>
      <c r="D56" s="192">
        <f>VLOOKUP($A56,[0]!Data,128,FALSE)</f>
        <v>677705</v>
      </c>
      <c r="E56" s="192">
        <f>VLOOKUP($A56,[0]!Data,129,FALSE)</f>
        <v>681705</v>
      </c>
      <c r="F56" s="192">
        <f>VLOOKUP($A56,[0]!Data,130,FALSE)</f>
        <v>120440</v>
      </c>
      <c r="G56" s="192">
        <f>VLOOKUP($A56,[0]!Data,131,FALSE)</f>
        <v>0</v>
      </c>
      <c r="H56" s="192">
        <f>VLOOKUP($A56,[0]!Data,132,FALSE)</f>
        <v>120440</v>
      </c>
      <c r="I56" s="192">
        <f>VLOOKUP($A56,[0]!Data,133,FALSE)</f>
        <v>0</v>
      </c>
      <c r="J56" s="192">
        <f>VLOOKUP($A56,[0]!Data,134,FALSE)</f>
        <v>0</v>
      </c>
      <c r="K56" s="192">
        <f>VLOOKUP($A56,[0]!Data,135,FALSE)</f>
        <v>0</v>
      </c>
      <c r="L56" s="192">
        <f>VLOOKUP($A56,[0]!Data,136,FALSE)</f>
        <v>34785</v>
      </c>
      <c r="M56" s="194">
        <f>VLOOKUP($A56,[0]!Data,137,FALSE)</f>
        <v>836930</v>
      </c>
    </row>
    <row r="57" spans="1:13" x14ac:dyDescent="0.25">
      <c r="A57" s="36" t="s">
        <v>1323</v>
      </c>
      <c r="B57" s="36" t="s">
        <v>1552</v>
      </c>
      <c r="C57" s="192">
        <f>VLOOKUP($A57,[0]!Data,127,FALSE)</f>
        <v>0</v>
      </c>
      <c r="D57" s="192">
        <f>VLOOKUP($A57,[0]!Data,128,FALSE)</f>
        <v>356220</v>
      </c>
      <c r="E57" s="192">
        <f>VLOOKUP($A57,[0]!Data,129,FALSE)</f>
        <v>356220</v>
      </c>
      <c r="F57" s="192">
        <f>VLOOKUP($A57,[0]!Data,130,FALSE)</f>
        <v>103598</v>
      </c>
      <c r="G57" s="192">
        <f>VLOOKUP($A57,[0]!Data,131,FALSE)</f>
        <v>0</v>
      </c>
      <c r="H57" s="192">
        <f>VLOOKUP($A57,[0]!Data,132,FALSE)</f>
        <v>103598</v>
      </c>
      <c r="I57" s="192">
        <f>VLOOKUP($A57,[0]!Data,133,FALSE)</f>
        <v>0</v>
      </c>
      <c r="J57" s="192">
        <f>VLOOKUP($A57,[0]!Data,134,FALSE)</f>
        <v>0</v>
      </c>
      <c r="K57" s="192">
        <f>VLOOKUP($A57,[0]!Data,135,FALSE)</f>
        <v>0</v>
      </c>
      <c r="L57" s="192">
        <f>VLOOKUP($A57,[0]!Data,136,FALSE)</f>
        <v>10124</v>
      </c>
      <c r="M57" s="194">
        <f>VLOOKUP($A57,[0]!Data,137,FALSE)</f>
        <v>469942</v>
      </c>
    </row>
    <row r="58" spans="1:13" x14ac:dyDescent="0.25">
      <c r="A58" s="36" t="s">
        <v>1360</v>
      </c>
      <c r="B58" s="36" t="s">
        <v>1553</v>
      </c>
      <c r="C58" s="192">
        <f>VLOOKUP($A58,[0]!Data,127,FALSE)</f>
        <v>0</v>
      </c>
      <c r="D58" s="192">
        <f>VLOOKUP($A58,[0]!Data,128,FALSE)</f>
        <v>1239900</v>
      </c>
      <c r="E58" s="192">
        <f>VLOOKUP($A58,[0]!Data,129,FALSE)</f>
        <v>1239900</v>
      </c>
      <c r="F58" s="192">
        <f>VLOOKUP($A58,[0]!Data,130,FALSE)</f>
        <v>115390</v>
      </c>
      <c r="G58" s="192">
        <f>VLOOKUP($A58,[0]!Data,131,FALSE)</f>
        <v>0</v>
      </c>
      <c r="H58" s="192">
        <f>VLOOKUP($A58,[0]!Data,132,FALSE)</f>
        <v>115390</v>
      </c>
      <c r="I58" s="192">
        <f>VLOOKUP($A58,[0]!Data,133,FALSE)</f>
        <v>0</v>
      </c>
      <c r="J58" s="192">
        <f>VLOOKUP($A58,[0]!Data,134,FALSE)</f>
        <v>0</v>
      </c>
      <c r="K58" s="192">
        <f>VLOOKUP($A58,[0]!Data,135,FALSE)</f>
        <v>0</v>
      </c>
      <c r="L58" s="192">
        <f>VLOOKUP($A58,[0]!Data,136,FALSE)</f>
        <v>0</v>
      </c>
      <c r="M58" s="194">
        <f>VLOOKUP($A58,[0]!Data,137,FALSE)</f>
        <v>1355290</v>
      </c>
    </row>
    <row r="59" spans="1:13" x14ac:dyDescent="0.25">
      <c r="A59" s="36" t="s">
        <v>1371</v>
      </c>
      <c r="B59" s="36" t="s">
        <v>1554</v>
      </c>
      <c r="C59" s="192">
        <f>VLOOKUP($A59,[0]!Data,127,FALSE)</f>
        <v>0</v>
      </c>
      <c r="D59" s="192">
        <f>VLOOKUP($A59,[0]!Data,128,FALSE)</f>
        <v>1178653</v>
      </c>
      <c r="E59" s="192">
        <f>VLOOKUP($A59,[0]!Data,129,FALSE)</f>
        <v>1178653</v>
      </c>
      <c r="F59" s="192">
        <f>VLOOKUP($A59,[0]!Data,130,FALSE)</f>
        <v>88071</v>
      </c>
      <c r="G59" s="192">
        <f>VLOOKUP($A59,[0]!Data,131,FALSE)</f>
        <v>0</v>
      </c>
      <c r="H59" s="192">
        <f>VLOOKUP($A59,[0]!Data,132,FALSE)</f>
        <v>88071</v>
      </c>
      <c r="I59" s="192">
        <f>VLOOKUP($A59,[0]!Data,133,FALSE)</f>
        <v>0</v>
      </c>
      <c r="J59" s="192">
        <f>VLOOKUP($A59,[0]!Data,134,FALSE)</f>
        <v>15636</v>
      </c>
      <c r="K59" s="192">
        <f>VLOOKUP($A59,[0]!Data,135,FALSE)</f>
        <v>15636</v>
      </c>
      <c r="L59" s="192">
        <f>VLOOKUP($A59,[0]!Data,136,FALSE)</f>
        <v>0</v>
      </c>
      <c r="M59" s="194">
        <f>VLOOKUP($A59,[0]!Data,137,FALSE)</f>
        <v>1282360</v>
      </c>
    </row>
    <row r="60" spans="1:13" x14ac:dyDescent="0.25">
      <c r="A60" s="36" t="s">
        <v>1383</v>
      </c>
      <c r="B60" s="36" t="s">
        <v>1555</v>
      </c>
      <c r="C60" s="192">
        <f>VLOOKUP($A60,[0]!Data,127,FALSE)</f>
        <v>0</v>
      </c>
      <c r="D60" s="192">
        <f>VLOOKUP($A60,[0]!Data,128,FALSE)</f>
        <v>4114180</v>
      </c>
      <c r="E60" s="192">
        <f>VLOOKUP($A60,[0]!Data,129,FALSE)</f>
        <v>4114180</v>
      </c>
      <c r="F60" s="192">
        <f>VLOOKUP($A60,[0]!Data,130,FALSE)</f>
        <v>193581</v>
      </c>
      <c r="G60" s="192">
        <f>VLOOKUP($A60,[0]!Data,131,FALSE)</f>
        <v>0</v>
      </c>
      <c r="H60" s="192">
        <f>VLOOKUP($A60,[0]!Data,132,FALSE)</f>
        <v>193581</v>
      </c>
      <c r="I60" s="192">
        <f>VLOOKUP($A60,[0]!Data,133,FALSE)</f>
        <v>0</v>
      </c>
      <c r="J60" s="192">
        <f>VLOOKUP($A60,[0]!Data,134,FALSE)</f>
        <v>0</v>
      </c>
      <c r="K60" s="192">
        <f>VLOOKUP($A60,[0]!Data,135,FALSE)</f>
        <v>0</v>
      </c>
      <c r="L60" s="192">
        <f>VLOOKUP($A60,[0]!Data,136,FALSE)</f>
        <v>183353</v>
      </c>
      <c r="M60" s="194">
        <f>VLOOKUP($A60,[0]!Data,137,FALSE)</f>
        <v>4491114</v>
      </c>
    </row>
    <row r="61" spans="1:13" x14ac:dyDescent="0.25">
      <c r="A61" s="36" t="s">
        <v>1146</v>
      </c>
      <c r="B61" s="36" t="s">
        <v>1556</v>
      </c>
      <c r="C61" s="192">
        <f>VLOOKUP($A61,[0]!Data,127,FALSE)</f>
        <v>187400</v>
      </c>
      <c r="D61" s="192">
        <f>VLOOKUP($A61,[0]!Data,128,FALSE)</f>
        <v>562200</v>
      </c>
      <c r="E61" s="192">
        <f>VLOOKUP($A61,[0]!Data,129,FALSE)</f>
        <v>749600</v>
      </c>
      <c r="F61" s="192">
        <f>VLOOKUP($A61,[0]!Data,130,FALSE)</f>
        <v>107386</v>
      </c>
      <c r="G61" s="192">
        <f>VLOOKUP($A61,[0]!Data,131,FALSE)</f>
        <v>0</v>
      </c>
      <c r="H61" s="192">
        <f>VLOOKUP($A61,[0]!Data,132,FALSE)</f>
        <v>107386</v>
      </c>
      <c r="I61" s="192">
        <f>VLOOKUP($A61,[0]!Data,133,FALSE)</f>
        <v>1200</v>
      </c>
      <c r="J61" s="192">
        <f>VLOOKUP($A61,[0]!Data,134,FALSE)</f>
        <v>0</v>
      </c>
      <c r="K61" s="192">
        <f>VLOOKUP($A61,[0]!Data,135,FALSE)</f>
        <v>1200</v>
      </c>
      <c r="L61" s="192">
        <f>VLOOKUP($A61,[0]!Data,136,FALSE)</f>
        <v>62532</v>
      </c>
      <c r="M61" s="194">
        <f>VLOOKUP($A61,[0]!Data,137,FALSE)</f>
        <v>920718</v>
      </c>
    </row>
    <row r="62" spans="1:13" x14ac:dyDescent="0.25">
      <c r="A62" s="36" t="s">
        <v>1394</v>
      </c>
      <c r="B62" s="36" t="s">
        <v>1557</v>
      </c>
      <c r="C62" s="192">
        <f>VLOOKUP($A62,All!A$3:RC$87,127,FALSE)</f>
        <v>0</v>
      </c>
      <c r="D62" s="192">
        <f>VLOOKUP($A62,All!A$3:RC$87,128,FALSE)</f>
        <v>19843646</v>
      </c>
      <c r="E62" s="192">
        <f>VLOOKUP($A62,All!A$3:RC$87,129,FALSE)</f>
        <v>19843646</v>
      </c>
      <c r="F62" s="192">
        <f>VLOOKUP($A62,All!A$3:RC$87,130,FALSE)</f>
        <v>580320</v>
      </c>
      <c r="G62" s="192">
        <f>VLOOKUP($A62,All!A$3:RC$87,131,FALSE)</f>
        <v>0</v>
      </c>
      <c r="H62" s="192">
        <f>VLOOKUP($A62,All!A$3:RC$87,132,FALSE)</f>
        <v>580320</v>
      </c>
      <c r="I62" s="192">
        <f>VLOOKUP($A62,All!A$3:RC$87,133,FALSE)</f>
        <v>0</v>
      </c>
      <c r="J62" s="192">
        <f>VLOOKUP($A62,All!A$3:RC$87,134,FALSE)</f>
        <v>0</v>
      </c>
      <c r="K62" s="192">
        <f>VLOOKUP($A62,All!A$3:RC$87,135,FALSE)</f>
        <v>0</v>
      </c>
      <c r="L62" s="192">
        <f>VLOOKUP($A62,All!A$3:RC$87,136,FALSE)</f>
        <v>0</v>
      </c>
      <c r="M62" s="194">
        <f>VLOOKUP($A62,All!A$3:RC$87,137,FALSE)</f>
        <v>20423966</v>
      </c>
    </row>
    <row r="63" spans="1:13" x14ac:dyDescent="0.25">
      <c r="A63" s="36" t="s">
        <v>1408</v>
      </c>
      <c r="B63" s="36" t="s">
        <v>1558</v>
      </c>
      <c r="C63" s="192">
        <f>VLOOKUP($A63,All!A$3:RC$87,127,FALSE)</f>
        <v>0</v>
      </c>
      <c r="D63" s="192">
        <f>VLOOKUP($A63,All!A$3:RC$87,128,FALSE)</f>
        <v>396875</v>
      </c>
      <c r="E63" s="192">
        <f>VLOOKUP($A63,All!A$3:RC$87,129,FALSE)</f>
        <v>396875</v>
      </c>
      <c r="F63" s="192">
        <f>VLOOKUP($A63,All!A$3:RC$87,130,FALSE)</f>
        <v>82326</v>
      </c>
      <c r="G63" s="192">
        <f>VLOOKUP($A63,All!A$3:RC$87,131,FALSE)</f>
        <v>9500</v>
      </c>
      <c r="H63" s="192">
        <f>VLOOKUP($A63,All!A$3:RC$87,132,FALSE)</f>
        <v>91826</v>
      </c>
      <c r="I63" s="192">
        <f>VLOOKUP($A63,All!A$3:RC$87,133,FALSE)</f>
        <v>0</v>
      </c>
      <c r="J63" s="192">
        <f>VLOOKUP($A63,All!A$3:RC$87,134,FALSE)</f>
        <v>0</v>
      </c>
      <c r="K63" s="192">
        <f>VLOOKUP($A63,All!A$3:RC$87,135,FALSE)</f>
        <v>0</v>
      </c>
      <c r="L63" s="192">
        <f>VLOOKUP($A63,All!A$3:RC$87,136,FALSE)</f>
        <v>15200</v>
      </c>
      <c r="M63" s="194">
        <f>VLOOKUP($A63,All!A$3:RC$87,137,FALSE)</f>
        <v>503901</v>
      </c>
    </row>
    <row r="64" spans="1:13" x14ac:dyDescent="0.25">
      <c r="A64" s="36" t="s">
        <v>1420</v>
      </c>
      <c r="B64" s="36" t="s">
        <v>1559</v>
      </c>
      <c r="C64" s="192">
        <f>VLOOKUP($A64,All!A$3:RC$87,127,FALSE)</f>
        <v>0</v>
      </c>
      <c r="D64" s="192">
        <f>VLOOKUP($A64,All!A$3:RC$87,128,FALSE)</f>
        <v>1658233</v>
      </c>
      <c r="E64" s="192">
        <f>VLOOKUP($A64,All!A$3:RC$87,129,FALSE)</f>
        <v>1658233</v>
      </c>
      <c r="F64" s="192">
        <f>VLOOKUP($A64,All!A$3:RC$87,130,FALSE)</f>
        <v>165002</v>
      </c>
      <c r="G64" s="192">
        <f>VLOOKUP($A64,All!A$3:RC$87,131,FALSE)</f>
        <v>34118</v>
      </c>
      <c r="H64" s="192">
        <f>VLOOKUP($A64,All!A$3:RC$87,132,FALSE)</f>
        <v>199120</v>
      </c>
      <c r="I64" s="192">
        <f>VLOOKUP($A64,All!A$3:RC$87,133,FALSE)</f>
        <v>12027</v>
      </c>
      <c r="J64" s="192">
        <f>VLOOKUP($A64,All!A$3:RC$87,134,FALSE)</f>
        <v>3000</v>
      </c>
      <c r="K64" s="192">
        <f>VLOOKUP($A64,All!A$3:RC$87,135,FALSE)</f>
        <v>15027</v>
      </c>
      <c r="L64" s="192">
        <f>VLOOKUP($A64,All!A$3:RC$87,136,FALSE)</f>
        <v>0</v>
      </c>
      <c r="M64" s="194">
        <f>VLOOKUP($A64,All!A$3:RC$87,137,FALSE)</f>
        <v>1872380</v>
      </c>
    </row>
    <row r="65" spans="1:13" x14ac:dyDescent="0.25">
      <c r="A65" s="36" t="s">
        <v>1432</v>
      </c>
      <c r="B65" s="36" t="s">
        <v>1560</v>
      </c>
      <c r="C65" s="192">
        <f>VLOOKUP($A65,All!A$3:RC$87,127,FALSE)</f>
        <v>0</v>
      </c>
      <c r="D65" s="192">
        <f>VLOOKUP($A65,All!A$3:RC$87,128,FALSE)</f>
        <v>1634942</v>
      </c>
      <c r="E65" s="192">
        <f>VLOOKUP($A65,All!A$3:RC$87,129,FALSE)</f>
        <v>1634942</v>
      </c>
      <c r="F65" s="192">
        <f>VLOOKUP($A65,All!A$3:RC$87,130,FALSE)</f>
        <v>131115</v>
      </c>
      <c r="G65" s="192">
        <f>VLOOKUP($A65,All!A$3:RC$87,131,FALSE)</f>
        <v>0</v>
      </c>
      <c r="H65" s="192">
        <f>VLOOKUP($A65,All!A$3:RC$87,132,FALSE)</f>
        <v>131115</v>
      </c>
      <c r="I65" s="192">
        <f>VLOOKUP($A65,All!A$3:RC$87,133,FALSE)</f>
        <v>0</v>
      </c>
      <c r="J65" s="192">
        <f>VLOOKUP($A65,All!A$3:RC$87,134,FALSE)</f>
        <v>0</v>
      </c>
      <c r="K65" s="192">
        <f>VLOOKUP($A65,All!A$3:RC$87,135,FALSE)</f>
        <v>0</v>
      </c>
      <c r="L65" s="192">
        <f>VLOOKUP($A65,All!A$3:RC$87,136,FALSE)</f>
        <v>57755</v>
      </c>
      <c r="M65" s="194">
        <f>VLOOKUP($A65,All!A$3:RC$87,137,FALSE)</f>
        <v>1823812</v>
      </c>
    </row>
    <row r="66" spans="1:13" ht="15.75" thickBot="1" x14ac:dyDescent="0.3">
      <c r="A66" s="599" t="s">
        <v>1462</v>
      </c>
      <c r="B66" s="634"/>
      <c r="C66" s="196">
        <f t="shared" ref="C66:M66" si="0">SUM(C8:C65)</f>
        <v>12002388</v>
      </c>
      <c r="D66" s="196">
        <f t="shared" si="0"/>
        <v>156017201</v>
      </c>
      <c r="E66" s="196">
        <f t="shared" si="0"/>
        <v>168019589</v>
      </c>
      <c r="F66" s="196">
        <f t="shared" si="0"/>
        <v>9507970</v>
      </c>
      <c r="G66" s="196">
        <f t="shared" si="0"/>
        <v>355736</v>
      </c>
      <c r="H66" s="196">
        <f t="shared" si="0"/>
        <v>9863706</v>
      </c>
      <c r="I66" s="196">
        <f t="shared" si="0"/>
        <v>1201182</v>
      </c>
      <c r="J66" s="196">
        <f t="shared" si="0"/>
        <v>92038</v>
      </c>
      <c r="K66" s="196">
        <f t="shared" si="0"/>
        <v>1293220</v>
      </c>
      <c r="L66" s="196">
        <f t="shared" si="0"/>
        <v>6896243</v>
      </c>
      <c r="M66" s="196">
        <f t="shared" si="0"/>
        <v>186072758</v>
      </c>
    </row>
    <row r="67" spans="1:13" ht="16.5" thickTop="1" thickBot="1" x14ac:dyDescent="0.3">
      <c r="A67" s="611" t="s">
        <v>1455</v>
      </c>
      <c r="B67" s="611"/>
      <c r="C67" s="199"/>
      <c r="D67" s="199"/>
      <c r="E67" s="199"/>
      <c r="F67" s="200"/>
      <c r="G67" s="200"/>
      <c r="H67" s="200"/>
      <c r="I67" s="200"/>
      <c r="J67" s="201"/>
      <c r="K67" s="201"/>
      <c r="L67" s="201"/>
      <c r="M67" s="202"/>
    </row>
    <row r="68" spans="1:13" ht="15.75" thickTop="1" x14ac:dyDescent="0.25">
      <c r="A68" s="51" t="s">
        <v>364</v>
      </c>
      <c r="B68" s="51" t="s">
        <v>1561</v>
      </c>
      <c r="C68" s="192">
        <f>VLOOKUP($A68,[0]!Data,127,FALSE)</f>
        <v>223608</v>
      </c>
      <c r="D68" s="192">
        <f>VLOOKUP($A68,[0]!Data,128,FALSE)</f>
        <v>470060</v>
      </c>
      <c r="E68" s="192">
        <f>VLOOKUP($A68,[0]!Data,129,FALSE)</f>
        <v>693668</v>
      </c>
      <c r="F68" s="192">
        <f>VLOOKUP($A68,[0]!Data,130,FALSE)</f>
        <v>392930</v>
      </c>
      <c r="G68" s="192">
        <f>VLOOKUP($A68,[0]!Data,131,FALSE)</f>
        <v>0</v>
      </c>
      <c r="H68" s="192">
        <f>VLOOKUP($A68,[0]!Data,132,FALSE)</f>
        <v>392930</v>
      </c>
      <c r="I68" s="192">
        <f>VLOOKUP($A68,[0]!Data,133,FALSE)</f>
        <v>0</v>
      </c>
      <c r="J68" s="192">
        <f>VLOOKUP($A68,[0]!Data,134,FALSE)</f>
        <v>0</v>
      </c>
      <c r="K68" s="192">
        <f>VLOOKUP($A68,[0]!Data,135,FALSE)</f>
        <v>0</v>
      </c>
      <c r="L68" s="192">
        <f>VLOOKUP($A68,[0]!Data,136,FALSE)</f>
        <v>154258</v>
      </c>
      <c r="M68" s="194">
        <f>VLOOKUP($A68,[0]!Data,137,FALSE)</f>
        <v>1240856</v>
      </c>
    </row>
    <row r="69" spans="1:13" x14ac:dyDescent="0.25">
      <c r="A69" s="203" t="s">
        <v>409</v>
      </c>
      <c r="B69" s="203" t="s">
        <v>1562</v>
      </c>
      <c r="C69" s="192">
        <f>VLOOKUP($A69,[0]!Data,127,FALSE)</f>
        <v>80957</v>
      </c>
      <c r="D69" s="192">
        <f>VLOOKUP($A69,[0]!Data,128,FALSE)</f>
        <v>314154</v>
      </c>
      <c r="E69" s="192">
        <f>VLOOKUP($A69,[0]!Data,129,FALSE)</f>
        <v>395111</v>
      </c>
      <c r="F69" s="192">
        <f>VLOOKUP($A69,[0]!Data,130,FALSE)</f>
        <v>297005</v>
      </c>
      <c r="G69" s="192">
        <f>VLOOKUP($A69,[0]!Data,131,FALSE)</f>
        <v>0</v>
      </c>
      <c r="H69" s="192">
        <f>VLOOKUP($A69,[0]!Data,132,FALSE)</f>
        <v>297005</v>
      </c>
      <c r="I69" s="192">
        <f>VLOOKUP($A69,[0]!Data,133,FALSE)</f>
        <v>4916</v>
      </c>
      <c r="J69" s="192">
        <f>VLOOKUP($A69,[0]!Data,134,FALSE)</f>
        <v>0</v>
      </c>
      <c r="K69" s="192">
        <f>VLOOKUP($A69,[0]!Data,135,FALSE)</f>
        <v>4916</v>
      </c>
      <c r="L69" s="192">
        <f>VLOOKUP($A69,[0]!Data,136,FALSE)</f>
        <v>181515</v>
      </c>
      <c r="M69" s="194">
        <f>VLOOKUP($A69,[0]!Data,137,FALSE)</f>
        <v>878547</v>
      </c>
    </row>
    <row r="70" spans="1:13" x14ac:dyDescent="0.25">
      <c r="A70" s="203" t="s">
        <v>393</v>
      </c>
      <c r="B70" s="203" t="s">
        <v>1563</v>
      </c>
      <c r="C70" s="192">
        <f>VLOOKUP($A70,[0]!Data,127,FALSE)</f>
        <v>2000</v>
      </c>
      <c r="D70" s="192">
        <f>VLOOKUP($A70,[0]!Data,128,FALSE)</f>
        <v>1507766</v>
      </c>
      <c r="E70" s="192">
        <f>VLOOKUP($A70,[0]!Data,129,FALSE)</f>
        <v>1509766</v>
      </c>
      <c r="F70" s="192">
        <f>VLOOKUP($A70,[0]!Data,130,FALSE)</f>
        <v>382787</v>
      </c>
      <c r="G70" s="192">
        <f>VLOOKUP($A70,[0]!Data,131,FALSE)</f>
        <v>0</v>
      </c>
      <c r="H70" s="192">
        <f>VLOOKUP($A70,[0]!Data,132,FALSE)</f>
        <v>382787</v>
      </c>
      <c r="I70" s="192">
        <f>VLOOKUP($A70,[0]!Data,133,FALSE)</f>
        <v>43648</v>
      </c>
      <c r="J70" s="192">
        <f>VLOOKUP($A70,[0]!Data,134,FALSE)</f>
        <v>0</v>
      </c>
      <c r="K70" s="192">
        <f>VLOOKUP($A70,[0]!Data,135,FALSE)</f>
        <v>43648</v>
      </c>
      <c r="L70" s="192">
        <f>VLOOKUP($A70,[0]!Data,136,FALSE)</f>
        <v>278507</v>
      </c>
      <c r="M70" s="194">
        <f>VLOOKUP($A70,[0]!Data,137,FALSE)</f>
        <v>2214708</v>
      </c>
    </row>
    <row r="71" spans="1:13" x14ac:dyDescent="0.25">
      <c r="A71" s="203" t="s">
        <v>428</v>
      </c>
      <c r="B71" s="203" t="s">
        <v>1564</v>
      </c>
      <c r="C71" s="192">
        <f>VLOOKUP($A71,[0]!Data,127,FALSE)</f>
        <v>123575</v>
      </c>
      <c r="D71" s="192">
        <f>VLOOKUP($A71,[0]!Data,128,FALSE)</f>
        <v>335832</v>
      </c>
      <c r="E71" s="192">
        <f>VLOOKUP($A71,[0]!Data,129,FALSE)</f>
        <v>459407</v>
      </c>
      <c r="F71" s="192">
        <f>VLOOKUP($A71,[0]!Data,130,FALSE)</f>
        <v>304479</v>
      </c>
      <c r="G71" s="192">
        <f>VLOOKUP($A71,[0]!Data,131,FALSE)</f>
        <v>0</v>
      </c>
      <c r="H71" s="192">
        <f>VLOOKUP($A71,[0]!Data,132,FALSE)</f>
        <v>304479</v>
      </c>
      <c r="I71" s="192">
        <f>VLOOKUP($A71,[0]!Data,133,FALSE)</f>
        <v>1950</v>
      </c>
      <c r="J71" s="192">
        <f>VLOOKUP($A71,[0]!Data,134,FALSE)</f>
        <v>0</v>
      </c>
      <c r="K71" s="192">
        <f>VLOOKUP($A71,[0]!Data,135,FALSE)</f>
        <v>1950</v>
      </c>
      <c r="L71" s="192">
        <f>VLOOKUP($A71,[0]!Data,136,FALSE)</f>
        <v>72610</v>
      </c>
      <c r="M71" s="194">
        <f>VLOOKUP($A71,[0]!Data,137,FALSE)</f>
        <v>838446</v>
      </c>
    </row>
    <row r="72" spans="1:13" x14ac:dyDescent="0.25">
      <c r="A72" s="203" t="s">
        <v>629</v>
      </c>
      <c r="B72" s="203" t="s">
        <v>1565</v>
      </c>
      <c r="C72" s="192">
        <f>VLOOKUP($A72,[0]!Data,127,FALSE)</f>
        <v>166965</v>
      </c>
      <c r="D72" s="192">
        <f>VLOOKUP($A72,[0]!Data,128,FALSE)</f>
        <v>2676331</v>
      </c>
      <c r="E72" s="192">
        <f>VLOOKUP($A72,[0]!Data,129,FALSE)</f>
        <v>2843296</v>
      </c>
      <c r="F72" s="192">
        <f>VLOOKUP($A72,[0]!Data,130,FALSE)</f>
        <v>382335</v>
      </c>
      <c r="G72" s="192">
        <f>VLOOKUP($A72,[0]!Data,131,FALSE)</f>
        <v>37000</v>
      </c>
      <c r="H72" s="192">
        <f>VLOOKUP($A72,[0]!Data,132,FALSE)</f>
        <v>419335</v>
      </c>
      <c r="I72" s="192">
        <f>VLOOKUP($A72,[0]!Data,133,FALSE)</f>
        <v>4499</v>
      </c>
      <c r="J72" s="192">
        <f>VLOOKUP($A72,[0]!Data,134,FALSE)</f>
        <v>0</v>
      </c>
      <c r="K72" s="192">
        <f>VLOOKUP($A72,[0]!Data,135,FALSE)</f>
        <v>4499</v>
      </c>
      <c r="L72" s="192">
        <f>VLOOKUP($A72,[0]!Data,136,FALSE)</f>
        <v>474732</v>
      </c>
      <c r="M72" s="194">
        <f>VLOOKUP($A72,[0]!Data,137,FALSE)</f>
        <v>3741862</v>
      </c>
    </row>
    <row r="73" spans="1:13" x14ac:dyDescent="0.25">
      <c r="A73" s="203" t="s">
        <v>715</v>
      </c>
      <c r="B73" s="203" t="s">
        <v>1566</v>
      </c>
      <c r="C73" s="192">
        <f>VLOOKUP($A73,[0]!Data,127,FALSE)</f>
        <v>800</v>
      </c>
      <c r="D73" s="192">
        <f>VLOOKUP($A73,[0]!Data,128,FALSE)</f>
        <v>2301572</v>
      </c>
      <c r="E73" s="192">
        <f>VLOOKUP($A73,[0]!Data,129,FALSE)</f>
        <v>2302372</v>
      </c>
      <c r="F73" s="192">
        <f>VLOOKUP($A73,[0]!Data,130,FALSE)</f>
        <v>391261</v>
      </c>
      <c r="G73" s="192">
        <f>VLOOKUP($A73,[0]!Data,131,FALSE)</f>
        <v>0</v>
      </c>
      <c r="H73" s="192">
        <f>VLOOKUP($A73,[0]!Data,132,FALSE)</f>
        <v>391261</v>
      </c>
      <c r="I73" s="192">
        <f>VLOOKUP($A73,[0]!Data,133,FALSE)</f>
        <v>0</v>
      </c>
      <c r="J73" s="192">
        <f>VLOOKUP($A73,[0]!Data,134,FALSE)</f>
        <v>0</v>
      </c>
      <c r="K73" s="192">
        <f>VLOOKUP($A73,[0]!Data,135,FALSE)</f>
        <v>0</v>
      </c>
      <c r="L73" s="192">
        <f>VLOOKUP($A73,[0]!Data,136,FALSE)</f>
        <v>81124</v>
      </c>
      <c r="M73" s="194">
        <f>VLOOKUP($A73,[0]!Data,137,FALSE)</f>
        <v>2774757</v>
      </c>
    </row>
    <row r="74" spans="1:13" x14ac:dyDescent="0.25">
      <c r="A74" s="203" t="s">
        <v>754</v>
      </c>
      <c r="B74" s="203" t="s">
        <v>1567</v>
      </c>
      <c r="C74" s="192">
        <f>VLOOKUP($A74,[0]!Data,127,FALSE)</f>
        <v>21000</v>
      </c>
      <c r="D74" s="192">
        <f>VLOOKUP($A74,[0]!Data,128,FALSE)</f>
        <v>2227821</v>
      </c>
      <c r="E74" s="192">
        <f>VLOOKUP($A74,[0]!Data,129,FALSE)</f>
        <v>2248821</v>
      </c>
      <c r="F74" s="192">
        <f>VLOOKUP($A74,[0]!Data,130,FALSE)</f>
        <v>327021</v>
      </c>
      <c r="G74" s="192">
        <f>VLOOKUP($A74,[0]!Data,131,FALSE)</f>
        <v>54408</v>
      </c>
      <c r="H74" s="192">
        <f>VLOOKUP($A74,[0]!Data,132,FALSE)</f>
        <v>381429</v>
      </c>
      <c r="I74" s="192">
        <f>VLOOKUP($A74,[0]!Data,133,FALSE)</f>
        <v>114800</v>
      </c>
      <c r="J74" s="192">
        <f>VLOOKUP($A74,[0]!Data,134,FALSE)</f>
        <v>0</v>
      </c>
      <c r="K74" s="192">
        <f>VLOOKUP($A74,[0]!Data,135,FALSE)</f>
        <v>114800</v>
      </c>
      <c r="L74" s="192">
        <f>VLOOKUP($A74,[0]!Data,136,FALSE)</f>
        <v>518808</v>
      </c>
      <c r="M74" s="194">
        <f>VLOOKUP($A74,[0]!Data,137,FALSE)</f>
        <v>3263858</v>
      </c>
    </row>
    <row r="75" spans="1:13" x14ac:dyDescent="0.25">
      <c r="A75" s="203" t="s">
        <v>1048</v>
      </c>
      <c r="B75" s="203" t="s">
        <v>1568</v>
      </c>
      <c r="C75" s="192">
        <f>VLOOKUP($A75,[0]!Data,127,FALSE)</f>
        <v>529645</v>
      </c>
      <c r="D75" s="192">
        <f>VLOOKUP($A75,[0]!Data,128,FALSE)</f>
        <v>357545</v>
      </c>
      <c r="E75" s="192">
        <f>VLOOKUP($A75,[0]!Data,129,FALSE)</f>
        <v>887190</v>
      </c>
      <c r="F75" s="192">
        <f>VLOOKUP($A75,[0]!Data,130,FALSE)</f>
        <v>296450</v>
      </c>
      <c r="G75" s="192">
        <f>VLOOKUP($A75,[0]!Data,131,FALSE)</f>
        <v>0</v>
      </c>
      <c r="H75" s="192">
        <f>VLOOKUP($A75,[0]!Data,132,FALSE)</f>
        <v>296450</v>
      </c>
      <c r="I75" s="192">
        <f>VLOOKUP($A75,[0]!Data,133,FALSE)</f>
        <v>0</v>
      </c>
      <c r="J75" s="192">
        <f>VLOOKUP($A75,[0]!Data,134,FALSE)</f>
        <v>0</v>
      </c>
      <c r="K75" s="192">
        <f>VLOOKUP($A75,[0]!Data,135,FALSE)</f>
        <v>0</v>
      </c>
      <c r="L75" s="192">
        <f>VLOOKUP($A75,[0]!Data,136,FALSE)</f>
        <v>34600</v>
      </c>
      <c r="M75" s="194">
        <f>VLOOKUP($A75,[0]!Data,137,FALSE)</f>
        <v>1218240</v>
      </c>
    </row>
    <row r="76" spans="1:13" x14ac:dyDescent="0.25">
      <c r="A76" s="203" t="s">
        <v>1064</v>
      </c>
      <c r="B76" s="203" t="s">
        <v>1569</v>
      </c>
      <c r="C76" s="192">
        <f>VLOOKUP($A76,[0]!Data,127,FALSE)</f>
        <v>199010</v>
      </c>
      <c r="D76" s="192">
        <f>VLOOKUP($A76,[0]!Data,128,FALSE)</f>
        <v>946490</v>
      </c>
      <c r="E76" s="192">
        <f>VLOOKUP($A76,[0]!Data,129,FALSE)</f>
        <v>1145500</v>
      </c>
      <c r="F76" s="192">
        <f>VLOOKUP($A76,[0]!Data,130,FALSE)</f>
        <v>335231</v>
      </c>
      <c r="G76" s="192">
        <f>VLOOKUP($A76,[0]!Data,131,FALSE)</f>
        <v>0</v>
      </c>
      <c r="H76" s="192">
        <f>VLOOKUP($A76,[0]!Data,132,FALSE)</f>
        <v>335231</v>
      </c>
      <c r="I76" s="192">
        <f>VLOOKUP($A76,[0]!Data,133,FALSE)</f>
        <v>75824</v>
      </c>
      <c r="J76" s="192">
        <f>VLOOKUP($A76,[0]!Data,134,FALSE)</f>
        <v>0</v>
      </c>
      <c r="K76" s="192">
        <f>VLOOKUP($A76,[0]!Data,135,FALSE)</f>
        <v>75824</v>
      </c>
      <c r="L76" s="192">
        <f>VLOOKUP($A76,[0]!Data,136,FALSE)</f>
        <v>696612</v>
      </c>
      <c r="M76" s="194">
        <f>VLOOKUP($A76,[0]!Data,137,FALSE)</f>
        <v>2253167</v>
      </c>
    </row>
    <row r="77" spans="1:13" x14ac:dyDescent="0.25">
      <c r="A77" s="203" t="s">
        <v>1093</v>
      </c>
      <c r="B77" s="203" t="s">
        <v>1570</v>
      </c>
      <c r="C77" s="192">
        <f>VLOOKUP($A77,[0]!Data,127,FALSE)</f>
        <v>301218</v>
      </c>
      <c r="D77" s="192">
        <f>VLOOKUP($A77,[0]!Data,128,FALSE)</f>
        <v>1510570</v>
      </c>
      <c r="E77" s="192">
        <f>VLOOKUP($A77,[0]!Data,129,FALSE)</f>
        <v>1811788</v>
      </c>
      <c r="F77" s="192">
        <f>VLOOKUP($A77,[0]!Data,130,FALSE)</f>
        <v>458203</v>
      </c>
      <c r="G77" s="192">
        <f>VLOOKUP($A77,[0]!Data,131,FALSE)</f>
        <v>0</v>
      </c>
      <c r="H77" s="192">
        <f>VLOOKUP($A77,[0]!Data,132,FALSE)</f>
        <v>458203</v>
      </c>
      <c r="I77" s="192">
        <f>VLOOKUP($A77,[0]!Data,133,FALSE)</f>
        <v>646</v>
      </c>
      <c r="J77" s="192">
        <f>VLOOKUP($A77,[0]!Data,134,FALSE)</f>
        <v>0</v>
      </c>
      <c r="K77" s="192">
        <f>VLOOKUP($A77,[0]!Data,135,FALSE)</f>
        <v>646</v>
      </c>
      <c r="L77" s="192">
        <f>VLOOKUP($A77,[0]!Data,136,FALSE)</f>
        <v>173747</v>
      </c>
      <c r="M77" s="194">
        <f>VLOOKUP($A77,[0]!Data,137,FALSE)</f>
        <v>2444384</v>
      </c>
    </row>
    <row r="78" spans="1:13" x14ac:dyDescent="0.25">
      <c r="A78" s="203" t="s">
        <v>1172</v>
      </c>
      <c r="B78" s="203" t="s">
        <v>1571</v>
      </c>
      <c r="C78" s="192">
        <f>VLOOKUP($A78,[0]!Data,127,FALSE)</f>
        <v>0</v>
      </c>
      <c r="D78" s="192">
        <f>VLOOKUP($A78,[0]!Data,128,FALSE)</f>
        <v>621002</v>
      </c>
      <c r="E78" s="192">
        <f>VLOOKUP($A78,[0]!Data,129,FALSE)</f>
        <v>621002</v>
      </c>
      <c r="F78" s="192">
        <f>VLOOKUP($A78,[0]!Data,130,FALSE)</f>
        <v>356715</v>
      </c>
      <c r="G78" s="192">
        <f>VLOOKUP($A78,[0]!Data,131,FALSE)</f>
        <v>0</v>
      </c>
      <c r="H78" s="192">
        <f>VLOOKUP($A78,[0]!Data,132,FALSE)</f>
        <v>356715</v>
      </c>
      <c r="I78" s="192">
        <f>VLOOKUP($A78,[0]!Data,133,FALSE)</f>
        <v>1200</v>
      </c>
      <c r="J78" s="192">
        <f>VLOOKUP($A78,[0]!Data,134,FALSE)</f>
        <v>0</v>
      </c>
      <c r="K78" s="192">
        <f>VLOOKUP($A78,[0]!Data,135,FALSE)</f>
        <v>1200</v>
      </c>
      <c r="L78" s="192">
        <f>VLOOKUP($A78,[0]!Data,136,FALSE)</f>
        <v>119006</v>
      </c>
      <c r="M78" s="194">
        <f>VLOOKUP($A78,[0]!Data,137,FALSE)</f>
        <v>1097923</v>
      </c>
    </row>
    <row r="79" spans="1:13" x14ac:dyDescent="0.25">
      <c r="A79" s="203" t="s">
        <v>1305</v>
      </c>
      <c r="B79" s="203" t="s">
        <v>1572</v>
      </c>
      <c r="C79" s="192">
        <f>VLOOKUP($A79,[0]!Data,127,FALSE)</f>
        <v>163981</v>
      </c>
      <c r="D79" s="192">
        <f>VLOOKUP($A79,[0]!Data,128,FALSE)</f>
        <v>1746669</v>
      </c>
      <c r="E79" s="192">
        <f>VLOOKUP($A79,[0]!Data,129,FALSE)</f>
        <v>1910650</v>
      </c>
      <c r="F79" s="192">
        <f>VLOOKUP($A79,[0]!Data,130,FALSE)</f>
        <v>552813</v>
      </c>
      <c r="G79" s="192">
        <f>VLOOKUP($A79,[0]!Data,131,FALSE)</f>
        <v>14998</v>
      </c>
      <c r="H79" s="192">
        <f>VLOOKUP($A79,[0]!Data,132,FALSE)</f>
        <v>567811</v>
      </c>
      <c r="I79" s="192">
        <f>VLOOKUP($A79,[0]!Data,133,FALSE)</f>
        <v>49697</v>
      </c>
      <c r="J79" s="192">
        <f>VLOOKUP($A79,[0]!Data,134,FALSE)</f>
        <v>71662</v>
      </c>
      <c r="K79" s="192">
        <f>VLOOKUP($A79,[0]!Data,135,FALSE)</f>
        <v>121359</v>
      </c>
      <c r="L79" s="192">
        <f>VLOOKUP($A79,[0]!Data,136,FALSE)</f>
        <v>142641</v>
      </c>
      <c r="M79" s="194">
        <f>VLOOKUP($A79,[0]!Data,137,FALSE)</f>
        <v>2742461</v>
      </c>
    </row>
    <row r="80" spans="1:13" ht="15.75" thickBot="1" x14ac:dyDescent="0.3">
      <c r="A80" s="599" t="s">
        <v>1462</v>
      </c>
      <c r="B80" s="600"/>
      <c r="C80" s="197">
        <f t="shared" ref="C80:M80" si="1">SUM(C68:C79)</f>
        <v>1812759</v>
      </c>
      <c r="D80" s="197">
        <f t="shared" si="1"/>
        <v>15015812</v>
      </c>
      <c r="E80" s="197">
        <f t="shared" si="1"/>
        <v>16828571</v>
      </c>
      <c r="F80" s="197">
        <f t="shared" si="1"/>
        <v>4477230</v>
      </c>
      <c r="G80" s="197">
        <f t="shared" si="1"/>
        <v>106406</v>
      </c>
      <c r="H80" s="197">
        <f t="shared" si="1"/>
        <v>4583636</v>
      </c>
      <c r="I80" s="197">
        <f t="shared" si="1"/>
        <v>297180</v>
      </c>
      <c r="J80" s="197">
        <f t="shared" si="1"/>
        <v>71662</v>
      </c>
      <c r="K80" s="197">
        <f t="shared" si="1"/>
        <v>368842</v>
      </c>
      <c r="L80" s="197">
        <f t="shared" si="1"/>
        <v>2928160</v>
      </c>
      <c r="M80" s="198">
        <f t="shared" si="1"/>
        <v>24709209</v>
      </c>
    </row>
    <row r="81" spans="1:13" ht="16.5" thickTop="1" thickBot="1" x14ac:dyDescent="0.3">
      <c r="A81" s="54"/>
      <c r="B81" s="31" t="s">
        <v>1456</v>
      </c>
      <c r="C81" s="199"/>
      <c r="D81" s="199"/>
      <c r="E81" s="199"/>
      <c r="F81" s="200"/>
      <c r="G81" s="200"/>
      <c r="H81" s="200"/>
      <c r="I81" s="200"/>
      <c r="J81" s="201"/>
      <c r="K81" s="201"/>
      <c r="L81" s="201"/>
      <c r="M81" s="202"/>
    </row>
    <row r="82" spans="1:13" ht="16.5" customHeight="1" thickTop="1" x14ac:dyDescent="0.25">
      <c r="A82" s="51" t="s">
        <v>557</v>
      </c>
      <c r="B82" s="51" t="s">
        <v>1573</v>
      </c>
      <c r="C82" s="192">
        <f>VLOOKUP($A82,[0]!Data,127,FALSE)</f>
        <v>2077373</v>
      </c>
      <c r="D82" s="192">
        <f>VLOOKUP($A82,[0]!Data,128,FALSE)</f>
        <v>568139</v>
      </c>
      <c r="E82" s="192">
        <f>VLOOKUP($A82,[0]!Data,129,FALSE)</f>
        <v>2645512</v>
      </c>
      <c r="F82" s="192">
        <f>VLOOKUP($A82,[0]!Data,130,FALSE)</f>
        <v>29102</v>
      </c>
      <c r="G82" s="192">
        <f>VLOOKUP($A82,[0]!Data,131,FALSE)</f>
        <v>0</v>
      </c>
      <c r="H82" s="192">
        <f>VLOOKUP($A82,[0]!Data,132,FALSE)</f>
        <v>29102</v>
      </c>
      <c r="I82" s="192">
        <f>VLOOKUP($A82,[0]!Data,133,FALSE)</f>
        <v>91152</v>
      </c>
      <c r="J82" s="192">
        <f>VLOOKUP($A82,[0]!Data,134,FALSE)</f>
        <v>0</v>
      </c>
      <c r="K82" s="192">
        <f>VLOOKUP($A82,[0]!Data,135,FALSE)</f>
        <v>91152</v>
      </c>
      <c r="L82" s="192">
        <f>VLOOKUP($A82,[0]!Data,136,FALSE)</f>
        <v>198842</v>
      </c>
      <c r="M82" s="194">
        <f>VLOOKUP($A82,[0]!Data,137,FALSE)</f>
        <v>2964608</v>
      </c>
    </row>
    <row r="83" spans="1:13" ht="16.5" customHeight="1" x14ac:dyDescent="0.25">
      <c r="A83" s="51" t="s">
        <v>946</v>
      </c>
      <c r="B83" s="51" t="s">
        <v>1457</v>
      </c>
      <c r="C83" s="192">
        <f>VLOOKUP($A83,[0]!Data,127,FALSE)</f>
        <v>517919</v>
      </c>
      <c r="D83" s="192">
        <f>VLOOKUP($A83,[0]!Data,128,FALSE)</f>
        <v>0</v>
      </c>
      <c r="E83" s="192">
        <f>VLOOKUP($A83,[0]!Data,129,FALSE)</f>
        <v>517919</v>
      </c>
      <c r="F83" s="192">
        <f>VLOOKUP($A83,[0]!Data,130,FALSE)</f>
        <v>11180</v>
      </c>
      <c r="G83" s="192">
        <f>VLOOKUP($A83,[0]!Data,131,FALSE)</f>
        <v>0</v>
      </c>
      <c r="H83" s="192">
        <f>VLOOKUP($A83,[0]!Data,132,FALSE)</f>
        <v>11180</v>
      </c>
      <c r="I83" s="192">
        <f>VLOOKUP($A83,[0]!Data,133,FALSE)</f>
        <v>0</v>
      </c>
      <c r="J83" s="192">
        <f>VLOOKUP($A83,[0]!Data,134,FALSE)</f>
        <v>0</v>
      </c>
      <c r="K83" s="192">
        <f>VLOOKUP($A83,[0]!Data,135,FALSE)</f>
        <v>0</v>
      </c>
      <c r="L83" s="192">
        <f>VLOOKUP($A83,[0]!Data,136,FALSE)</f>
        <v>0</v>
      </c>
      <c r="M83" s="194">
        <f>VLOOKUP($A83,[0]!Data,137,FALSE)</f>
        <v>529099</v>
      </c>
    </row>
    <row r="84" spans="1:13" x14ac:dyDescent="0.25">
      <c r="A84" s="51" t="s">
        <v>743</v>
      </c>
      <c r="B84" s="51" t="s">
        <v>1574</v>
      </c>
      <c r="C84" s="192">
        <f>VLOOKUP($A84,[0]!Data,127,FALSE)</f>
        <v>299091</v>
      </c>
      <c r="D84" s="192">
        <f>VLOOKUP($A84,[0]!Data,128,FALSE)</f>
        <v>5000</v>
      </c>
      <c r="E84" s="192">
        <f>VLOOKUP($A84,[0]!Data,129,FALSE)</f>
        <v>304091</v>
      </c>
      <c r="F84" s="192">
        <f>VLOOKUP($A84,[0]!Data,130,FALSE)</f>
        <v>4465</v>
      </c>
      <c r="G84" s="192">
        <f>VLOOKUP($A84,[0]!Data,131,FALSE)</f>
        <v>0</v>
      </c>
      <c r="H84" s="192">
        <f>VLOOKUP($A84,[0]!Data,132,FALSE)</f>
        <v>4465</v>
      </c>
      <c r="I84" s="192">
        <f>VLOOKUP($A84,[0]!Data,133,FALSE)</f>
        <v>750</v>
      </c>
      <c r="J84" s="192">
        <f>VLOOKUP($A84,[0]!Data,134,FALSE)</f>
        <v>0</v>
      </c>
      <c r="K84" s="192">
        <f>VLOOKUP($A84,[0]!Data,135,FALSE)</f>
        <v>750</v>
      </c>
      <c r="L84" s="192">
        <f>VLOOKUP($A84,[0]!Data,136,FALSE)</f>
        <v>0</v>
      </c>
      <c r="M84" s="194">
        <f>VLOOKUP($A84,[0]!Data,137,FALSE)</f>
        <v>309306</v>
      </c>
    </row>
    <row r="85" spans="1:13" x14ac:dyDescent="0.25">
      <c r="A85" s="51" t="s">
        <v>917</v>
      </c>
      <c r="B85" s="51" t="s">
        <v>1575</v>
      </c>
      <c r="C85" s="192">
        <f>VLOOKUP($A85,[0]!Data,127,FALSE)</f>
        <v>1468535</v>
      </c>
      <c r="D85" s="192">
        <f>VLOOKUP($A85,[0]!Data,128,FALSE)</f>
        <v>213000</v>
      </c>
      <c r="E85" s="192">
        <f>VLOOKUP($A85,[0]!Data,129,FALSE)</f>
        <v>1681535</v>
      </c>
      <c r="F85" s="192">
        <f>VLOOKUP($A85,[0]!Data,130,FALSE)</f>
        <v>27717</v>
      </c>
      <c r="G85" s="192">
        <f>VLOOKUP($A85,[0]!Data,131,FALSE)</f>
        <v>0</v>
      </c>
      <c r="H85" s="192">
        <f>VLOOKUP($A85,[0]!Data,132,FALSE)</f>
        <v>27717</v>
      </c>
      <c r="I85" s="192">
        <f>VLOOKUP($A85,[0]!Data,133,FALSE)</f>
        <v>4780</v>
      </c>
      <c r="J85" s="192">
        <f>VLOOKUP($A85,[0]!Data,134,FALSE)</f>
        <v>0</v>
      </c>
      <c r="K85" s="192">
        <f>VLOOKUP($A85,[0]!Data,135,FALSE)</f>
        <v>4780</v>
      </c>
      <c r="L85" s="192">
        <f>VLOOKUP($A85,[0]!Data,136,FALSE)</f>
        <v>93223</v>
      </c>
      <c r="M85" s="194">
        <f>VLOOKUP($A85,[0]!Data,137,FALSE)</f>
        <v>1807255</v>
      </c>
    </row>
    <row r="86" spans="1:13" x14ac:dyDescent="0.25">
      <c r="A86" s="51" t="s">
        <v>932</v>
      </c>
      <c r="B86" s="51" t="s">
        <v>1576</v>
      </c>
      <c r="C86" s="192">
        <f>VLOOKUP($A86,[0]!Data,127,FALSE)</f>
        <v>4396949</v>
      </c>
      <c r="D86" s="192">
        <f>VLOOKUP($A86,[0]!Data,128,FALSE)</f>
        <v>359960</v>
      </c>
      <c r="E86" s="192">
        <f>VLOOKUP($A86,[0]!Data,129,FALSE)</f>
        <v>4756909</v>
      </c>
      <c r="F86" s="192">
        <f>VLOOKUP($A86,[0]!Data,130,FALSE)</f>
        <v>82308</v>
      </c>
      <c r="G86" s="192">
        <f>VLOOKUP($A86,[0]!Data,131,FALSE)</f>
        <v>0</v>
      </c>
      <c r="H86" s="192">
        <f>VLOOKUP($A86,[0]!Data,132,FALSE)</f>
        <v>82308</v>
      </c>
      <c r="I86" s="192">
        <f>VLOOKUP($A86,[0]!Data,133,FALSE)</f>
        <v>4943</v>
      </c>
      <c r="J86" s="192">
        <f>VLOOKUP($A86,[0]!Data,134,FALSE)</f>
        <v>0</v>
      </c>
      <c r="K86" s="192">
        <f>VLOOKUP($A86,[0]!Data,135,FALSE)</f>
        <v>4943</v>
      </c>
      <c r="L86" s="192">
        <f>VLOOKUP($A86,[0]!Data,136,FALSE)</f>
        <v>0</v>
      </c>
      <c r="M86" s="194">
        <f>VLOOKUP($A86,[0]!Data,137,FALSE)</f>
        <v>4844160</v>
      </c>
    </row>
    <row r="87" spans="1:13" x14ac:dyDescent="0.25">
      <c r="A87" s="51" t="s">
        <v>970</v>
      </c>
      <c r="B87" s="51" t="s">
        <v>1577</v>
      </c>
      <c r="C87" s="192">
        <f>VLOOKUP($A87,[0]!Data,127,FALSE)</f>
        <v>637282</v>
      </c>
      <c r="D87" s="192">
        <f>VLOOKUP($A87,[0]!Data,128,FALSE)</f>
        <v>68000</v>
      </c>
      <c r="E87" s="192">
        <f>VLOOKUP($A87,[0]!Data,129,FALSE)</f>
        <v>705282</v>
      </c>
      <c r="F87" s="192">
        <f>VLOOKUP($A87,[0]!Data,130,FALSE)</f>
        <v>9509</v>
      </c>
      <c r="G87" s="192">
        <f>VLOOKUP($A87,[0]!Data,131,FALSE)</f>
        <v>0</v>
      </c>
      <c r="H87" s="192">
        <f>VLOOKUP($A87,[0]!Data,132,FALSE)</f>
        <v>9509</v>
      </c>
      <c r="I87" s="192">
        <f>VLOOKUP($A87,[0]!Data,133,FALSE)</f>
        <v>43868</v>
      </c>
      <c r="J87" s="192">
        <f>VLOOKUP($A87,[0]!Data,134,FALSE)</f>
        <v>0</v>
      </c>
      <c r="K87" s="192">
        <f>VLOOKUP($A87,[0]!Data,135,FALSE)</f>
        <v>43868</v>
      </c>
      <c r="L87" s="192">
        <f>VLOOKUP($A87,[0]!Data,136,FALSE)</f>
        <v>0</v>
      </c>
      <c r="M87" s="194">
        <f>VLOOKUP($A87,[0]!Data,137,FALSE)</f>
        <v>758659</v>
      </c>
    </row>
    <row r="88" spans="1:13" x14ac:dyDescent="0.25">
      <c r="A88" s="51" t="s">
        <v>1033</v>
      </c>
      <c r="B88" s="51" t="s">
        <v>1578</v>
      </c>
      <c r="C88" s="192">
        <f>VLOOKUP($A88,[0]!Data,127,FALSE)</f>
        <v>621526</v>
      </c>
      <c r="D88" s="192">
        <f>VLOOKUP($A88,[0]!Data,128,FALSE)</f>
        <v>1274532</v>
      </c>
      <c r="E88" s="192">
        <f>VLOOKUP($A88,[0]!Data,129,FALSE)</f>
        <v>1896058</v>
      </c>
      <c r="F88" s="192">
        <f>VLOOKUP($A88,[0]!Data,130,FALSE)</f>
        <v>23984</v>
      </c>
      <c r="G88" s="192">
        <f>VLOOKUP($A88,[0]!Data,131,FALSE)</f>
        <v>0</v>
      </c>
      <c r="H88" s="192">
        <f>VLOOKUP($A88,[0]!Data,132,FALSE)</f>
        <v>23984</v>
      </c>
      <c r="I88" s="192">
        <f>VLOOKUP($A88,[0]!Data,133,FALSE)</f>
        <v>0</v>
      </c>
      <c r="J88" s="192">
        <f>VLOOKUP($A88,[0]!Data,134,FALSE)</f>
        <v>0</v>
      </c>
      <c r="K88" s="192">
        <f>VLOOKUP($A88,[0]!Data,135,FALSE)</f>
        <v>0</v>
      </c>
      <c r="L88" s="192">
        <f>VLOOKUP($A88,[0]!Data,136,FALSE)</f>
        <v>88162</v>
      </c>
      <c r="M88" s="194">
        <f>VLOOKUP($A88,[0]!Data,137,FALSE)</f>
        <v>2008204</v>
      </c>
    </row>
    <row r="89" spans="1:13" x14ac:dyDescent="0.25">
      <c r="A89" s="51" t="s">
        <v>884</v>
      </c>
      <c r="B89" s="51" t="s">
        <v>1579</v>
      </c>
      <c r="C89" s="192">
        <f>VLOOKUP($A89,[0]!Data,127,FALSE)</f>
        <v>195454</v>
      </c>
      <c r="D89" s="192">
        <f>VLOOKUP($A89,[0]!Data,128,FALSE)</f>
        <v>0</v>
      </c>
      <c r="E89" s="192">
        <f>VLOOKUP($A89,[0]!Data,129,FALSE)</f>
        <v>195454</v>
      </c>
      <c r="F89" s="192">
        <f>VLOOKUP($A89,[0]!Data,130,FALSE)</f>
        <v>3900</v>
      </c>
      <c r="G89" s="192">
        <f>VLOOKUP($A89,[0]!Data,131,FALSE)</f>
        <v>0</v>
      </c>
      <c r="H89" s="192">
        <f>VLOOKUP($A89,[0]!Data,132,FALSE)</f>
        <v>3900</v>
      </c>
      <c r="I89" s="192">
        <f>VLOOKUP($A89,[0]!Data,133,FALSE)</f>
        <v>0</v>
      </c>
      <c r="J89" s="192">
        <f>VLOOKUP($A89,[0]!Data,134,FALSE)</f>
        <v>0</v>
      </c>
      <c r="K89" s="192">
        <f>VLOOKUP($A89,[0]!Data,135,FALSE)</f>
        <v>0</v>
      </c>
      <c r="L89" s="192">
        <f>VLOOKUP($A89,[0]!Data,136,FALSE)</f>
        <v>0</v>
      </c>
      <c r="M89" s="194">
        <f>VLOOKUP($A89,[0]!Data,137,FALSE)</f>
        <v>199354</v>
      </c>
    </row>
    <row r="90" spans="1:13" x14ac:dyDescent="0.25">
      <c r="A90" s="51" t="s">
        <v>1224</v>
      </c>
      <c r="B90" s="51" t="s">
        <v>1580</v>
      </c>
      <c r="C90" s="192">
        <f>VLOOKUP($A90,[0]!Data,127,FALSE)</f>
        <v>264242</v>
      </c>
      <c r="D90" s="192">
        <f>VLOOKUP($A90,[0]!Data,128,FALSE)</f>
        <v>0</v>
      </c>
      <c r="E90" s="192">
        <f>VLOOKUP($A90,[0]!Data,129,FALSE)</f>
        <v>264242</v>
      </c>
      <c r="F90" s="192">
        <f>VLOOKUP($A90,[0]!Data,130,FALSE)</f>
        <v>13959</v>
      </c>
      <c r="G90" s="192">
        <f>VLOOKUP($A90,[0]!Data,131,FALSE)</f>
        <v>0</v>
      </c>
      <c r="H90" s="192">
        <f>VLOOKUP($A90,[0]!Data,132,FALSE)</f>
        <v>13959</v>
      </c>
      <c r="I90" s="192">
        <f>VLOOKUP($A90,[0]!Data,133,FALSE)</f>
        <v>3128</v>
      </c>
      <c r="J90" s="192">
        <f>VLOOKUP($A90,[0]!Data,134,FALSE)</f>
        <v>0</v>
      </c>
      <c r="K90" s="192">
        <f>VLOOKUP($A90,[0]!Data,135,FALSE)</f>
        <v>3128</v>
      </c>
      <c r="L90" s="192">
        <f>VLOOKUP($A90,[0]!Data,136,FALSE)</f>
        <v>1781</v>
      </c>
      <c r="M90" s="194">
        <f>VLOOKUP($A90,[0]!Data,137,FALSE)</f>
        <v>283110</v>
      </c>
    </row>
    <row r="91" spans="1:13" x14ac:dyDescent="0.25">
      <c r="A91" s="51" t="s">
        <v>1346</v>
      </c>
      <c r="B91" s="51" t="s">
        <v>1581</v>
      </c>
      <c r="C91" s="192">
        <f>VLOOKUP($A91,[0]!Data,127,FALSE)</f>
        <v>765259</v>
      </c>
      <c r="D91" s="192">
        <f>VLOOKUP($A91,[0]!Data,128,FALSE)</f>
        <v>0</v>
      </c>
      <c r="E91" s="192">
        <f>VLOOKUP($A91,[0]!Data,129,FALSE)</f>
        <v>765259</v>
      </c>
      <c r="F91" s="192">
        <f>VLOOKUP($A91,[0]!Data,130,FALSE)</f>
        <v>6382</v>
      </c>
      <c r="G91" s="192">
        <f>VLOOKUP($A91,[0]!Data,131,FALSE)</f>
        <v>0</v>
      </c>
      <c r="H91" s="192">
        <f>VLOOKUP($A91,[0]!Data,132,FALSE)</f>
        <v>6382</v>
      </c>
      <c r="I91" s="192">
        <f>VLOOKUP($A91,[0]!Data,133,FALSE)</f>
        <v>0</v>
      </c>
      <c r="J91" s="192">
        <f>VLOOKUP($A91,[0]!Data,134,FALSE)</f>
        <v>0</v>
      </c>
      <c r="K91" s="192">
        <f>VLOOKUP($A91,[0]!Data,135,FALSE)</f>
        <v>0</v>
      </c>
      <c r="L91" s="192">
        <f>VLOOKUP($A91,[0]!Data,136,FALSE)</f>
        <v>44682</v>
      </c>
      <c r="M91" s="194">
        <f>VLOOKUP($A91,[0]!Data,137,FALSE)</f>
        <v>816323</v>
      </c>
    </row>
    <row r="92" spans="1:13" x14ac:dyDescent="0.25">
      <c r="A92" s="51" t="s">
        <v>819</v>
      </c>
      <c r="B92" s="51" t="s">
        <v>1582</v>
      </c>
      <c r="C92" s="192">
        <f>VLOOKUP($A92,[0]!Data,127,FALSE)</f>
        <v>410814</v>
      </c>
      <c r="D92" s="192">
        <f>VLOOKUP($A92,[0]!Data,128,FALSE)</f>
        <v>7800</v>
      </c>
      <c r="E92" s="192">
        <f>VLOOKUP($A92,[0]!Data,129,FALSE)</f>
        <v>418614</v>
      </c>
      <c r="F92" s="192">
        <f>VLOOKUP($A92,[0]!Data,130,FALSE)</f>
        <v>9327</v>
      </c>
      <c r="G92" s="192">
        <f>VLOOKUP($A92,[0]!Data,131,FALSE)</f>
        <v>4566</v>
      </c>
      <c r="H92" s="192">
        <f>VLOOKUP($A92,[0]!Data,132,FALSE)</f>
        <v>13893</v>
      </c>
      <c r="I92" s="192">
        <f>VLOOKUP($A92,[0]!Data,133,FALSE)</f>
        <v>750</v>
      </c>
      <c r="J92" s="192">
        <f>VLOOKUP($A92,[0]!Data,134,FALSE)</f>
        <v>0</v>
      </c>
      <c r="K92" s="192">
        <f>VLOOKUP($A92,[0]!Data,135,FALSE)</f>
        <v>750</v>
      </c>
      <c r="L92" s="192">
        <f>VLOOKUP($A92,[0]!Data,136,FALSE)</f>
        <v>21500</v>
      </c>
      <c r="M92" s="194">
        <f>VLOOKUP($A92,[0]!Data,137,FALSE)</f>
        <v>454757</v>
      </c>
    </row>
    <row r="93" spans="1:13" x14ac:dyDescent="0.25">
      <c r="A93" s="635" t="s">
        <v>1462</v>
      </c>
      <c r="B93" s="636"/>
      <c r="C93" s="204">
        <f>SUM(C82:C92)</f>
        <v>11654444</v>
      </c>
      <c r="D93" s="205">
        <f t="shared" ref="D93:L93" si="2">SUM(D82:D92)</f>
        <v>2496431</v>
      </c>
      <c r="E93" s="205">
        <f t="shared" si="2"/>
        <v>14150875</v>
      </c>
      <c r="F93" s="205">
        <f t="shared" si="2"/>
        <v>221833</v>
      </c>
      <c r="G93" s="205">
        <f t="shared" si="2"/>
        <v>4566</v>
      </c>
      <c r="H93" s="205">
        <f t="shared" si="2"/>
        <v>226399</v>
      </c>
      <c r="I93" s="205">
        <f t="shared" si="2"/>
        <v>149371</v>
      </c>
      <c r="J93" s="205">
        <f t="shared" si="2"/>
        <v>0</v>
      </c>
      <c r="K93" s="205">
        <f t="shared" si="2"/>
        <v>149371</v>
      </c>
      <c r="L93" s="205">
        <f t="shared" si="2"/>
        <v>448190</v>
      </c>
      <c r="M93" s="206">
        <f>SUM(M82:M92)</f>
        <v>14974835</v>
      </c>
    </row>
    <row r="94" spans="1:13" ht="15.75" thickBot="1" x14ac:dyDescent="0.3">
      <c r="A94" s="19"/>
      <c r="B94" s="61"/>
      <c r="C94" s="199"/>
      <c r="D94" s="199"/>
      <c r="E94" s="199"/>
      <c r="F94" s="200"/>
      <c r="G94" s="200"/>
      <c r="H94" s="200"/>
      <c r="I94" s="200"/>
      <c r="J94" s="201"/>
      <c r="K94" s="201"/>
      <c r="L94" s="201"/>
      <c r="M94" s="202"/>
    </row>
    <row r="95" spans="1:13" s="86" customFormat="1" ht="13.5" thickTop="1" x14ac:dyDescent="0.2">
      <c r="A95" s="605" t="s">
        <v>1499</v>
      </c>
      <c r="B95" s="606"/>
      <c r="C95" s="207">
        <f t="shared" ref="C95:M95" si="3">SUM(C93,C80,C66)</f>
        <v>25469591</v>
      </c>
      <c r="D95" s="208">
        <f t="shared" si="3"/>
        <v>173529444</v>
      </c>
      <c r="E95" s="208">
        <f t="shared" si="3"/>
        <v>198999035</v>
      </c>
      <c r="F95" s="208">
        <f t="shared" si="3"/>
        <v>14207033</v>
      </c>
      <c r="G95" s="208">
        <f t="shared" si="3"/>
        <v>466708</v>
      </c>
      <c r="H95" s="208">
        <f t="shared" si="3"/>
        <v>14673741</v>
      </c>
      <c r="I95" s="208">
        <f t="shared" si="3"/>
        <v>1647733</v>
      </c>
      <c r="J95" s="208">
        <f t="shared" si="3"/>
        <v>163700</v>
      </c>
      <c r="K95" s="208">
        <f t="shared" si="3"/>
        <v>1811433</v>
      </c>
      <c r="L95" s="208">
        <f t="shared" si="3"/>
        <v>10272593</v>
      </c>
      <c r="M95" s="209">
        <f t="shared" si="3"/>
        <v>225756802</v>
      </c>
    </row>
  </sheetData>
  <mergeCells count="7">
    <mergeCell ref="A95:B95"/>
    <mergeCell ref="B4:B5"/>
    <mergeCell ref="A7:B7"/>
    <mergeCell ref="A66:B66"/>
    <mergeCell ref="A67:B67"/>
    <mergeCell ref="A80:B80"/>
    <mergeCell ref="A93:B9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98"/>
  <sheetViews>
    <sheetView topLeftCell="A31" workbookViewId="0">
      <selection activeCell="I8" sqref="I8"/>
    </sheetView>
  </sheetViews>
  <sheetFormatPr defaultColWidth="8.85546875" defaultRowHeight="15.75" x14ac:dyDescent="0.25"/>
  <cols>
    <col min="1" max="1" width="7.42578125" style="248" customWidth="1"/>
    <col min="2" max="2" width="23.42578125" style="248" customWidth="1"/>
    <col min="3" max="3" width="13.28515625" style="249" customWidth="1"/>
    <col min="4" max="4" width="15.85546875" style="249" customWidth="1"/>
    <col min="5" max="5" width="13.28515625" style="249" customWidth="1"/>
    <col min="6" max="6" width="14.85546875" style="250" customWidth="1"/>
    <col min="7" max="7" width="10.7109375" style="250" customWidth="1"/>
    <col min="8" max="8" width="10.28515625" style="250" customWidth="1"/>
    <col min="9" max="9" width="14.42578125" style="250" customWidth="1"/>
  </cols>
  <sheetData>
    <row r="1" spans="1:10" x14ac:dyDescent="0.25">
      <c r="A1" s="127"/>
      <c r="B1" s="128"/>
      <c r="C1" s="130"/>
      <c r="D1" s="130"/>
      <c r="E1" s="130"/>
      <c r="F1" s="128"/>
      <c r="G1" s="128"/>
      <c r="H1" s="128"/>
      <c r="I1" s="11" t="s">
        <v>1758</v>
      </c>
    </row>
    <row r="2" spans="1:10" x14ac:dyDescent="0.25">
      <c r="A2" s="13" t="s">
        <v>1500</v>
      </c>
      <c r="B2" s="14"/>
      <c r="C2" s="132"/>
      <c r="D2" s="132"/>
      <c r="E2" s="132"/>
      <c r="F2" s="14"/>
      <c r="G2" s="14"/>
      <c r="H2" s="14"/>
      <c r="I2" s="18" t="s">
        <v>1759</v>
      </c>
    </row>
    <row r="3" spans="1:10" ht="16.5" thickBot="1" x14ac:dyDescent="0.3">
      <c r="A3" s="134"/>
      <c r="B3" s="14"/>
      <c r="C3" s="132"/>
      <c r="D3" s="132"/>
      <c r="E3" s="132"/>
      <c r="F3" s="14"/>
      <c r="G3" s="14"/>
      <c r="H3" s="14"/>
      <c r="I3" s="213"/>
    </row>
    <row r="4" spans="1:10" s="219" customFormat="1" thickTop="1" x14ac:dyDescent="0.25">
      <c r="A4" s="214"/>
      <c r="B4" s="612"/>
      <c r="C4" s="215" t="s">
        <v>1501</v>
      </c>
      <c r="D4" s="216"/>
      <c r="E4" s="215" t="s">
        <v>1493</v>
      </c>
      <c r="F4" s="217"/>
      <c r="G4" s="217"/>
      <c r="H4" s="217"/>
      <c r="I4" s="218"/>
      <c r="J4" s="136"/>
    </row>
    <row r="5" spans="1:10" s="219" customFormat="1" ht="15" x14ac:dyDescent="0.25">
      <c r="A5" s="220"/>
      <c r="B5" s="613"/>
      <c r="C5" s="221" t="s">
        <v>1502</v>
      </c>
      <c r="D5" s="222" t="s">
        <v>1494</v>
      </c>
      <c r="E5" s="221" t="s">
        <v>1502</v>
      </c>
      <c r="F5" s="223" t="s">
        <v>1503</v>
      </c>
      <c r="G5" s="223"/>
      <c r="H5" s="224"/>
      <c r="I5" s="225"/>
      <c r="J5" s="136"/>
    </row>
    <row r="6" spans="1:10" s="219" customFormat="1" thickBot="1" x14ac:dyDescent="0.3">
      <c r="A6" s="210"/>
      <c r="B6" s="614"/>
      <c r="C6" s="226" t="s">
        <v>1504</v>
      </c>
      <c r="D6" s="226" t="s">
        <v>1504</v>
      </c>
      <c r="E6" s="226" t="s">
        <v>1504</v>
      </c>
      <c r="F6" s="227" t="s">
        <v>1501</v>
      </c>
      <c r="G6" s="227" t="s">
        <v>1494</v>
      </c>
      <c r="H6" s="228" t="s">
        <v>1505</v>
      </c>
      <c r="I6" s="227" t="s">
        <v>469</v>
      </c>
      <c r="J6" s="136"/>
    </row>
    <row r="7" spans="1:10" ht="16.5" thickTop="1" thickBot="1" x14ac:dyDescent="0.3">
      <c r="A7" s="30"/>
      <c r="B7" s="31" t="s">
        <v>1452</v>
      </c>
      <c r="C7" s="144"/>
      <c r="D7" s="144"/>
      <c r="E7" s="144"/>
      <c r="F7" s="189"/>
      <c r="G7" s="189"/>
      <c r="H7" s="189"/>
      <c r="I7" s="104"/>
      <c r="J7" s="12"/>
    </row>
    <row r="8" spans="1:10" thickTop="1" x14ac:dyDescent="0.25">
      <c r="A8" s="36" t="s">
        <v>340</v>
      </c>
      <c r="B8" s="36" t="s">
        <v>1506</v>
      </c>
      <c r="C8" s="211">
        <f>'Table  4'!E8/'Table 1'!D8</f>
        <v>16.532693299131111</v>
      </c>
      <c r="D8" s="211">
        <f>'Table  4'!H8/'Table 1'!D8</f>
        <v>1.1352433764633394</v>
      </c>
      <c r="E8" s="211">
        <f>SUM(C8:D8)</f>
        <v>17.667936675594451</v>
      </c>
      <c r="F8" s="212">
        <f>'Table  4'!E8/'Table  4'!M8</f>
        <v>0.88402480092060454</v>
      </c>
      <c r="G8" s="212">
        <f>'Table  4'!H8/'Table  4'!M8</f>
        <v>6.0702952732280026E-2</v>
      </c>
      <c r="H8" s="212">
        <f>'Table  4'!K8/'Table  4'!M8</f>
        <v>2.0164279372426305E-2</v>
      </c>
      <c r="I8" s="116">
        <f>'Table  4'!L8/'Table  4'!M8</f>
        <v>3.5107966974689091E-2</v>
      </c>
      <c r="J8" s="12"/>
    </row>
    <row r="9" spans="1:10" ht="15" x14ac:dyDescent="0.25">
      <c r="A9" s="36" t="s">
        <v>381</v>
      </c>
      <c r="B9" s="36" t="s">
        <v>1507</v>
      </c>
      <c r="C9" s="211">
        <f>'Table  4'!E9/'Table 1'!D9</f>
        <v>12.85808692926549</v>
      </c>
      <c r="D9" s="211">
        <f>'Table  4'!H9/'Table 1'!D9</f>
        <v>2.5020896458050359</v>
      </c>
      <c r="E9" s="211">
        <f t="shared" ref="E9:E65" si="0">SUM(C9:D9)</f>
        <v>15.360176575070525</v>
      </c>
      <c r="F9" s="212">
        <f>'Table  4'!E9/'Table  4'!M9</f>
        <v>0.80448148051302837</v>
      </c>
      <c r="G9" s="212">
        <f>'Table  4'!H9/'Table  4'!M9</f>
        <v>0.15654621046713821</v>
      </c>
      <c r="H9" s="212">
        <f>'Table  4'!K9/'Table  4'!M9</f>
        <v>1.9300665472563965E-2</v>
      </c>
      <c r="I9" s="116">
        <f>'Table  4'!L9/'Table  4'!M9</f>
        <v>1.9671643547269472E-2</v>
      </c>
      <c r="J9" s="12"/>
    </row>
    <row r="10" spans="1:10" ht="15" x14ac:dyDescent="0.25">
      <c r="A10" s="36" t="s">
        <v>442</v>
      </c>
      <c r="B10" s="36" t="s">
        <v>1508</v>
      </c>
      <c r="C10" s="211">
        <f>'Table  4'!E10/'Table 1'!D10</f>
        <v>11.795251968731069</v>
      </c>
      <c r="D10" s="211">
        <f>'Table  4'!H10/'Table 1'!D10</f>
        <v>2.6822338246747628</v>
      </c>
      <c r="E10" s="211">
        <f t="shared" si="0"/>
        <v>14.477485793405831</v>
      </c>
      <c r="F10" s="212">
        <f>'Table  4'!E10/'Table  4'!M10</f>
        <v>0.80847732085342638</v>
      </c>
      <c r="G10" s="212">
        <f>'Table  4'!H10/'Table  4'!M10</f>
        <v>0.18384729908476727</v>
      </c>
      <c r="H10" s="212">
        <f>'Table  4'!K10/'Table  4'!M10</f>
        <v>7.6753800618063837E-3</v>
      </c>
      <c r="I10" s="116">
        <f>'Table  4'!L10/'Table  4'!M10</f>
        <v>0</v>
      </c>
      <c r="J10" s="12"/>
    </row>
    <row r="11" spans="1:10" ht="15" x14ac:dyDescent="0.25">
      <c r="A11" s="36" t="s">
        <v>470</v>
      </c>
      <c r="B11" s="36" t="s">
        <v>1509</v>
      </c>
      <c r="C11" s="211">
        <f>'Table  4'!E11/'Table 1'!D11</f>
        <v>8.802450097847359</v>
      </c>
      <c r="D11" s="211">
        <f>'Table  4'!H11/'Table 1'!D11</f>
        <v>1.0955772994129158</v>
      </c>
      <c r="E11" s="211">
        <f t="shared" si="0"/>
        <v>9.8980273972602753</v>
      </c>
      <c r="F11" s="212">
        <f>'Table  4'!E11/'Table  4'!M11</f>
        <v>0.88931357174095449</v>
      </c>
      <c r="G11" s="212">
        <f>'Table  4'!H11/'Table  4'!M11</f>
        <v>0.11068642825904547</v>
      </c>
      <c r="H11" s="212">
        <f>'Table  4'!K11/'Table  4'!M11</f>
        <v>0</v>
      </c>
      <c r="I11" s="116">
        <f>'Table  4'!L11/'Table  4'!M11</f>
        <v>0</v>
      </c>
      <c r="J11" s="12"/>
    </row>
    <row r="12" spans="1:10" ht="15" x14ac:dyDescent="0.25">
      <c r="A12" s="36" t="s">
        <v>484</v>
      </c>
      <c r="B12" s="36" t="s">
        <v>1510</v>
      </c>
      <c r="C12" s="211">
        <f>'Table  4'!E12/'Table 1'!D12</f>
        <v>17.296065106847365</v>
      </c>
      <c r="D12" s="211">
        <f>'Table  4'!H12/'Table 1'!D12</f>
        <v>0.86867178006702628</v>
      </c>
      <c r="E12" s="211">
        <f t="shared" si="0"/>
        <v>18.16473688691439</v>
      </c>
      <c r="F12" s="212">
        <f>'Table  4'!E12/'Table  4'!M12</f>
        <v>0.89995483520083641</v>
      </c>
      <c r="G12" s="212">
        <f>'Table  4'!H12/'Table  4'!M12</f>
        <v>4.5199030175039269E-2</v>
      </c>
      <c r="H12" s="212">
        <f>'Table  4'!K12/'Table  4'!M12</f>
        <v>7.5491461678282058E-3</v>
      </c>
      <c r="I12" s="116">
        <f>'Table  4'!L12/'Table  4'!M12</f>
        <v>4.7296988456296159E-2</v>
      </c>
      <c r="J12" s="12"/>
    </row>
    <row r="13" spans="1:10" ht="15" x14ac:dyDescent="0.25">
      <c r="A13" s="36" t="s">
        <v>497</v>
      </c>
      <c r="B13" s="36" t="s">
        <v>1511</v>
      </c>
      <c r="C13" s="211">
        <f>'Table  4'!E13/'Table 1'!D13</f>
        <v>12.021126054352791</v>
      </c>
      <c r="D13" s="211">
        <f>'Table  4'!H13/'Table 1'!D13</f>
        <v>1.585423468193923</v>
      </c>
      <c r="E13" s="211">
        <f t="shared" si="0"/>
        <v>13.606549522546715</v>
      </c>
      <c r="F13" s="212">
        <f>'Table  4'!E13/'Table  4'!M13</f>
        <v>0.83332882757278282</v>
      </c>
      <c r="G13" s="212">
        <f>'Table  4'!H13/'Table  4'!M13</f>
        <v>0.10990476881972504</v>
      </c>
      <c r="H13" s="212">
        <f>'Table  4'!K13/'Table  4'!M13</f>
        <v>2.5570834804142312E-2</v>
      </c>
      <c r="I13" s="116">
        <f>'Table  4'!L13/'Table  4'!M13</f>
        <v>3.1195568803349814E-2</v>
      </c>
      <c r="J13" s="12"/>
    </row>
    <row r="14" spans="1:10" ht="15" x14ac:dyDescent="0.25">
      <c r="A14" s="36" t="s">
        <v>509</v>
      </c>
      <c r="B14" s="36" t="s">
        <v>1512</v>
      </c>
      <c r="C14" s="211">
        <f>'Table  4'!E14/'Table 1'!D14</f>
        <v>15.439288757767999</v>
      </c>
      <c r="D14" s="211">
        <f>'Table  4'!H14/'Table 1'!D14</f>
        <v>0.97288987008068251</v>
      </c>
      <c r="E14" s="211">
        <f t="shared" si="0"/>
        <v>16.412178627848682</v>
      </c>
      <c r="F14" s="212">
        <f>'Table  4'!E14/'Table  4'!M14</f>
        <v>0.94072146714087956</v>
      </c>
      <c r="G14" s="212">
        <f>'Table  4'!H14/'Table  4'!M14</f>
        <v>5.9278532859120457E-2</v>
      </c>
      <c r="H14" s="212">
        <f>'Table  4'!K14/'Table  4'!M14</f>
        <v>0</v>
      </c>
      <c r="I14" s="116">
        <f>'Table  4'!L14/'Table  4'!M14</f>
        <v>0</v>
      </c>
      <c r="J14" s="12"/>
    </row>
    <row r="15" spans="1:10" ht="15" x14ac:dyDescent="0.25">
      <c r="A15" s="36" t="s">
        <v>521</v>
      </c>
      <c r="B15" s="36" t="s">
        <v>1513</v>
      </c>
      <c r="C15" s="211">
        <f>'Table  4'!E15/'Table 1'!D15</f>
        <v>10.114809355820809</v>
      </c>
      <c r="D15" s="211">
        <f>'Table  4'!H15/'Table 1'!D15</f>
        <v>1.669115159715846</v>
      </c>
      <c r="E15" s="211">
        <f t="shared" si="0"/>
        <v>11.783924515536654</v>
      </c>
      <c r="F15" s="212">
        <f>'Table  4'!E15/'Table  4'!M15</f>
        <v>0.82972971098013837</v>
      </c>
      <c r="G15" s="212">
        <f>'Table  4'!H15/'Table  4'!M15</f>
        <v>0.1369194801745437</v>
      </c>
      <c r="H15" s="212">
        <f>'Table  4'!K15/'Table  4'!M15</f>
        <v>7.4328737174576397E-4</v>
      </c>
      <c r="I15" s="116">
        <f>'Table  4'!L15/'Table  4'!M15</f>
        <v>3.2607521473572168E-2</v>
      </c>
      <c r="J15" s="12"/>
    </row>
    <row r="16" spans="1:10" ht="15" x14ac:dyDescent="0.25">
      <c r="A16" s="36" t="s">
        <v>531</v>
      </c>
      <c r="B16" s="36" t="s">
        <v>1514</v>
      </c>
      <c r="C16" s="211">
        <f>'Table  4'!E16/'Table 1'!D16</f>
        <v>7.4046603908987292</v>
      </c>
      <c r="D16" s="211">
        <f>'Table  4'!H16/'Table 1'!D16</f>
        <v>3.6487821351682217</v>
      </c>
      <c r="E16" s="211">
        <f t="shared" si="0"/>
        <v>11.05344252606695</v>
      </c>
      <c r="F16" s="212">
        <f>'Table  4'!E16/'Table  4'!M16</f>
        <v>0.53715981368799171</v>
      </c>
      <c r="G16" s="212">
        <f>'Table  4'!H16/'Table  4'!M16</f>
        <v>0.26469534434342168</v>
      </c>
      <c r="H16" s="212">
        <f>'Table  4'!K16/'Table  4'!M16</f>
        <v>0.12192350918238917</v>
      </c>
      <c r="I16" s="116">
        <f>'Table  4'!L16/'Table  4'!M16</f>
        <v>7.6221332786197471E-2</v>
      </c>
      <c r="J16" s="12"/>
    </row>
    <row r="17" spans="1:10" ht="15" x14ac:dyDescent="0.25">
      <c r="A17" s="36" t="s">
        <v>544</v>
      </c>
      <c r="B17" s="36" t="s">
        <v>1515</v>
      </c>
      <c r="C17" s="211">
        <f>'Table  4'!E17/'Table 1'!D17</f>
        <v>22.439013676921487</v>
      </c>
      <c r="D17" s="211">
        <f>'Table  4'!H17/'Table 1'!D17</f>
        <v>1.2930461294656699</v>
      </c>
      <c r="E17" s="211">
        <f t="shared" si="0"/>
        <v>23.732059806387156</v>
      </c>
      <c r="F17" s="212">
        <f>'Table  4'!E17/'Table  4'!M17</f>
        <v>0.88491408312594699</v>
      </c>
      <c r="G17" s="212">
        <f>'Table  4'!H17/'Table  4'!M17</f>
        <v>5.0993093839615269E-2</v>
      </c>
      <c r="H17" s="212">
        <f>'Table  4'!K17/'Table  4'!M17</f>
        <v>4.076105323616093E-2</v>
      </c>
      <c r="I17" s="116">
        <f>'Table  4'!L17/'Table  4'!M17</f>
        <v>2.3331769798276805E-2</v>
      </c>
      <c r="J17" s="12"/>
    </row>
    <row r="18" spans="1:10" ht="15" x14ac:dyDescent="0.25">
      <c r="A18" s="36" t="s">
        <v>590</v>
      </c>
      <c r="B18" s="36" t="s">
        <v>1516</v>
      </c>
      <c r="C18" s="211">
        <f>'Table  4'!E18/'Table 1'!D18</f>
        <v>25.870630133995579</v>
      </c>
      <c r="D18" s="211">
        <f>'Table  4'!H18/'Table 1'!D18</f>
        <v>1.3909887290887755</v>
      </c>
      <c r="E18" s="211">
        <f t="shared" si="0"/>
        <v>27.261618863084355</v>
      </c>
      <c r="F18" s="212">
        <f>'Table  4'!E18/'Table  4'!M18</f>
        <v>0.89190897984548345</v>
      </c>
      <c r="G18" s="212">
        <f>'Table  4'!H18/'Table  4'!M18</f>
        <v>4.7955358331526109E-2</v>
      </c>
      <c r="H18" s="212">
        <f>'Table  4'!K18/'Table  4'!M18</f>
        <v>0</v>
      </c>
      <c r="I18" s="116">
        <f>'Table  4'!L18/'Table  4'!M18</f>
        <v>6.013566182299044E-2</v>
      </c>
      <c r="J18" s="12"/>
    </row>
    <row r="19" spans="1:10" ht="15" x14ac:dyDescent="0.25">
      <c r="A19" s="36" t="s">
        <v>604</v>
      </c>
      <c r="B19" s="36" t="s">
        <v>1517</v>
      </c>
      <c r="C19" s="211">
        <f>'Table  4'!E19/'Table 1'!D19</f>
        <v>9.3636076342253478</v>
      </c>
      <c r="D19" s="211">
        <f>'Table  4'!H19/'Table 1'!D19</f>
        <v>1.5823184839900226</v>
      </c>
      <c r="E19" s="211">
        <f t="shared" si="0"/>
        <v>10.94592611821537</v>
      </c>
      <c r="F19" s="212">
        <f>'Table  4'!E19/'Table  4'!M19</f>
        <v>0.7607169743155725</v>
      </c>
      <c r="G19" s="212">
        <f>'Table  4'!H19/'Table  4'!M19</f>
        <v>0.12855050922304859</v>
      </c>
      <c r="H19" s="212">
        <f>'Table  4'!K19/'Table  4'!M19</f>
        <v>6.2448250156109164E-2</v>
      </c>
      <c r="I19" s="116">
        <f>'Table  4'!L19/'Table  4'!M19</f>
        <v>4.8284266305269753E-2</v>
      </c>
      <c r="J19" s="12"/>
    </row>
    <row r="20" spans="1:10" ht="15" x14ac:dyDescent="0.25">
      <c r="A20" s="36" t="s">
        <v>617</v>
      </c>
      <c r="B20" s="36" t="s">
        <v>1518</v>
      </c>
      <c r="C20" s="211">
        <f>'Table  4'!E20/'Table 1'!D20</f>
        <v>22.509950683781611</v>
      </c>
      <c r="D20" s="211">
        <f>'Table  4'!H20/'Table 1'!D20</f>
        <v>2.8960512049246265</v>
      </c>
      <c r="E20" s="211">
        <f t="shared" si="0"/>
        <v>25.406001888706236</v>
      </c>
      <c r="F20" s="212">
        <f>'Table  4'!E20/'Table  4'!M20</f>
        <v>0.88600917147014724</v>
      </c>
      <c r="G20" s="212">
        <f>'Table  4'!H20/'Table  4'!M20</f>
        <v>0.11399082852985271</v>
      </c>
      <c r="H20" s="212">
        <f>'Table  4'!K20/'Table  4'!M20</f>
        <v>0</v>
      </c>
      <c r="I20" s="116">
        <f>'Table  4'!L20/'Table  4'!M20</f>
        <v>0</v>
      </c>
      <c r="J20" s="12"/>
    </row>
    <row r="21" spans="1:10" ht="15" x14ac:dyDescent="0.25">
      <c r="A21" s="36" t="s">
        <v>645</v>
      </c>
      <c r="B21" s="36" t="s">
        <v>1519</v>
      </c>
      <c r="C21" s="211">
        <f>'Table  4'!E21/'Table 1'!D21</f>
        <v>31.361620136800234</v>
      </c>
      <c r="D21" s="211">
        <f>'Table  4'!H21/'Table 1'!D21</f>
        <v>1.4631864267003007</v>
      </c>
      <c r="E21" s="211">
        <f t="shared" si="0"/>
        <v>32.824806563500537</v>
      </c>
      <c r="F21" s="212">
        <f>'Table  4'!E21/'Table  4'!M21</f>
        <v>0.94173845077430329</v>
      </c>
      <c r="G21" s="212">
        <f>'Table  4'!H21/'Table  4'!M21</f>
        <v>4.3937108882261926E-2</v>
      </c>
      <c r="H21" s="212">
        <f>'Table  4'!K21/'Table  4'!M21</f>
        <v>3.6858102587050225E-3</v>
      </c>
      <c r="I21" s="116">
        <f>'Table  4'!L21/'Table  4'!M21</f>
        <v>1.0638630084729752E-2</v>
      </c>
      <c r="J21" s="12"/>
    </row>
    <row r="22" spans="1:10" ht="15" x14ac:dyDescent="0.25">
      <c r="A22" s="36" t="s">
        <v>658</v>
      </c>
      <c r="B22" s="36" t="s">
        <v>1520</v>
      </c>
      <c r="C22" s="211">
        <f>'Table  4'!E22/'Table 1'!D22</f>
        <v>20.488734012789767</v>
      </c>
      <c r="D22" s="211">
        <f>'Table  4'!H22/'Table 1'!D22</f>
        <v>1.1616644184652278</v>
      </c>
      <c r="E22" s="211">
        <f t="shared" si="0"/>
        <v>21.650398431254995</v>
      </c>
      <c r="F22" s="212">
        <f>'Table  4'!E22/'Table  4'!M22</f>
        <v>0.91624307997445209</v>
      </c>
      <c r="G22" s="212">
        <f>'Table  4'!H22/'Table  4'!M22</f>
        <v>5.1948889765804807E-2</v>
      </c>
      <c r="H22" s="212">
        <f>'Table  4'!K22/'Table  4'!M22</f>
        <v>1.8850899439248577E-3</v>
      </c>
      <c r="I22" s="116">
        <f>'Table  4'!L22/'Table  4'!M22</f>
        <v>2.9922940315818193E-2</v>
      </c>
      <c r="J22" s="12"/>
    </row>
    <row r="23" spans="1:10" ht="15" x14ac:dyDescent="0.25">
      <c r="A23" s="36" t="s">
        <v>674</v>
      </c>
      <c r="B23" s="36" t="s">
        <v>1521</v>
      </c>
      <c r="C23" s="211">
        <f>'Table  4'!E23/'Table 1'!D23</f>
        <v>11.796830210134798</v>
      </c>
      <c r="D23" s="211">
        <f>'Table  4'!H23/'Table 1'!D23</f>
        <v>2.156001990002606</v>
      </c>
      <c r="E23" s="211">
        <f t="shared" si="0"/>
        <v>13.952832200137404</v>
      </c>
      <c r="F23" s="212">
        <f>'Table  4'!E23/'Table  4'!M23</f>
        <v>0.76664403481302545</v>
      </c>
      <c r="G23" s="212">
        <f>'Table  4'!H23/'Table  4'!M23</f>
        <v>0.14011272818527945</v>
      </c>
      <c r="H23" s="212">
        <f>'Table  4'!K23/'Table  4'!M23</f>
        <v>1.1546864102647003E-3</v>
      </c>
      <c r="I23" s="116">
        <f>'Table  4'!L23/'Table  4'!M23</f>
        <v>9.2088550591430382E-2</v>
      </c>
      <c r="J23" s="12"/>
    </row>
    <row r="24" spans="1:10" ht="15" x14ac:dyDescent="0.25">
      <c r="A24" s="36" t="s">
        <v>686</v>
      </c>
      <c r="B24" s="36" t="s">
        <v>1522</v>
      </c>
      <c r="C24" s="211">
        <f>'Table  4'!E24/'Table 1'!D24</f>
        <v>8.6887930600533583</v>
      </c>
      <c r="D24" s="211">
        <f>'Table  4'!H24/'Table 1'!D24</f>
        <v>2.0919677164957968</v>
      </c>
      <c r="E24" s="211">
        <f t="shared" si="0"/>
        <v>10.780760776549155</v>
      </c>
      <c r="F24" s="212">
        <f>'Table  4'!E24/'Table  4'!M24</f>
        <v>0.80595360941072469</v>
      </c>
      <c r="G24" s="212">
        <f>'Table  4'!H24/'Table  4'!M24</f>
        <v>0.19404639058927534</v>
      </c>
      <c r="H24" s="212">
        <f>'Table  4'!K24/'Table  4'!M24</f>
        <v>0</v>
      </c>
      <c r="I24" s="116">
        <f>'Table  4'!L24/'Table  4'!M24</f>
        <v>0</v>
      </c>
      <c r="J24" s="12"/>
    </row>
    <row r="25" spans="1:10" ht="15" x14ac:dyDescent="0.25">
      <c r="A25" s="36" t="s">
        <v>699</v>
      </c>
      <c r="B25" s="36" t="s">
        <v>1523</v>
      </c>
      <c r="C25" s="211">
        <f>'Table  4'!E25/'Table 1'!D25</f>
        <v>37.280037538544043</v>
      </c>
      <c r="D25" s="211">
        <f>'Table  4'!H25/'Table 1'!D25</f>
        <v>0.78751173079501269</v>
      </c>
      <c r="E25" s="211">
        <f t="shared" si="0"/>
        <v>38.067549269339054</v>
      </c>
      <c r="F25" s="212">
        <f>'Table  4'!E25/'Table  4'!M25</f>
        <v>0.97116065817213637</v>
      </c>
      <c r="G25" s="212">
        <f>'Table  4'!H25/'Table  4'!M25</f>
        <v>2.0515011821177258E-2</v>
      </c>
      <c r="H25" s="212">
        <f>'Table  4'!K25/'Table  4'!M25</f>
        <v>7.0335961018316842E-3</v>
      </c>
      <c r="I25" s="116">
        <f>'Table  4'!L25/'Table  4'!M25</f>
        <v>1.2907339048546717E-3</v>
      </c>
      <c r="J25" s="12"/>
    </row>
    <row r="26" spans="1:10" ht="15" x14ac:dyDescent="0.25">
      <c r="A26" s="36" t="s">
        <v>729</v>
      </c>
      <c r="B26" s="36" t="s">
        <v>1524</v>
      </c>
      <c r="C26" s="211">
        <f>'Table  4'!E26/'Table 1'!D26</f>
        <v>9.7263279877387756</v>
      </c>
      <c r="D26" s="211">
        <f>'Table  4'!H26/'Table 1'!D26</f>
        <v>2.2254682067960077</v>
      </c>
      <c r="E26" s="211">
        <f t="shared" si="0"/>
        <v>11.951796194534783</v>
      </c>
      <c r="F26" s="212">
        <f>'Table  4'!E26/'Table  4'!M26</f>
        <v>0.67622834717294977</v>
      </c>
      <c r="G26" s="212">
        <f>'Table  4'!H26/'Table  4'!M26</f>
        <v>0.15472691123153093</v>
      </c>
      <c r="H26" s="212">
        <f>'Table  4'!K26/'Table  4'!M26</f>
        <v>2.8887762660325133E-3</v>
      </c>
      <c r="I26" s="116">
        <f>'Table  4'!L26/'Table  4'!M26</f>
        <v>0.16615596532948684</v>
      </c>
      <c r="J26" s="12"/>
    </row>
    <row r="27" spans="1:10" ht="15" x14ac:dyDescent="0.25">
      <c r="A27" s="36" t="s">
        <v>774</v>
      </c>
      <c r="B27" s="36" t="s">
        <v>1525</v>
      </c>
      <c r="C27" s="211">
        <f>'Table  4'!E27/'Table 1'!D27</f>
        <v>20.447247861765909</v>
      </c>
      <c r="D27" s="211">
        <f>'Table  4'!H27/'Table 1'!D27</f>
        <v>0.79692939560513987</v>
      </c>
      <c r="E27" s="211">
        <f t="shared" si="0"/>
        <v>21.244177257371049</v>
      </c>
      <c r="F27" s="212">
        <f>'Table  4'!E27/'Table  4'!M27</f>
        <v>0.90082283008240716</v>
      </c>
      <c r="G27" s="212">
        <f>'Table  4'!H27/'Table  4'!M27</f>
        <v>3.5109477734031058E-2</v>
      </c>
      <c r="H27" s="212">
        <f>'Table  4'!K27/'Table  4'!M27</f>
        <v>4.7530047638661829E-3</v>
      </c>
      <c r="I27" s="116">
        <f>'Table  4'!L27/'Table  4'!M27</f>
        <v>5.9314687419695623E-2</v>
      </c>
      <c r="J27" s="12"/>
    </row>
    <row r="28" spans="1:10" ht="15" x14ac:dyDescent="0.25">
      <c r="A28" s="36" t="s">
        <v>788</v>
      </c>
      <c r="B28" s="36" t="s">
        <v>1526</v>
      </c>
      <c r="C28" s="211">
        <f>'Table  4'!E28/'Table 1'!D28</f>
        <v>11.439223775689511</v>
      </c>
      <c r="D28" s="211">
        <f>'Table  4'!H28/'Table 1'!D28</f>
        <v>1.7570020628008252</v>
      </c>
      <c r="E28" s="211">
        <f t="shared" si="0"/>
        <v>13.196225838490337</v>
      </c>
      <c r="F28" s="212">
        <f>'Table  4'!E28/'Table  4'!M28</f>
        <v>0.86610356360708352</v>
      </c>
      <c r="G28" s="212">
        <f>'Table  4'!H28/'Table  4'!M28</f>
        <v>0.13302875944177137</v>
      </c>
      <c r="H28" s="212">
        <f>'Table  4'!K28/'Table  4'!M28</f>
        <v>8.6767695114516009E-4</v>
      </c>
      <c r="I28" s="116">
        <f>'Table  4'!L28/'Table  4'!M28</f>
        <v>0</v>
      </c>
      <c r="J28" s="12"/>
    </row>
    <row r="29" spans="1:10" ht="15" x14ac:dyDescent="0.25">
      <c r="A29" s="36" t="s">
        <v>802</v>
      </c>
      <c r="B29" s="36" t="s">
        <v>817</v>
      </c>
      <c r="C29" s="211">
        <f>'Table  4'!E29/'Table 1'!D29</f>
        <v>18.251467961364284</v>
      </c>
      <c r="D29" s="211">
        <f>'Table  4'!H29/'Table 1'!D29</f>
        <v>1.0472779169173512</v>
      </c>
      <c r="E29" s="211">
        <f t="shared" si="0"/>
        <v>19.298745878281636</v>
      </c>
      <c r="F29" s="212">
        <f>'Table  4'!E29/'Table  4'!M29</f>
        <v>0.94138034888319466</v>
      </c>
      <c r="G29" s="212">
        <f>'Table  4'!H29/'Table  4'!M29</f>
        <v>5.4016852391944647E-2</v>
      </c>
      <c r="H29" s="212">
        <f>'Table  4'!K29/'Table  4'!M29</f>
        <v>4.602798724860694E-3</v>
      </c>
      <c r="I29" s="116">
        <f>'Table  4'!L29/'Table  4'!M29</f>
        <v>0</v>
      </c>
      <c r="J29" s="12"/>
    </row>
    <row r="30" spans="1:10" ht="15" x14ac:dyDescent="0.25">
      <c r="A30" s="36" t="s">
        <v>828</v>
      </c>
      <c r="B30" s="36" t="s">
        <v>1527</v>
      </c>
      <c r="C30" s="211">
        <f>'Table  4'!E30/'Table 1'!D30</f>
        <v>28.120404489088553</v>
      </c>
      <c r="D30" s="211">
        <f>'Table  4'!H30/'Table 1'!D30</f>
        <v>1.832752847744519</v>
      </c>
      <c r="E30" s="211">
        <f t="shared" si="0"/>
        <v>29.953157336833073</v>
      </c>
      <c r="F30" s="212">
        <f>'Table  4'!E30/'Table  4'!M30</f>
        <v>0.9263320790315438</v>
      </c>
      <c r="G30" s="212">
        <f>'Table  4'!H30/'Table  4'!M30</f>
        <v>6.0373873941284489E-2</v>
      </c>
      <c r="H30" s="212">
        <f>'Table  4'!K30/'Table  4'!M30</f>
        <v>0</v>
      </c>
      <c r="I30" s="116">
        <f>'Table  4'!L30/'Table  4'!M30</f>
        <v>1.3294047027171735E-2</v>
      </c>
      <c r="J30" s="12"/>
    </row>
    <row r="31" spans="1:10" ht="15" x14ac:dyDescent="0.25">
      <c r="A31" s="36" t="s">
        <v>842</v>
      </c>
      <c r="B31" s="36" t="s">
        <v>1528</v>
      </c>
      <c r="C31" s="211">
        <f>'Table  4'!E31/'Table 1'!D31</f>
        <v>19.549798575123308</v>
      </c>
      <c r="D31" s="211">
        <f>'Table  4'!H31/'Table 1'!D31</f>
        <v>0.92072320664557872</v>
      </c>
      <c r="E31" s="211">
        <f t="shared" si="0"/>
        <v>20.470521781768888</v>
      </c>
      <c r="F31" s="212">
        <f>'Table  4'!E31/'Table  4'!M31</f>
        <v>0.9324216639445212</v>
      </c>
      <c r="G31" s="212">
        <f>'Table  4'!H31/'Table  4'!M31</f>
        <v>4.3913611747654076E-2</v>
      </c>
      <c r="H31" s="212">
        <f>'Table  4'!K31/'Table  4'!M31</f>
        <v>0</v>
      </c>
      <c r="I31" s="116">
        <f>'Table  4'!L31/'Table  4'!M31</f>
        <v>2.3664724307824726E-2</v>
      </c>
      <c r="J31" s="12"/>
    </row>
    <row r="32" spans="1:10" ht="15" x14ac:dyDescent="0.25">
      <c r="A32" s="36" t="s">
        <v>857</v>
      </c>
      <c r="B32" s="36" t="s">
        <v>1529</v>
      </c>
      <c r="C32" s="211">
        <f>'Table  4'!E32/'Table 1'!D32</f>
        <v>13.223373539491082</v>
      </c>
      <c r="D32" s="211">
        <f>'Table  4'!H32/'Table 1'!D32</f>
        <v>2.6763539221241803</v>
      </c>
      <c r="E32" s="211">
        <f t="shared" si="0"/>
        <v>15.899727461615262</v>
      </c>
      <c r="F32" s="212">
        <f>'Table  4'!E32/'Table  4'!M32</f>
        <v>0.811052135933096</v>
      </c>
      <c r="G32" s="212">
        <f>'Table  4'!H32/'Table  4'!M32</f>
        <v>0.16415346345387111</v>
      </c>
      <c r="H32" s="212">
        <f>'Table  4'!K32/'Table  4'!M32</f>
        <v>3.7983545428816848E-3</v>
      </c>
      <c r="I32" s="116">
        <f>'Table  4'!L32/'Table  4'!M32</f>
        <v>2.0996046070151222E-2</v>
      </c>
      <c r="J32" s="12"/>
    </row>
    <row r="33" spans="1:10" ht="15" x14ac:dyDescent="0.25">
      <c r="A33" s="36" t="s">
        <v>871</v>
      </c>
      <c r="B33" s="36" t="s">
        <v>1530</v>
      </c>
      <c r="C33" s="211">
        <f>'Table  4'!E33/'Table 1'!D33</f>
        <v>10.618319188091595</v>
      </c>
      <c r="D33" s="211">
        <f>'Table  4'!H33/'Table 1'!D33</f>
        <v>1.2347359511736797</v>
      </c>
      <c r="E33" s="211">
        <f t="shared" si="0"/>
        <v>11.853055139265274</v>
      </c>
      <c r="F33" s="212">
        <f>'Table  4'!E33/'Table  4'!M33</f>
        <v>0.8729312345756246</v>
      </c>
      <c r="G33" s="212">
        <f>'Table  4'!H33/'Table  4'!M33</f>
        <v>0.10150755116136849</v>
      </c>
      <c r="H33" s="212">
        <f>'Table  4'!K33/'Table  4'!M33</f>
        <v>1.7902170041250828E-2</v>
      </c>
      <c r="I33" s="116">
        <f>'Table  4'!L33/'Table  4'!M33</f>
        <v>7.6590442217560773E-3</v>
      </c>
      <c r="J33" s="12"/>
    </row>
    <row r="34" spans="1:10" ht="15" x14ac:dyDescent="0.25">
      <c r="A34" s="36" t="s">
        <v>893</v>
      </c>
      <c r="B34" s="36" t="s">
        <v>1531</v>
      </c>
      <c r="C34" s="211">
        <f>'Table  4'!E34/'Table 1'!D34</f>
        <v>19.93545514885626</v>
      </c>
      <c r="D34" s="211">
        <f>'Table  4'!H34/'Table 1'!D34</f>
        <v>1.7171164462288129</v>
      </c>
      <c r="E34" s="211">
        <f t="shared" si="0"/>
        <v>21.652571595085071</v>
      </c>
      <c r="F34" s="212">
        <f>'Table  4'!E34/'Table  4'!M34</f>
        <v>0.90848280649775759</v>
      </c>
      <c r="G34" s="212">
        <f>'Table  4'!H34/'Table  4'!M34</f>
        <v>7.8251073602546101E-2</v>
      </c>
      <c r="H34" s="212">
        <f>'Table  4'!K34/'Table  4'!M34</f>
        <v>1.326611989969627E-2</v>
      </c>
      <c r="I34" s="116">
        <f>'Table  4'!L34/'Table  4'!M34</f>
        <v>0</v>
      </c>
      <c r="J34" s="12"/>
    </row>
    <row r="35" spans="1:10" ht="15" x14ac:dyDescent="0.25">
      <c r="A35" s="36" t="s">
        <v>905</v>
      </c>
      <c r="B35" s="36" t="s">
        <v>1532</v>
      </c>
      <c r="C35" s="211">
        <f>'Table  4'!E35/'Table 1'!D35</f>
        <v>24.380609345630983</v>
      </c>
      <c r="D35" s="211">
        <f>'Table  4'!H35/'Table 1'!D35</f>
        <v>1.212903789832583</v>
      </c>
      <c r="E35" s="211">
        <f t="shared" si="0"/>
        <v>25.593513135463567</v>
      </c>
      <c r="F35" s="212">
        <f>'Table  4'!E35/'Table  4'!M35</f>
        <v>0.91603107595161237</v>
      </c>
      <c r="G35" s="212">
        <f>'Table  4'!H35/'Table  4'!M35</f>
        <v>4.5571361563415201E-2</v>
      </c>
      <c r="H35" s="212">
        <f>'Table  4'!K35/'Table  4'!M35</f>
        <v>1.77324882440353E-2</v>
      </c>
      <c r="I35" s="116">
        <f>'Table  4'!L35/'Table  4'!M35</f>
        <v>2.0665074240937165E-2</v>
      </c>
      <c r="J35" s="12"/>
    </row>
    <row r="36" spans="1:10" ht="15" x14ac:dyDescent="0.25">
      <c r="A36" s="36" t="s">
        <v>957</v>
      </c>
      <c r="B36" s="36" t="s">
        <v>1533</v>
      </c>
      <c r="C36" s="211">
        <f>'Table  4'!E36/'Table 1'!D36</f>
        <v>14.42926378952227</v>
      </c>
      <c r="D36" s="211">
        <f>'Table  4'!H36/'Table 1'!D36</f>
        <v>1.1132121825748382</v>
      </c>
      <c r="E36" s="211">
        <f t="shared" si="0"/>
        <v>15.542475972097108</v>
      </c>
      <c r="F36" s="212">
        <f>'Table  4'!E36/'Table  4'!M36</f>
        <v>0.90455084493823446</v>
      </c>
      <c r="G36" s="212">
        <f>'Table  4'!H36/'Table  4'!M36</f>
        <v>6.9785751721775466E-2</v>
      </c>
      <c r="H36" s="212">
        <f>'Table  4'!K36/'Table  4'!M36</f>
        <v>2.5177101238110216E-2</v>
      </c>
      <c r="I36" s="116">
        <f>'Table  4'!L36/'Table  4'!M36</f>
        <v>4.8630210187982362E-4</v>
      </c>
      <c r="J36" s="12"/>
    </row>
    <row r="37" spans="1:10" ht="15" x14ac:dyDescent="0.25">
      <c r="A37" s="36" t="s">
        <v>1198</v>
      </c>
      <c r="B37" s="36" t="s">
        <v>950</v>
      </c>
      <c r="C37" s="211">
        <f>'Table  4'!E37/'Table 1'!D37</f>
        <v>6.476442808160769</v>
      </c>
      <c r="D37" s="211">
        <f>'Table  4'!H37/'Table 1'!D37</f>
        <v>1.1167008757123618</v>
      </c>
      <c r="E37" s="211">
        <f t="shared" si="0"/>
        <v>7.593143683873131</v>
      </c>
      <c r="F37" s="212">
        <f>'Table  4'!E37/'Table  4'!M37</f>
        <v>0.76544022532062805</v>
      </c>
      <c r="G37" s="212">
        <f>'Table  4'!H37/'Table  4'!M37</f>
        <v>0.13198105738599991</v>
      </c>
      <c r="H37" s="212">
        <f>'Table  4'!K37/'Table  4'!M37</f>
        <v>6.6021807778204877E-2</v>
      </c>
      <c r="I37" s="116">
        <f>'Table  4'!L37/'Table  4'!M37</f>
        <v>3.6556909515167227E-2</v>
      </c>
      <c r="J37" s="12"/>
    </row>
    <row r="38" spans="1:10" ht="15" x14ac:dyDescent="0.25">
      <c r="A38" s="36" t="s">
        <v>981</v>
      </c>
      <c r="B38" s="36" t="s">
        <v>1534</v>
      </c>
      <c r="C38" s="211">
        <f>'Table  4'!E38/'Table 1'!D38</f>
        <v>9.2913881574505428</v>
      </c>
      <c r="D38" s="211">
        <f>'Table  4'!H38/'Table 1'!D38</f>
        <v>1.8837181824319762</v>
      </c>
      <c r="E38" s="211">
        <f t="shared" si="0"/>
        <v>11.175106339882518</v>
      </c>
      <c r="F38" s="212">
        <f>'Table  4'!E38/'Table  4'!M38</f>
        <v>0.78745105780936397</v>
      </c>
      <c r="G38" s="212">
        <f>'Table  4'!H38/'Table  4'!M38</f>
        <v>0.15964631444025298</v>
      </c>
      <c r="H38" s="212">
        <f>'Table  4'!K38/'Table  4'!M38</f>
        <v>3.6096698467467478E-2</v>
      </c>
      <c r="I38" s="116">
        <f>'Table  4'!L38/'Table  4'!M38</f>
        <v>1.6805929282915546E-2</v>
      </c>
      <c r="J38" s="12"/>
    </row>
    <row r="39" spans="1:10" ht="15" x14ac:dyDescent="0.25">
      <c r="A39" s="36" t="s">
        <v>992</v>
      </c>
      <c r="B39" s="36" t="s">
        <v>1535</v>
      </c>
      <c r="C39" s="211">
        <f>'Table  4'!E39/'Table 1'!D39</f>
        <v>13.846208233271977</v>
      </c>
      <c r="D39" s="211">
        <f>'Table  4'!H39/'Table 1'!D39</f>
        <v>1.4408225957846232</v>
      </c>
      <c r="E39" s="211">
        <f t="shared" si="0"/>
        <v>15.287030829056601</v>
      </c>
      <c r="F39" s="212">
        <f>'Table  4'!E39/'Table  4'!M39</f>
        <v>0.86159314697843981</v>
      </c>
      <c r="G39" s="212">
        <f>'Table  4'!H39/'Table  4'!M39</f>
        <v>8.965652210521205E-2</v>
      </c>
      <c r="H39" s="212">
        <f>'Table  4'!K39/'Table  4'!M39</f>
        <v>4.4343169924501769E-2</v>
      </c>
      <c r="I39" s="116">
        <f>'Table  4'!L39/'Table  4'!M39</f>
        <v>4.4071609918463726E-3</v>
      </c>
      <c r="J39" s="12"/>
    </row>
    <row r="40" spans="1:10" ht="15" x14ac:dyDescent="0.25">
      <c r="A40" s="36" t="s">
        <v>1009</v>
      </c>
      <c r="B40" s="36" t="s">
        <v>1536</v>
      </c>
      <c r="C40" s="211">
        <f>'Table  4'!E40/'Table 1'!D40</f>
        <v>16.82765366941171</v>
      </c>
      <c r="D40" s="211">
        <f>'Table  4'!H40/'Table 1'!D40</f>
        <v>3.7518085445197689</v>
      </c>
      <c r="E40" s="211">
        <f t="shared" si="0"/>
        <v>20.579462213931478</v>
      </c>
      <c r="F40" s="212">
        <f>'Table  4'!E40/'Table  4'!M40</f>
        <v>0.77492897191562116</v>
      </c>
      <c r="G40" s="212">
        <f>'Table  4'!H40/'Table  4'!M40</f>
        <v>0.17277424383375656</v>
      </c>
      <c r="H40" s="212">
        <f>'Table  4'!K40/'Table  4'!M40</f>
        <v>1.262372296113779E-2</v>
      </c>
      <c r="I40" s="116">
        <f>'Table  4'!L40/'Table  4'!M40</f>
        <v>3.9673061289484494E-2</v>
      </c>
      <c r="J40" s="12"/>
    </row>
    <row r="41" spans="1:10" ht="15" x14ac:dyDescent="0.25">
      <c r="A41" s="36" t="s">
        <v>1021</v>
      </c>
      <c r="B41" s="36" t="s">
        <v>1537</v>
      </c>
      <c r="C41" s="211">
        <f>'Table  4'!E41/'Table 1'!D41</f>
        <v>14.975126345858053</v>
      </c>
      <c r="D41" s="211">
        <f>'Table  4'!H41/'Table 1'!D41</f>
        <v>2.3123269611074488</v>
      </c>
      <c r="E41" s="211">
        <f t="shared" si="0"/>
        <v>17.287453306965503</v>
      </c>
      <c r="F41" s="212">
        <f>'Table  4'!E41/'Table  4'!M41</f>
        <v>0.86275309076454487</v>
      </c>
      <c r="G41" s="212">
        <f>'Table  4'!H41/'Table  4'!M41</f>
        <v>0.13321872460230855</v>
      </c>
      <c r="H41" s="212">
        <f>'Table  4'!K41/'Table  4'!M41</f>
        <v>9.4944640944686514E-4</v>
      </c>
      <c r="I41" s="116">
        <f>'Table  4'!L41/'Table  4'!M41</f>
        <v>3.0787382236997017E-3</v>
      </c>
      <c r="J41" s="12"/>
    </row>
    <row r="42" spans="1:10" ht="15" x14ac:dyDescent="0.25">
      <c r="A42" s="36" t="s">
        <v>574</v>
      </c>
      <c r="B42" s="36" t="s">
        <v>1538</v>
      </c>
      <c r="C42" s="211">
        <f>'Table  4'!E42/'Table 1'!D42</f>
        <v>32.912189797303391</v>
      </c>
      <c r="D42" s="211">
        <f>'Table  4'!H42/'Table 1'!D42</f>
        <v>0.57532900825308841</v>
      </c>
      <c r="E42" s="211">
        <f t="shared" si="0"/>
        <v>33.487518805556476</v>
      </c>
      <c r="F42" s="212">
        <f>'Table  4'!E42/'Table  4'!M42</f>
        <v>0.90302690102682559</v>
      </c>
      <c r="G42" s="212">
        <f>'Table  4'!H42/'Table  4'!M42</f>
        <v>1.5785566824732849E-2</v>
      </c>
      <c r="H42" s="212">
        <f>'Table  4'!K42/'Table  4'!M42</f>
        <v>3.1882868221618853E-3</v>
      </c>
      <c r="I42" s="116">
        <f>'Table  4'!L42/'Table  4'!M42</f>
        <v>7.7999245326279706E-2</v>
      </c>
      <c r="J42" s="12"/>
    </row>
    <row r="43" spans="1:10" ht="15" x14ac:dyDescent="0.25">
      <c r="A43" s="36" t="s">
        <v>455</v>
      </c>
      <c r="B43" s="36" t="s">
        <v>1539</v>
      </c>
      <c r="C43" s="211">
        <f>'Table  4'!E43/'Table 1'!D43</f>
        <v>18.605695705796613</v>
      </c>
      <c r="D43" s="211">
        <f>'Table  4'!H43/'Table 1'!D43</f>
        <v>1.4732256979482006</v>
      </c>
      <c r="E43" s="211">
        <f t="shared" si="0"/>
        <v>20.078921403744815</v>
      </c>
      <c r="F43" s="212">
        <f>'Table  4'!E43/'Table  4'!M43</f>
        <v>0.76779950548189602</v>
      </c>
      <c r="G43" s="212">
        <f>'Table  4'!H43/'Table  4'!M43</f>
        <v>6.079546716414596E-2</v>
      </c>
      <c r="H43" s="212">
        <f>'Table  4'!K43/'Table  4'!M43</f>
        <v>1.488134896839674E-2</v>
      </c>
      <c r="I43" s="116">
        <f>'Table  4'!L43/'Table  4'!M43</f>
        <v>0.15652367838556125</v>
      </c>
      <c r="J43" s="12"/>
    </row>
    <row r="44" spans="1:10" ht="15" x14ac:dyDescent="0.25">
      <c r="A44" s="36" t="s">
        <v>1078</v>
      </c>
      <c r="B44" s="36" t="s">
        <v>1540</v>
      </c>
      <c r="C44" s="211">
        <f>'Table  4'!E44/'Table 1'!D44</f>
        <v>15.978623305069586</v>
      </c>
      <c r="D44" s="211">
        <f>'Table  4'!H44/'Table 1'!D44</f>
        <v>1.262222281850381</v>
      </c>
      <c r="E44" s="211">
        <f t="shared" si="0"/>
        <v>17.240845586919967</v>
      </c>
      <c r="F44" s="212">
        <f>'Table  4'!E44/'Table  4'!M44</f>
        <v>0.85342493990945878</v>
      </c>
      <c r="G44" s="212">
        <f>'Table  4'!H44/'Table  4'!M44</f>
        <v>6.7415818902168564E-2</v>
      </c>
      <c r="H44" s="212">
        <f>'Table  4'!K44/'Table  4'!M44</f>
        <v>8.2635093544903629E-3</v>
      </c>
      <c r="I44" s="116">
        <f>'Table  4'!L44/'Table  4'!M44</f>
        <v>7.0895731833882342E-2</v>
      </c>
      <c r="J44" s="12"/>
    </row>
    <row r="45" spans="1:10" ht="15" x14ac:dyDescent="0.25">
      <c r="A45" s="36" t="s">
        <v>1108</v>
      </c>
      <c r="B45" s="36" t="s">
        <v>1541</v>
      </c>
      <c r="C45" s="211">
        <f>'Table  4'!E45/'Table 1'!D45</f>
        <v>8.4719824251987994</v>
      </c>
      <c r="D45" s="211">
        <f>'Table  4'!H45/'Table 1'!D45</f>
        <v>1.1498963458027784</v>
      </c>
      <c r="E45" s="211">
        <f t="shared" si="0"/>
        <v>9.6218787710015778</v>
      </c>
      <c r="F45" s="212">
        <f>'Table  4'!E45/'Table  4'!M45</f>
        <v>0.80263552605479183</v>
      </c>
      <c r="G45" s="212">
        <f>'Table  4'!H45/'Table  4'!M45</f>
        <v>0.10894116773385994</v>
      </c>
      <c r="H45" s="212">
        <f>'Table  4'!K45/'Table  4'!M45</f>
        <v>0</v>
      </c>
      <c r="I45" s="116">
        <f>'Table  4'!L45/'Table  4'!M45</f>
        <v>8.8423306211348238E-2</v>
      </c>
      <c r="J45" s="12"/>
    </row>
    <row r="46" spans="1:10" ht="15" x14ac:dyDescent="0.25">
      <c r="A46" s="36" t="s">
        <v>1117</v>
      </c>
      <c r="B46" s="36" t="s">
        <v>1131</v>
      </c>
      <c r="C46" s="211">
        <f>'Table  4'!E46/'Table 1'!D46</f>
        <v>23.419956987203101</v>
      </c>
      <c r="D46" s="211">
        <f>'Table  4'!H46/'Table 1'!D46</f>
        <v>1.2547141787763929</v>
      </c>
      <c r="E46" s="211">
        <f t="shared" si="0"/>
        <v>24.674671165979493</v>
      </c>
      <c r="F46" s="212">
        <f>'Table  4'!E46/'Table  4'!M46</f>
        <v>0.92415888777246447</v>
      </c>
      <c r="G46" s="212">
        <f>'Table  4'!H46/'Table  4'!M46</f>
        <v>4.9511417145809665E-2</v>
      </c>
      <c r="H46" s="212">
        <f>'Table  4'!K46/'Table  4'!M46</f>
        <v>5.9208524377098474E-3</v>
      </c>
      <c r="I46" s="116">
        <f>'Table  4'!L46/'Table  4'!M46</f>
        <v>2.0408842644016014E-2</v>
      </c>
      <c r="J46" s="12"/>
    </row>
    <row r="47" spans="1:10" ht="15" x14ac:dyDescent="0.25">
      <c r="A47" s="36" t="s">
        <v>1133</v>
      </c>
      <c r="B47" s="36" t="s">
        <v>1542</v>
      </c>
      <c r="C47" s="211">
        <f>'Table  4'!E47/'Table 1'!D47</f>
        <v>11.607578331287105</v>
      </c>
      <c r="D47" s="211">
        <f>'Table  4'!H47/'Table 1'!D47</f>
        <v>1.7725491515161709</v>
      </c>
      <c r="E47" s="211">
        <f t="shared" si="0"/>
        <v>13.380127482803275</v>
      </c>
      <c r="F47" s="212">
        <f>'Table  4'!E47/'Table  4'!M47</f>
        <v>0.86752374715455227</v>
      </c>
      <c r="G47" s="212">
        <f>'Table  4'!H47/'Table  4'!M47</f>
        <v>0.13247625284544773</v>
      </c>
      <c r="H47" s="212">
        <f>'Table  4'!K47/'Table  4'!M47</f>
        <v>0</v>
      </c>
      <c r="I47" s="116">
        <f>'Table  4'!L47/'Table  4'!M47</f>
        <v>0</v>
      </c>
      <c r="J47" s="12"/>
    </row>
    <row r="48" spans="1:10" ht="15" x14ac:dyDescent="0.25">
      <c r="A48" s="36" t="s">
        <v>1159</v>
      </c>
      <c r="B48" s="36" t="s">
        <v>1543</v>
      </c>
      <c r="C48" s="211">
        <f>'Table  4'!E48/'Table 1'!D48</f>
        <v>10.123061820378574</v>
      </c>
      <c r="D48" s="211">
        <f>'Table  4'!H48/'Table 1'!D48</f>
        <v>2.4081755940394682</v>
      </c>
      <c r="E48" s="211">
        <f t="shared" si="0"/>
        <v>12.531237414418042</v>
      </c>
      <c r="F48" s="212">
        <f>'Table  4'!E48/'Table  4'!M48</f>
        <v>0.80395049586099498</v>
      </c>
      <c r="G48" s="212">
        <f>'Table  4'!H48/'Table  4'!M48</f>
        <v>0.19125181662438703</v>
      </c>
      <c r="H48" s="212">
        <f>'Table  4'!K48/'Table  4'!M48</f>
        <v>4.7976875146179543E-3</v>
      </c>
      <c r="I48" s="116">
        <f>'Table  4'!L48/'Table  4'!M48</f>
        <v>0</v>
      </c>
      <c r="J48" s="12"/>
    </row>
    <row r="49" spans="1:10" ht="15" x14ac:dyDescent="0.25">
      <c r="A49" s="36" t="s">
        <v>1335</v>
      </c>
      <c r="B49" s="36" t="s">
        <v>1544</v>
      </c>
      <c r="C49" s="211">
        <f>'Table  4'!E49/'Table 1'!D49</f>
        <v>11.292947463715212</v>
      </c>
      <c r="D49" s="211">
        <f>'Table  4'!H49/'Table 1'!D49</f>
        <v>1.1200770960488275</v>
      </c>
      <c r="E49" s="211">
        <f t="shared" si="0"/>
        <v>12.41302455976404</v>
      </c>
      <c r="F49" s="212">
        <f>'Table  4'!E49/'Table  4'!M49</f>
        <v>0.82690703934296383</v>
      </c>
      <c r="G49" s="212">
        <f>'Table  4'!H49/'Table  4'!M49</f>
        <v>8.2015757029378286E-2</v>
      </c>
      <c r="H49" s="212">
        <f>'Table  4'!K49/'Table  4'!M49</f>
        <v>1.2540104642002722E-2</v>
      </c>
      <c r="I49" s="116">
        <f>'Table  4'!L49/'Table  4'!M49</f>
        <v>7.8537098985655127E-2</v>
      </c>
      <c r="J49" s="12"/>
    </row>
    <row r="50" spans="1:10" ht="15" x14ac:dyDescent="0.25">
      <c r="A50" s="36" t="s">
        <v>1187</v>
      </c>
      <c r="B50" s="36" t="s">
        <v>1545</v>
      </c>
      <c r="C50" s="211">
        <f>'Table  4'!E50/'Table 1'!D50</f>
        <v>22.132001902044699</v>
      </c>
      <c r="D50" s="211">
        <f>'Table  4'!H50/'Table 1'!D50</f>
        <v>3.7211126961483596</v>
      </c>
      <c r="E50" s="211">
        <f t="shared" si="0"/>
        <v>25.853114598193059</v>
      </c>
      <c r="F50" s="212">
        <f>'Table  4'!E50/'Table  4'!M50</f>
        <v>0.79908388873437242</v>
      </c>
      <c r="G50" s="212">
        <f>'Table  4'!H50/'Table  4'!M50</f>
        <v>0.13435211224079854</v>
      </c>
      <c r="H50" s="212">
        <f>'Table  4'!K50/'Table  4'!M50</f>
        <v>3.6701106681637598E-2</v>
      </c>
      <c r="I50" s="116">
        <f>'Table  4'!L50/'Table  4'!M50</f>
        <v>2.9862892343191488E-2</v>
      </c>
      <c r="J50" s="12"/>
    </row>
    <row r="51" spans="1:10" ht="15" x14ac:dyDescent="0.25">
      <c r="A51" s="36" t="s">
        <v>1210</v>
      </c>
      <c r="B51" s="36" t="s">
        <v>1546</v>
      </c>
      <c r="C51" s="211">
        <f>'Table  4'!E51/'Table 1'!D51</f>
        <v>17.07060493663927</v>
      </c>
      <c r="D51" s="211">
        <f>'Table  4'!H51/'Table 1'!D51</f>
        <v>1.2863236859868756</v>
      </c>
      <c r="E51" s="211">
        <f t="shared" si="0"/>
        <v>18.356928622626146</v>
      </c>
      <c r="F51" s="212">
        <f>'Table  4'!E51/'Table  4'!M51</f>
        <v>0.88374877105154037</v>
      </c>
      <c r="G51" s="212">
        <f>'Table  4'!H51/'Table  4'!M51</f>
        <v>6.6593244989546954E-2</v>
      </c>
      <c r="H51" s="212">
        <f>'Table  4'!K51/'Table  4'!M51</f>
        <v>0</v>
      </c>
      <c r="I51" s="116">
        <f>'Table  4'!L51/'Table  4'!M51</f>
        <v>4.9657983958912681E-2</v>
      </c>
      <c r="J51" s="12"/>
    </row>
    <row r="52" spans="1:10" ht="15" x14ac:dyDescent="0.25">
      <c r="A52" s="36" t="s">
        <v>1236</v>
      </c>
      <c r="B52" s="36" t="s">
        <v>1547</v>
      </c>
      <c r="C52" s="211">
        <f>'Table  4'!E52/'Table 1'!D52</f>
        <v>6.5004259104306596</v>
      </c>
      <c r="D52" s="211">
        <f>'Table  4'!H52/'Table 1'!D52</f>
        <v>1.6208115666719434</v>
      </c>
      <c r="E52" s="211">
        <f t="shared" si="0"/>
        <v>8.1212374771026035</v>
      </c>
      <c r="F52" s="212">
        <f>'Table  4'!E52/'Table  4'!M52</f>
        <v>0.68269710351685275</v>
      </c>
      <c r="G52" s="212">
        <f>'Table  4'!H52/'Table  4'!M52</f>
        <v>0.1702232095497016</v>
      </c>
      <c r="H52" s="212">
        <f>'Table  4'!K52/'Table  4'!M52</f>
        <v>4.0534613551544668E-2</v>
      </c>
      <c r="I52" s="116">
        <f>'Table  4'!L52/'Table  4'!M52</f>
        <v>0.10654507338190097</v>
      </c>
      <c r="J52" s="12"/>
    </row>
    <row r="53" spans="1:10" ht="15" x14ac:dyDescent="0.25">
      <c r="A53" s="36" t="s">
        <v>1249</v>
      </c>
      <c r="B53" s="36" t="s">
        <v>1548</v>
      </c>
      <c r="C53" s="211">
        <f>'Table  4'!E53/'Table 1'!D53</f>
        <v>16.497067177416721</v>
      </c>
      <c r="D53" s="211">
        <f>'Table  4'!H53/'Table 1'!D53</f>
        <v>1.522194774243397</v>
      </c>
      <c r="E53" s="211">
        <f t="shared" si="0"/>
        <v>18.019261951660116</v>
      </c>
      <c r="F53" s="212">
        <f>'Table  4'!E53/'Table  4'!M53</f>
        <v>0.83692945737375657</v>
      </c>
      <c r="G53" s="212">
        <f>'Table  4'!H53/'Table  4'!M53</f>
        <v>7.7224007923582041E-2</v>
      </c>
      <c r="H53" s="212">
        <f>'Table  4'!K53/'Table  4'!M53</f>
        <v>4.2207207853797984E-3</v>
      </c>
      <c r="I53" s="116">
        <f>'Table  4'!L53/'Table  4'!M53</f>
        <v>8.1625813917281603E-2</v>
      </c>
      <c r="J53" s="12"/>
    </row>
    <row r="54" spans="1:10" ht="15" x14ac:dyDescent="0.25">
      <c r="A54" s="36" t="s">
        <v>1265</v>
      </c>
      <c r="B54" s="36" t="s">
        <v>1549</v>
      </c>
      <c r="C54" s="211">
        <f>'Table  4'!E54/'Table 1'!D54</f>
        <v>21.28170532737462</v>
      </c>
      <c r="D54" s="211">
        <f>'Table  4'!H54/'Table 1'!D54</f>
        <v>1.2222529616230404</v>
      </c>
      <c r="E54" s="211">
        <f t="shared" si="0"/>
        <v>22.503958288997662</v>
      </c>
      <c r="F54" s="212">
        <f>'Table  4'!E54/'Table  4'!M54</f>
        <v>0.94419904682564237</v>
      </c>
      <c r="G54" s="212">
        <f>'Table  4'!H54/'Table  4'!M54</f>
        <v>5.4227331108651362E-2</v>
      </c>
      <c r="H54" s="212">
        <f>'Table  4'!K54/'Table  4'!M54</f>
        <v>1.5736220657062746E-3</v>
      </c>
      <c r="I54" s="116">
        <f>'Table  4'!L54/'Table  4'!M54</f>
        <v>0</v>
      </c>
      <c r="J54" s="12"/>
    </row>
    <row r="55" spans="1:10" ht="15" x14ac:dyDescent="0.25">
      <c r="A55" s="36" t="s">
        <v>1280</v>
      </c>
      <c r="B55" s="36" t="s">
        <v>1550</v>
      </c>
      <c r="C55" s="211">
        <f>'Table  4'!E55/'Table 1'!D55</f>
        <v>6.459713749759981</v>
      </c>
      <c r="D55" s="211">
        <f>'Table  4'!H55/'Table 1'!D55</f>
        <v>1.8277181217966707</v>
      </c>
      <c r="E55" s="211">
        <f t="shared" si="0"/>
        <v>8.2874318715566524</v>
      </c>
      <c r="F55" s="212">
        <f>'Table  4'!E55/'Table  4'!M55</f>
        <v>0.70490484779031215</v>
      </c>
      <c r="G55" s="212">
        <f>'Table  4'!H55/'Table  4'!M55</f>
        <v>0.19944651022602175</v>
      </c>
      <c r="H55" s="212">
        <f>'Table  4'!K55/'Table  4'!M55</f>
        <v>5.7194480575474632E-2</v>
      </c>
      <c r="I55" s="116">
        <f>'Table  4'!L55/'Table  4'!M55</f>
        <v>3.8454161408191453E-2</v>
      </c>
      <c r="J55" s="12"/>
    </row>
    <row r="56" spans="1:10" ht="15" x14ac:dyDescent="0.25">
      <c r="A56" s="36" t="s">
        <v>1292</v>
      </c>
      <c r="B56" s="36" t="s">
        <v>1551</v>
      </c>
      <c r="C56" s="211">
        <f>'Table  4'!E56/'Table 1'!D56</f>
        <v>10.735680876864203</v>
      </c>
      <c r="D56" s="211">
        <f>'Table  4'!H56/'Table 1'!D56</f>
        <v>1.8967227830359534</v>
      </c>
      <c r="E56" s="211">
        <f t="shared" si="0"/>
        <v>12.632403659900156</v>
      </c>
      <c r="F56" s="212">
        <f>'Table  4'!E56/'Table  4'!M56</f>
        <v>0.81453048642060866</v>
      </c>
      <c r="G56" s="212">
        <f>'Table  4'!H56/'Table  4'!M56</f>
        <v>0.14390689782897018</v>
      </c>
      <c r="H56" s="212">
        <f>'Table  4'!K56/'Table  4'!M56</f>
        <v>0</v>
      </c>
      <c r="I56" s="116">
        <f>'Table  4'!L56/'Table  4'!M56</f>
        <v>4.1562615750421181E-2</v>
      </c>
      <c r="J56" s="12"/>
    </row>
    <row r="57" spans="1:10" ht="15" x14ac:dyDescent="0.25">
      <c r="A57" s="36" t="s">
        <v>1323</v>
      </c>
      <c r="B57" s="36" t="s">
        <v>1552</v>
      </c>
      <c r="C57" s="211">
        <f>'Table  4'!E57/'Table 1'!D57</f>
        <v>9.9533376177037631</v>
      </c>
      <c r="D57" s="211">
        <f>'Table  4'!H57/'Table 1'!D57</f>
        <v>2.8946883120511888</v>
      </c>
      <c r="E57" s="211">
        <f t="shared" si="0"/>
        <v>12.848025929754952</v>
      </c>
      <c r="F57" s="212">
        <f>'Table  4'!E57/'Table  4'!M57</f>
        <v>0.75800843508347837</v>
      </c>
      <c r="G57" s="212">
        <f>'Table  4'!H57/'Table  4'!M57</f>
        <v>0.22044848087636346</v>
      </c>
      <c r="H57" s="212">
        <f>'Table  4'!K57/'Table  4'!M57</f>
        <v>0</v>
      </c>
      <c r="I57" s="116">
        <f>'Table  4'!L57/'Table  4'!M57</f>
        <v>2.1543084040158148E-2</v>
      </c>
      <c r="J57" s="12"/>
    </row>
    <row r="58" spans="1:10" ht="15" x14ac:dyDescent="0.25">
      <c r="A58" s="36" t="s">
        <v>1360</v>
      </c>
      <c r="B58" s="36" t="s">
        <v>1553</v>
      </c>
      <c r="C58" s="211">
        <f>'Table  4'!E58/'Table 1'!D58</f>
        <v>20.079027060290521</v>
      </c>
      <c r="D58" s="211">
        <f>'Table  4'!H58/'Table 1'!D58</f>
        <v>1.8686337063367395</v>
      </c>
      <c r="E58" s="211">
        <f t="shared" si="0"/>
        <v>21.947660766627262</v>
      </c>
      <c r="F58" s="212">
        <f>'Table  4'!E58/'Table  4'!M58</f>
        <v>0.9148595503545367</v>
      </c>
      <c r="G58" s="212">
        <f>'Table  4'!H58/'Table  4'!M58</f>
        <v>8.5140449645463329E-2</v>
      </c>
      <c r="H58" s="212">
        <f>'Table  4'!K58/'Table  4'!M58</f>
        <v>0</v>
      </c>
      <c r="I58" s="116">
        <f>'Table  4'!L58/'Table  4'!M58</f>
        <v>0</v>
      </c>
      <c r="J58" s="12"/>
    </row>
    <row r="59" spans="1:10" ht="15" x14ac:dyDescent="0.25">
      <c r="A59" s="36" t="s">
        <v>1371</v>
      </c>
      <c r="B59" s="36" t="s">
        <v>1554</v>
      </c>
      <c r="C59" s="211">
        <f>'Table  4'!E59/'Table 1'!D59</f>
        <v>34.525117900348576</v>
      </c>
      <c r="D59" s="211">
        <f>'Table  4'!H59/'Table 1'!D59</f>
        <v>2.5797767948680397</v>
      </c>
      <c r="E59" s="211">
        <f t="shared" si="0"/>
        <v>37.104894695216615</v>
      </c>
      <c r="F59" s="212">
        <f>'Table  4'!E59/'Table  4'!M59</f>
        <v>0.91912801397423505</v>
      </c>
      <c r="G59" s="212">
        <f>'Table  4'!H59/'Table  4'!M59</f>
        <v>6.8678842134813942E-2</v>
      </c>
      <c r="H59" s="212">
        <f>'Table  4'!K59/'Table  4'!M59</f>
        <v>1.2193143890951059E-2</v>
      </c>
      <c r="I59" s="116">
        <f>'Table  4'!L59/'Table  4'!M59</f>
        <v>0</v>
      </c>
      <c r="J59" s="12"/>
    </row>
    <row r="60" spans="1:10" ht="15" x14ac:dyDescent="0.25">
      <c r="A60" s="36" t="s">
        <v>1383</v>
      </c>
      <c r="B60" s="36" t="s">
        <v>1555</v>
      </c>
      <c r="C60" s="211">
        <f>'Table  4'!E60/'Table 1'!D60</f>
        <v>18.37384721881071</v>
      </c>
      <c r="D60" s="211">
        <f>'Table  4'!H60/'Table 1'!D60</f>
        <v>0.86452895071790636</v>
      </c>
      <c r="E60" s="211">
        <f t="shared" si="0"/>
        <v>19.238376169528618</v>
      </c>
      <c r="F60" s="212">
        <f>'Table  4'!E60/'Table  4'!M60</f>
        <v>0.91607115740103684</v>
      </c>
      <c r="G60" s="212">
        <f>'Table  4'!H60/'Table  4'!M60</f>
        <v>4.3103114283004174E-2</v>
      </c>
      <c r="H60" s="212">
        <f>'Table  4'!K60/'Table  4'!M60</f>
        <v>0</v>
      </c>
      <c r="I60" s="116">
        <f>'Table  4'!L60/'Table  4'!M60</f>
        <v>4.0825728315959021E-2</v>
      </c>
      <c r="J60" s="12"/>
    </row>
    <row r="61" spans="1:10" ht="15" x14ac:dyDescent="0.25">
      <c r="A61" s="36" t="s">
        <v>1146</v>
      </c>
      <c r="B61" s="36" t="s">
        <v>1556</v>
      </c>
      <c r="C61" s="211">
        <f>'Table  4'!E61/'Table 1'!D61</f>
        <v>16.678162198242298</v>
      </c>
      <c r="D61" s="211">
        <f>'Table  4'!H61/'Table 1'!D61</f>
        <v>2.3892757815107353</v>
      </c>
      <c r="E61" s="211">
        <f t="shared" si="0"/>
        <v>19.067437979753034</v>
      </c>
      <c r="F61" s="212">
        <f>'Table  4'!E61/'Table  4'!M61</f>
        <v>0.81414721988708816</v>
      </c>
      <c r="G61" s="212">
        <f>'Table  4'!H61/'Table  4'!M61</f>
        <v>0.11663288868035598</v>
      </c>
      <c r="H61" s="212">
        <f>'Table  4'!K61/'Table  4'!M61</f>
        <v>1.3033306615054772E-3</v>
      </c>
      <c r="I61" s="116">
        <f>'Table  4'!L61/'Table  4'!M61</f>
        <v>6.7916560771050419E-2</v>
      </c>
      <c r="J61" s="12"/>
    </row>
    <row r="62" spans="1:10" ht="15" x14ac:dyDescent="0.25">
      <c r="A62" s="36" t="s">
        <v>1394</v>
      </c>
      <c r="B62" s="36" t="s">
        <v>1557</v>
      </c>
      <c r="C62" s="211">
        <f>'Table  4'!E62/'Table 1'!D62</f>
        <v>19.326695547495589</v>
      </c>
      <c r="D62" s="211">
        <f>'Table  4'!H62/'Table 1'!D62</f>
        <v>0.56520197750567813</v>
      </c>
      <c r="E62" s="211">
        <f t="shared" si="0"/>
        <v>19.891897525001266</v>
      </c>
      <c r="F62" s="212">
        <f>'Table  4'!E62/'Table  4'!M62</f>
        <v>0.97158632167719039</v>
      </c>
      <c r="G62" s="212">
        <f>'Table  4'!H62/'Table  4'!M62</f>
        <v>2.8413678322809586E-2</v>
      </c>
      <c r="H62" s="212">
        <f>'Table  4'!K62/'Table  4'!M62</f>
        <v>0</v>
      </c>
      <c r="I62" s="116">
        <f>'Table  4'!L62/'Table  4'!M62</f>
        <v>0</v>
      </c>
      <c r="J62" s="12"/>
    </row>
    <row r="63" spans="1:10" ht="15" x14ac:dyDescent="0.25">
      <c r="A63" s="36" t="s">
        <v>1408</v>
      </c>
      <c r="B63" s="36" t="s">
        <v>1558</v>
      </c>
      <c r="C63" s="211">
        <f>'Table  4'!E63/'Table 1'!D63</f>
        <v>19.724417275483326</v>
      </c>
      <c r="D63" s="211">
        <f>'Table  4'!H63/'Table 1'!D63</f>
        <v>4.5636896774514186</v>
      </c>
      <c r="E63" s="211">
        <f t="shared" si="0"/>
        <v>24.288106952934744</v>
      </c>
      <c r="F63" s="212">
        <f>'Table  4'!E63/'Table  4'!M63</f>
        <v>0.7876051049710161</v>
      </c>
      <c r="G63" s="212">
        <f>'Table  4'!H63/'Table  4'!M63</f>
        <v>0.18223023967009394</v>
      </c>
      <c r="H63" s="212">
        <f>'Table  4'!K63/'Table  4'!M63</f>
        <v>0</v>
      </c>
      <c r="I63" s="116">
        <f>'Table  4'!L63/'Table  4'!M63</f>
        <v>3.0164655358889941E-2</v>
      </c>
      <c r="J63" s="12"/>
    </row>
    <row r="64" spans="1:10" ht="15" x14ac:dyDescent="0.25">
      <c r="A64" s="36" t="s">
        <v>1420</v>
      </c>
      <c r="B64" s="36" t="s">
        <v>1559</v>
      </c>
      <c r="C64" s="211">
        <f>'Table  4'!E64/'Table 1'!D64</f>
        <v>13.286271713351708</v>
      </c>
      <c r="D64" s="211">
        <f>'Table  4'!H64/'Table 1'!D64</f>
        <v>1.5954105506057303</v>
      </c>
      <c r="E64" s="211">
        <f t="shared" si="0"/>
        <v>14.881682263957439</v>
      </c>
      <c r="F64" s="212">
        <f>'Table  4'!E64/'Table  4'!M64</f>
        <v>0.88562845148954805</v>
      </c>
      <c r="G64" s="212">
        <f>'Table  4'!H64/'Table  4'!M64</f>
        <v>0.10634593405184845</v>
      </c>
      <c r="H64" s="212">
        <f>'Table  4'!K64/'Table  4'!M64</f>
        <v>8.0256144586034889E-3</v>
      </c>
      <c r="I64" s="116">
        <f>'Table  4'!L64/'Table  4'!M64</f>
        <v>0</v>
      </c>
      <c r="J64" s="12"/>
    </row>
    <row r="65" spans="1:10" ht="15" x14ac:dyDescent="0.25">
      <c r="A65" s="36" t="s">
        <v>1432</v>
      </c>
      <c r="B65" s="36" t="s">
        <v>1560</v>
      </c>
      <c r="C65" s="211">
        <f>'Table  4'!E65/'Table 1'!D65</f>
        <v>19.997333594266003</v>
      </c>
      <c r="D65" s="211">
        <f>'Table  4'!H65/'Table 1'!D65</f>
        <v>1.6036962743707037</v>
      </c>
      <c r="E65" s="211">
        <f t="shared" si="0"/>
        <v>21.601029868636708</v>
      </c>
      <c r="F65" s="212">
        <f>'Table  4'!E65/'Table  4'!M65</f>
        <v>0.89644217715422425</v>
      </c>
      <c r="G65" s="212">
        <f>'Table  4'!H65/'Table  4'!M65</f>
        <v>7.18906334644141E-2</v>
      </c>
      <c r="H65" s="212">
        <f>'Table  4'!K65/'Table  4'!M65</f>
        <v>0</v>
      </c>
      <c r="I65" s="116">
        <f>'Table  4'!L65/'Table  4'!M65</f>
        <v>3.1667189381361677E-2</v>
      </c>
      <c r="J65" s="12"/>
    </row>
    <row r="66" spans="1:10" s="232" customFormat="1" thickBot="1" x14ac:dyDescent="0.3">
      <c r="A66" s="599" t="s">
        <v>1471</v>
      </c>
      <c r="B66" s="600"/>
      <c r="C66" s="150">
        <f>AVERAGE(C8:C65)</f>
        <v>16.528196651153443</v>
      </c>
      <c r="D66" s="150">
        <f>AVERAGE(D8:D65)</f>
        <v>1.7424283525287789</v>
      </c>
      <c r="E66" s="150">
        <f>AVERAGEIF(E8:E65,"&gt;-1",E8:E65)</f>
        <v>18.27062500368222</v>
      </c>
      <c r="F66" s="288">
        <f>AVERAGE(F8:F65)</f>
        <v>0.84896519603842147</v>
      </c>
      <c r="G66" s="288">
        <f>AVERAGE(G8:G65)</f>
        <v>0.10387235096048301</v>
      </c>
      <c r="H66" s="288">
        <f>AVERAGE(H8:H65)</f>
        <v>1.3487195640736529E-2</v>
      </c>
      <c r="I66" s="288">
        <f>AVERAGE(I8:I65)</f>
        <v>3.3675257360358993E-2</v>
      </c>
      <c r="J66" s="231"/>
    </row>
    <row r="67" spans="1:10" ht="16.5" thickTop="1" thickBot="1" x14ac:dyDescent="0.3">
      <c r="A67" s="601" t="s">
        <v>1455</v>
      </c>
      <c r="B67" s="602"/>
      <c r="C67" s="153"/>
      <c r="D67" s="153"/>
      <c r="E67" s="153"/>
      <c r="F67" s="233"/>
      <c r="G67" s="233"/>
      <c r="H67" s="233"/>
      <c r="I67" s="234"/>
      <c r="J67" s="12"/>
    </row>
    <row r="68" spans="1:10" thickTop="1" x14ac:dyDescent="0.25">
      <c r="A68" s="203" t="s">
        <v>364</v>
      </c>
      <c r="B68" s="203" t="s">
        <v>1561</v>
      </c>
      <c r="C68" s="211">
        <f>'Table  4'!E68/'Table 1'!D68</f>
        <v>9.059975967817774</v>
      </c>
      <c r="D68" s="211">
        <f>'Table  4'!H68/'Table 1'!D68</f>
        <v>5.132046392560472</v>
      </c>
      <c r="E68" s="211">
        <f>SUM(C68:D68)</f>
        <v>14.192022360378246</v>
      </c>
      <c r="F68" s="212">
        <f>'Table  4'!E68/'Table  4'!M68</f>
        <v>0.559023770687332</v>
      </c>
      <c r="G68" s="212">
        <f>'Table  4'!H68/'Table  4'!M68</f>
        <v>0.31666043440979452</v>
      </c>
      <c r="H68" s="212">
        <f>'Table  4'!K68/'Table  4'!M68</f>
        <v>0</v>
      </c>
      <c r="I68" s="116">
        <f>'Table  4'!L68/'Table  4'!M68</f>
        <v>0.12431579490287351</v>
      </c>
      <c r="J68" s="12"/>
    </row>
    <row r="69" spans="1:10" ht="15" x14ac:dyDescent="0.25">
      <c r="A69" s="203" t="s">
        <v>409</v>
      </c>
      <c r="B69" s="203" t="s">
        <v>1562</v>
      </c>
      <c r="C69" s="211">
        <f>'Table  4'!E69/'Table 1'!D69</f>
        <v>7.6711645245214148</v>
      </c>
      <c r="D69" s="211">
        <f>'Table  4'!H69/'Table 1'!D69</f>
        <v>5.7664155632353511</v>
      </c>
      <c r="E69" s="211">
        <f>SUM(C69:D69)</f>
        <v>13.437580087756766</v>
      </c>
      <c r="F69" s="212">
        <f>'Table  4'!E69/'Table  4'!M69</f>
        <v>0.44973234215130209</v>
      </c>
      <c r="G69" s="212">
        <f>'Table  4'!H69/'Table  4'!M69</f>
        <v>0.33806387136943156</v>
      </c>
      <c r="H69" s="212">
        <f>'Table  4'!K69/'Table  4'!M69</f>
        <v>5.595602739523327E-3</v>
      </c>
      <c r="I69" s="116">
        <f>'Table  4'!L69/'Table  4'!M69</f>
        <v>0.20660818373974302</v>
      </c>
      <c r="J69" s="12"/>
    </row>
    <row r="70" spans="1:10" ht="15" x14ac:dyDescent="0.25">
      <c r="A70" s="203" t="s">
        <v>393</v>
      </c>
      <c r="B70" s="203" t="s">
        <v>1563</v>
      </c>
      <c r="C70" s="211">
        <f>'Table  4'!E70/'Table 1'!D70</f>
        <v>9.9090067798612527</v>
      </c>
      <c r="D70" s="211">
        <f>'Table  4'!H70/'Table 1'!D70</f>
        <v>2.5123356720463628</v>
      </c>
      <c r="E70" s="211">
        <f t="shared" ref="E70:E79" si="1">SUM(C70:D70)</f>
        <v>12.421342451907616</v>
      </c>
      <c r="F70" s="212">
        <f>'Table  4'!E70/'Table  4'!M70</f>
        <v>0.68169979970271477</v>
      </c>
      <c r="G70" s="212">
        <f>'Table  4'!H70/'Table  4'!M70</f>
        <v>0.17283858639603958</v>
      </c>
      <c r="H70" s="212">
        <f>'Table  4'!K70/'Table  4'!M70</f>
        <v>1.970824144763102E-2</v>
      </c>
      <c r="I70" s="116">
        <f>'Table  4'!L70/'Table  4'!M70</f>
        <v>0.12575337245361465</v>
      </c>
      <c r="J70" s="12"/>
    </row>
    <row r="71" spans="1:10" ht="15" x14ac:dyDescent="0.25">
      <c r="A71" s="203" t="s">
        <v>428</v>
      </c>
      <c r="B71" s="203" t="s">
        <v>1564</v>
      </c>
      <c r="C71" s="211">
        <f>'Table  4'!E71/'Table 1'!D71</f>
        <v>6.8286907663951482</v>
      </c>
      <c r="D71" s="211">
        <f>'Table  4'!H71/'Table 1'!D71</f>
        <v>4.5258190142101196</v>
      </c>
      <c r="E71" s="211">
        <f t="shared" si="1"/>
        <v>11.354509780605268</v>
      </c>
      <c r="F71" s="212">
        <f>'Table  4'!E71/'Table  4'!M71</f>
        <v>0.54792675974362093</v>
      </c>
      <c r="G71" s="212">
        <f>'Table  4'!H71/'Table  4'!M71</f>
        <v>0.36314682161999701</v>
      </c>
      <c r="H71" s="212">
        <f>'Table  4'!K71/'Table  4'!M71</f>
        <v>2.3257311741006577E-3</v>
      </c>
      <c r="I71" s="116">
        <f>'Table  4'!L71/'Table  4'!M71</f>
        <v>8.6600687462281417E-2</v>
      </c>
      <c r="J71" s="12"/>
    </row>
    <row r="72" spans="1:10" ht="15" x14ac:dyDescent="0.25">
      <c r="A72" s="203" t="s">
        <v>629</v>
      </c>
      <c r="B72" s="203" t="s">
        <v>1565</v>
      </c>
      <c r="C72" s="211">
        <f>'Table  4'!E72/'Table 1'!D72</f>
        <v>15.208532580206896</v>
      </c>
      <c r="D72" s="211">
        <f>'Table  4'!H72/'Table 1'!D72</f>
        <v>2.2429849053777935</v>
      </c>
      <c r="E72" s="211">
        <f t="shared" si="1"/>
        <v>17.451517485584688</v>
      </c>
      <c r="F72" s="212">
        <f>'Table  4'!E72/'Table  4'!M72</f>
        <v>0.75986126693074196</v>
      </c>
      <c r="G72" s="212">
        <f>'Table  4'!H72/'Table  4'!M72</f>
        <v>0.11206586453482251</v>
      </c>
      <c r="H72" s="212">
        <f>'Table  4'!K72/'Table  4'!M72</f>
        <v>1.2023425770378491E-3</v>
      </c>
      <c r="I72" s="116">
        <f>'Table  4'!L72/'Table  4'!M72</f>
        <v>0.12687052595739767</v>
      </c>
      <c r="J72" s="12"/>
    </row>
    <row r="73" spans="1:10" ht="15" x14ac:dyDescent="0.25">
      <c r="A73" s="203" t="s">
        <v>715</v>
      </c>
      <c r="B73" s="203" t="s">
        <v>1566</v>
      </c>
      <c r="C73" s="211">
        <f>'Table  4'!E73/'Table 1'!D73</f>
        <v>20.36434074244421</v>
      </c>
      <c r="D73" s="211">
        <f>'Table  4'!H73/'Table 1'!D73</f>
        <v>3.4606798220398201</v>
      </c>
      <c r="E73" s="211">
        <f t="shared" si="1"/>
        <v>23.825020564484028</v>
      </c>
      <c r="F73" s="212">
        <f>'Table  4'!E73/'Table  4'!M73</f>
        <v>0.8297562633412584</v>
      </c>
      <c r="G73" s="212">
        <f>'Table  4'!H73/'Table  4'!M73</f>
        <v>0.14100730262145478</v>
      </c>
      <c r="H73" s="212">
        <f>'Table  4'!K73/'Table  4'!M73</f>
        <v>0</v>
      </c>
      <c r="I73" s="116">
        <f>'Table  4'!L73/'Table  4'!M73</f>
        <v>2.923643403728687E-2</v>
      </c>
      <c r="J73" s="12"/>
    </row>
    <row r="74" spans="1:10" ht="15" x14ac:dyDescent="0.25">
      <c r="A74" s="203" t="s">
        <v>754</v>
      </c>
      <c r="B74" s="203" t="s">
        <v>1567</v>
      </c>
      <c r="C74" s="211">
        <f>'Table  4'!E74/'Table 1'!D74</f>
        <v>13.344455587137508</v>
      </c>
      <c r="D74" s="211">
        <f>'Table  4'!H74/'Table 1'!D74</f>
        <v>2.2633915061030971</v>
      </c>
      <c r="E74" s="211">
        <f t="shared" si="1"/>
        <v>15.607847093240606</v>
      </c>
      <c r="F74" s="212">
        <f>'Table  4'!E74/'Table  4'!M74</f>
        <v>0.68900699724068881</v>
      </c>
      <c r="G74" s="212">
        <f>'Table  4'!H74/'Table  4'!M74</f>
        <v>0.11686445917683919</v>
      </c>
      <c r="H74" s="212">
        <f>'Table  4'!K74/'Table  4'!M74</f>
        <v>3.5173098829667224E-2</v>
      </c>
      <c r="I74" s="116">
        <f>'Table  4'!L74/'Table  4'!M74</f>
        <v>0.15895544475280482</v>
      </c>
      <c r="J74" s="12"/>
    </row>
    <row r="75" spans="1:10" ht="15" x14ac:dyDescent="0.25">
      <c r="A75" s="203" t="s">
        <v>1048</v>
      </c>
      <c r="B75" s="203" t="s">
        <v>1568</v>
      </c>
      <c r="C75" s="211">
        <f>'Table  4'!E75/'Table 1'!D75</f>
        <v>18.200262585648055</v>
      </c>
      <c r="D75" s="211">
        <f>'Table  4'!H75/'Table 1'!D75</f>
        <v>6.0815246379190091</v>
      </c>
      <c r="E75" s="211">
        <f t="shared" si="1"/>
        <v>24.281787223567065</v>
      </c>
      <c r="F75" s="212">
        <f>'Table  4'!E75/'Table  4'!M75</f>
        <v>0.72825551615445228</v>
      </c>
      <c r="G75" s="212">
        <f>'Table  4'!H75/'Table  4'!M75</f>
        <v>0.24334285526661414</v>
      </c>
      <c r="H75" s="212">
        <f>'Table  4'!K75/'Table  4'!M75</f>
        <v>0</v>
      </c>
      <c r="I75" s="116">
        <f>'Table  4'!L75/'Table  4'!M75</f>
        <v>2.8401628578933545E-2</v>
      </c>
      <c r="J75" s="12"/>
    </row>
    <row r="76" spans="1:10" ht="15" x14ac:dyDescent="0.25">
      <c r="A76" s="203" t="s">
        <v>1064</v>
      </c>
      <c r="B76" s="203" t="s">
        <v>1569</v>
      </c>
      <c r="C76" s="211">
        <f>'Table  4'!E76/'Table 1'!D76</f>
        <v>12.818647747364652</v>
      </c>
      <c r="D76" s="211">
        <f>'Table  4'!H76/'Table 1'!D76</f>
        <v>3.7513820192027931</v>
      </c>
      <c r="E76" s="211">
        <f t="shared" si="1"/>
        <v>16.570029766567444</v>
      </c>
      <c r="F76" s="212">
        <f>'Table  4'!E76/'Table  4'!M76</f>
        <v>0.50839551617789536</v>
      </c>
      <c r="G76" s="212">
        <f>'Table  4'!H76/'Table  4'!M76</f>
        <v>0.14878213643285207</v>
      </c>
      <c r="H76" s="212">
        <f>'Table  4'!K76/'Table  4'!M76</f>
        <v>3.3652188231054335E-2</v>
      </c>
      <c r="I76" s="116">
        <f>'Table  4'!L76/'Table  4'!M76</f>
        <v>0.30917015915819823</v>
      </c>
      <c r="J76" s="12"/>
    </row>
    <row r="77" spans="1:10" ht="15" x14ac:dyDescent="0.25">
      <c r="A77" s="203" t="s">
        <v>1093</v>
      </c>
      <c r="B77" s="203" t="s">
        <v>1570</v>
      </c>
      <c r="C77" s="211">
        <f>'Table  4'!E77/'Table 1'!D77</f>
        <v>10.751111137484349</v>
      </c>
      <c r="D77" s="211">
        <f>'Table  4'!H77/'Table 1'!D77</f>
        <v>2.718966775654073</v>
      </c>
      <c r="E77" s="211">
        <f t="shared" si="1"/>
        <v>13.470077913138422</v>
      </c>
      <c r="F77" s="212">
        <f>'Table  4'!E77/'Table  4'!M77</f>
        <v>0.7412043279615641</v>
      </c>
      <c r="G77" s="212">
        <f>'Table  4'!H77/'Table  4'!M77</f>
        <v>0.18745131697801981</v>
      </c>
      <c r="H77" s="212">
        <f>'Table  4'!K77/'Table  4'!M77</f>
        <v>2.642792621781193E-4</v>
      </c>
      <c r="I77" s="116">
        <f>'Table  4'!L77/'Table  4'!M77</f>
        <v>7.1080075798237927E-2</v>
      </c>
      <c r="J77" s="12"/>
    </row>
    <row r="78" spans="1:10" ht="15" x14ac:dyDescent="0.25">
      <c r="A78" s="203" t="s">
        <v>1172</v>
      </c>
      <c r="B78" s="203" t="s">
        <v>1571</v>
      </c>
      <c r="C78" s="211">
        <f>'Table  4'!E78/'Table 1'!D78</f>
        <v>13.945073205784604</v>
      </c>
      <c r="D78" s="211">
        <f>'Table  4'!H78/'Table 1'!D78</f>
        <v>8.0103071948261917</v>
      </c>
      <c r="E78" s="211">
        <f t="shared" si="1"/>
        <v>21.955380400610796</v>
      </c>
      <c r="F78" s="212">
        <f>'Table  4'!E78/'Table  4'!M78</f>
        <v>0.56561525717195105</v>
      </c>
      <c r="G78" s="212">
        <f>'Table  4'!H78/'Table  4'!M78</f>
        <v>0.32489983359488778</v>
      </c>
      <c r="H78" s="212">
        <f>'Table  4'!K78/'Table  4'!M78</f>
        <v>1.0929728223199623E-3</v>
      </c>
      <c r="I78" s="116">
        <f>'Table  4'!L78/'Table  4'!M78</f>
        <v>0.1083919364108412</v>
      </c>
      <c r="J78" s="12"/>
    </row>
    <row r="79" spans="1:10" ht="15" x14ac:dyDescent="0.25">
      <c r="A79" s="203" t="s">
        <v>1305</v>
      </c>
      <c r="B79" s="203" t="s">
        <v>1572</v>
      </c>
      <c r="C79" s="211">
        <f>'Table  4'!E79/'Table 1'!D79</f>
        <v>8.2048628407509838</v>
      </c>
      <c r="D79" s="211">
        <f>'Table  4'!H79/'Table 1'!D79</f>
        <v>2.4383384578387757</v>
      </c>
      <c r="E79" s="211">
        <f t="shared" si="1"/>
        <v>10.643201298589759</v>
      </c>
      <c r="F79" s="212">
        <f>'Table  4'!E79/'Table  4'!M79</f>
        <v>0.69669176699322255</v>
      </c>
      <c r="G79" s="212">
        <f>'Table  4'!H79/'Table  4'!M79</f>
        <v>0.20704432989202035</v>
      </c>
      <c r="H79" s="212">
        <f>'Table  4'!K79/'Table  4'!M79</f>
        <v>4.4251859917059898E-2</v>
      </c>
      <c r="I79" s="116">
        <f>'Table  4'!L79/'Table  4'!M79</f>
        <v>5.2012043197697248E-2</v>
      </c>
      <c r="J79" s="12"/>
    </row>
    <row r="80" spans="1:10" s="232" customFormat="1" thickBot="1" x14ac:dyDescent="0.3">
      <c r="A80" s="599" t="s">
        <v>1471</v>
      </c>
      <c r="B80" s="600"/>
      <c r="C80" s="235">
        <f t="shared" ref="C80:I80" si="2">AVERAGE(C68:C79)</f>
        <v>12.192177038784736</v>
      </c>
      <c r="D80" s="149">
        <f t="shared" si="2"/>
        <v>4.0753493300844879</v>
      </c>
      <c r="E80" s="149">
        <f t="shared" si="2"/>
        <v>16.267526368869227</v>
      </c>
      <c r="F80" s="149">
        <f t="shared" si="2"/>
        <v>0.64643079868806197</v>
      </c>
      <c r="G80" s="229">
        <f t="shared" si="2"/>
        <v>0.22268065102439774</v>
      </c>
      <c r="H80" s="229">
        <f t="shared" si="2"/>
        <v>1.1938859750047701E-2</v>
      </c>
      <c r="I80" s="230">
        <f t="shared" si="2"/>
        <v>0.11894969053749251</v>
      </c>
      <c r="J80" s="231"/>
    </row>
    <row r="81" spans="1:10" ht="16.5" thickTop="1" thickBot="1" x14ac:dyDescent="0.3">
      <c r="A81" s="54"/>
      <c r="B81" s="31" t="s">
        <v>1456</v>
      </c>
      <c r="C81" s="153"/>
      <c r="D81" s="153"/>
      <c r="E81" s="153"/>
      <c r="F81" s="233"/>
      <c r="G81" s="233"/>
      <c r="H81" s="233"/>
      <c r="I81" s="234"/>
      <c r="J81" s="12"/>
    </row>
    <row r="82" spans="1:10" thickTop="1" x14ac:dyDescent="0.25">
      <c r="A82" s="51" t="s">
        <v>557</v>
      </c>
      <c r="B82" s="51" t="s">
        <v>1573</v>
      </c>
      <c r="C82" s="211">
        <f>'Table  4'!E82/'Table 1'!D82</f>
        <v>44.200895542337769</v>
      </c>
      <c r="D82" s="211">
        <f>'Table  4'!H82/'Table 1'!D82</f>
        <v>0.4862327073447838</v>
      </c>
      <c r="E82" s="211">
        <f>SUM(C82:D82)</f>
        <v>44.687128249682551</v>
      </c>
      <c r="F82" s="212">
        <f>'Table  4'!E82/'Table  4'!M82</f>
        <v>0.89236485903026641</v>
      </c>
      <c r="G82" s="212">
        <f>'Table  4'!H82/'Table  4'!M82</f>
        <v>9.8164748931393285E-3</v>
      </c>
      <c r="H82" s="212">
        <f>'Table  4'!K82/'Table  4'!M82</f>
        <v>3.0746729415828331E-2</v>
      </c>
      <c r="I82" s="116">
        <f>'Table  4'!L82/'Table  4'!M82</f>
        <v>6.7071936660765941E-2</v>
      </c>
      <c r="J82" s="12"/>
    </row>
    <row r="83" spans="1:10" ht="15" x14ac:dyDescent="0.25">
      <c r="A83" s="51" t="s">
        <v>946</v>
      </c>
      <c r="B83" s="51" t="s">
        <v>1457</v>
      </c>
      <c r="C83" s="211">
        <f>'Table  4'!E83/'Table 1'!D83</f>
        <v>26.659751891697123</v>
      </c>
      <c r="D83" s="211">
        <f>'Table  4'!H83/'Table 1'!D83</f>
        <v>0.57548772327173525</v>
      </c>
      <c r="E83" s="211">
        <f>SUM(C83:D83)</f>
        <v>27.235239614968858</v>
      </c>
      <c r="F83" s="212">
        <f>'Table  4'!E83/'Table  4'!M83</f>
        <v>0.97886973893354556</v>
      </c>
      <c r="G83" s="212">
        <f>'Table  4'!H83/'Table  4'!M83</f>
        <v>2.1130261066454482E-2</v>
      </c>
      <c r="H83" s="212">
        <f>'Table  4'!K83/'Table  4'!M83</f>
        <v>0</v>
      </c>
      <c r="I83" s="116">
        <f>'Table  4'!L83/'Table  4'!M83</f>
        <v>0</v>
      </c>
      <c r="J83" s="12"/>
    </row>
    <row r="84" spans="1:10" ht="15" x14ac:dyDescent="0.25">
      <c r="A84" s="51" t="s">
        <v>743</v>
      </c>
      <c r="B84" s="51" t="s">
        <v>1574</v>
      </c>
      <c r="C84" s="211">
        <f>'Table  4'!E84/'Table 1'!D84</f>
        <v>65.115845824411139</v>
      </c>
      <c r="D84" s="211">
        <f>'Table  4'!H84/'Table 1'!D84</f>
        <v>0.95610278372591007</v>
      </c>
      <c r="E84" s="211">
        <f>SUM(C84:D84)</f>
        <v>66.071948608137049</v>
      </c>
      <c r="F84" s="212">
        <f>'Table  4'!E84/'Table  4'!M84</f>
        <v>0.98313967397981283</v>
      </c>
      <c r="G84" s="212">
        <f>'Table  4'!H84/'Table  4'!M84</f>
        <v>1.4435542795807388E-2</v>
      </c>
      <c r="H84" s="212">
        <f>'Table  4'!K84/'Table  4'!M84</f>
        <v>2.4247832243797403E-3</v>
      </c>
      <c r="I84" s="116">
        <f>'Table  4'!L84/'Table  4'!M84</f>
        <v>0</v>
      </c>
      <c r="J84" s="12"/>
    </row>
    <row r="85" spans="1:10" ht="15" x14ac:dyDescent="0.25">
      <c r="A85" s="51" t="s">
        <v>917</v>
      </c>
      <c r="B85" s="51" t="s">
        <v>1575</v>
      </c>
      <c r="C85" s="211">
        <f>'Table  4'!E85/'Table 1'!D85</f>
        <v>41.567621684423898</v>
      </c>
      <c r="D85" s="211">
        <f>'Table  4'!H85/'Table 1'!D85</f>
        <v>0.68516550070452131</v>
      </c>
      <c r="E85" s="211">
        <f t="shared" ref="E85:E92" si="3">SUM(C85:D85)</f>
        <v>42.252787185128419</v>
      </c>
      <c r="F85" s="212">
        <f>'Table  4'!E85/'Table  4'!M85</f>
        <v>0.93043593737463726</v>
      </c>
      <c r="G85" s="212">
        <f>'Table  4'!H85/'Table  4'!M85</f>
        <v>1.5336518642914253E-2</v>
      </c>
      <c r="H85" s="212">
        <f>'Table  4'!K85/'Table  4'!M85</f>
        <v>2.6448951586798765E-3</v>
      </c>
      <c r="I85" s="116">
        <f>'Table  4'!L85/'Table  4'!M85</f>
        <v>5.1582648823768645E-2</v>
      </c>
      <c r="J85" s="12"/>
    </row>
    <row r="86" spans="1:10" ht="15" x14ac:dyDescent="0.25">
      <c r="A86" s="51" t="s">
        <v>932</v>
      </c>
      <c r="B86" s="51" t="s">
        <v>1576</v>
      </c>
      <c r="C86" s="211">
        <f>'Table  4'!E86/'Table 1'!D86</f>
        <v>43.148915133703419</v>
      </c>
      <c r="D86" s="211">
        <f>'Table  4'!H86/'Table 1'!D86</f>
        <v>0.74659845433765104</v>
      </c>
      <c r="E86" s="211">
        <f t="shared" si="3"/>
        <v>43.895513588041069</v>
      </c>
      <c r="F86" s="212">
        <f>'Table  4'!E86/'Table  4'!M86</f>
        <v>0.98198841491610511</v>
      </c>
      <c r="G86" s="212">
        <f>'Table  4'!H86/'Table  4'!M86</f>
        <v>1.6991181133571145E-2</v>
      </c>
      <c r="H86" s="212">
        <f>'Table  4'!K86/'Table  4'!M86</f>
        <v>1.0204039503236887E-3</v>
      </c>
      <c r="I86" s="116">
        <f>'Table  4'!L86/'Table  4'!M86</f>
        <v>0</v>
      </c>
      <c r="J86" s="12"/>
    </row>
    <row r="87" spans="1:10" ht="15" x14ac:dyDescent="0.25">
      <c r="A87" s="51" t="s">
        <v>970</v>
      </c>
      <c r="B87" s="51" t="s">
        <v>1577</v>
      </c>
      <c r="C87" s="211">
        <f>'Table  4'!E87/'Table 1'!D87</f>
        <v>65.797369157570671</v>
      </c>
      <c r="D87" s="211">
        <f>'Table  4'!H87/'Table 1'!D87</f>
        <v>0.88711633547905588</v>
      </c>
      <c r="E87" s="211">
        <f t="shared" si="3"/>
        <v>66.684485493049721</v>
      </c>
      <c r="F87" s="212">
        <f>'Table  4'!E87/'Table  4'!M87</f>
        <v>0.92964296212132191</v>
      </c>
      <c r="G87" s="212">
        <f>'Table  4'!H87/'Table  4'!M87</f>
        <v>1.2533957944214726E-2</v>
      </c>
      <c r="H87" s="212">
        <f>'Table  4'!K87/'Table  4'!M87</f>
        <v>5.7823079934463312E-2</v>
      </c>
      <c r="I87" s="116">
        <f>'Table  4'!L87/'Table  4'!M87</f>
        <v>0</v>
      </c>
      <c r="J87" s="12"/>
    </row>
    <row r="88" spans="1:10" ht="15" x14ac:dyDescent="0.25">
      <c r="A88" s="51" t="s">
        <v>1033</v>
      </c>
      <c r="B88" s="51" t="s">
        <v>1578</v>
      </c>
      <c r="C88" s="211">
        <f>'Table  4'!E88/'Table 1'!D88</f>
        <v>48.532251458994573</v>
      </c>
      <c r="D88" s="211">
        <f>'Table  4'!H88/'Table 1'!D88</f>
        <v>0.61390396232210509</v>
      </c>
      <c r="E88" s="211">
        <f t="shared" si="3"/>
        <v>49.146155421316678</v>
      </c>
      <c r="F88" s="212">
        <f>'Table  4'!E88/'Table  4'!M88</f>
        <v>0.94415607179350303</v>
      </c>
      <c r="G88" s="212">
        <f>'Table  4'!H88/'Table  4'!M88</f>
        <v>1.1943009773907432E-2</v>
      </c>
      <c r="H88" s="212">
        <f>'Table  4'!K88/'Table  4'!M88</f>
        <v>0</v>
      </c>
      <c r="I88" s="116">
        <f>'Table  4'!L88/'Table  4'!M88</f>
        <v>4.3900918432589517E-2</v>
      </c>
      <c r="J88" s="12"/>
    </row>
    <row r="89" spans="1:10" ht="15" x14ac:dyDescent="0.25">
      <c r="A89" s="51" t="s">
        <v>884</v>
      </c>
      <c r="B89" s="51" t="s">
        <v>1579</v>
      </c>
      <c r="C89" s="211">
        <f>'Table  4'!E89/'Table 1'!D89</f>
        <v>37.364557445995032</v>
      </c>
      <c r="D89" s="211">
        <f>'Table  4'!H89/'Table 1'!D89</f>
        <v>0.74555534314662586</v>
      </c>
      <c r="E89" s="211">
        <f t="shared" si="3"/>
        <v>38.11011278914166</v>
      </c>
      <c r="F89" s="212">
        <f>'Table  4'!E89/'Table  4'!M89</f>
        <v>0.98043681089920443</v>
      </c>
      <c r="G89" s="212">
        <f>'Table  4'!H89/'Table  4'!M89</f>
        <v>1.9563189100795568E-2</v>
      </c>
      <c r="H89" s="212">
        <f>'Table  4'!K89/'Table  4'!M89</f>
        <v>0</v>
      </c>
      <c r="I89" s="116">
        <f>'Table  4'!L89/'Table  4'!M89</f>
        <v>0</v>
      </c>
      <c r="J89" s="12"/>
    </row>
    <row r="90" spans="1:10" ht="15" x14ac:dyDescent="0.25">
      <c r="A90" s="51" t="s">
        <v>1224</v>
      </c>
      <c r="B90" s="51" t="s">
        <v>1580</v>
      </c>
      <c r="C90" s="211">
        <f>'Table  4'!E90/'Table 1'!D90</f>
        <v>17.498311370107938</v>
      </c>
      <c r="D90" s="211">
        <f>'Table  4'!H90/'Table 1'!D90</f>
        <v>0.92437586914773862</v>
      </c>
      <c r="E90" s="211">
        <f t="shared" si="3"/>
        <v>18.422687239255676</v>
      </c>
      <c r="F90" s="212">
        <f>'Table  4'!E90/'Table  4'!M90</f>
        <v>0.93335452650913076</v>
      </c>
      <c r="G90" s="212">
        <f>'Table  4'!H90/'Table  4'!M90</f>
        <v>4.9305923492635371E-2</v>
      </c>
      <c r="H90" s="212">
        <f>'Table  4'!K90/'Table  4'!M90</f>
        <v>1.1048708982374342E-2</v>
      </c>
      <c r="I90" s="116">
        <f>'Table  4'!L90/'Table  4'!M90</f>
        <v>6.2908410158595595E-3</v>
      </c>
      <c r="J90" s="12"/>
    </row>
    <row r="91" spans="1:10" ht="15" x14ac:dyDescent="0.25">
      <c r="A91" s="51" t="s">
        <v>1346</v>
      </c>
      <c r="B91" s="51" t="s">
        <v>1581</v>
      </c>
      <c r="C91" s="211">
        <f>'Table  4'!E91/'Table 1'!D91</f>
        <v>55.630924687409127</v>
      </c>
      <c r="D91" s="211">
        <f>'Table  4'!H91/'Table 1'!D91</f>
        <v>0.46394300668799071</v>
      </c>
      <c r="E91" s="211">
        <f t="shared" si="3"/>
        <v>56.094867694097118</v>
      </c>
      <c r="F91" s="212">
        <f>'Table  4'!E91/'Table  4'!M91</f>
        <v>0.93744632945537487</v>
      </c>
      <c r="G91" s="212">
        <f>'Table  4'!H91/'Table  4'!M91</f>
        <v>7.8179838127799897E-3</v>
      </c>
      <c r="H91" s="212">
        <f>'Table  4'!K91/'Table  4'!M91</f>
        <v>0</v>
      </c>
      <c r="I91" s="116">
        <f>'Table  4'!L91/'Table  4'!M91</f>
        <v>5.4735686731845118E-2</v>
      </c>
      <c r="J91" s="12"/>
    </row>
    <row r="92" spans="1:10" ht="15" x14ac:dyDescent="0.25">
      <c r="A92" s="51" t="s">
        <v>819</v>
      </c>
      <c r="B92" s="51" t="s">
        <v>1582</v>
      </c>
      <c r="C92" s="211">
        <f>'Table  4'!E92/'Table 1'!D92</f>
        <v>43.783495450266706</v>
      </c>
      <c r="D92" s="211">
        <f>'Table  4'!H92/'Table 1'!D92</f>
        <v>1.4530906808911201</v>
      </c>
      <c r="E92" s="211">
        <f t="shared" si="3"/>
        <v>45.236586131157829</v>
      </c>
      <c r="F92" s="212">
        <f>'Table  4'!E92/'Table  4'!M92</f>
        <v>0.9205223888802152</v>
      </c>
      <c r="G92" s="212">
        <f>'Table  4'!H92/'Table  4'!M92</f>
        <v>3.0550381852285945E-2</v>
      </c>
      <c r="H92" s="212">
        <f>'Table  4'!K92/'Table  4'!M92</f>
        <v>1.6492324472190643E-3</v>
      </c>
      <c r="I92" s="116">
        <f>'Table  4'!L92/'Table  4'!M92</f>
        <v>4.727799682027984E-2</v>
      </c>
      <c r="J92" s="12"/>
    </row>
    <row r="93" spans="1:10" s="232" customFormat="1" ht="15" x14ac:dyDescent="0.25">
      <c r="A93" s="603" t="s">
        <v>1471</v>
      </c>
      <c r="B93" s="604"/>
      <c r="C93" s="236">
        <f>AVERAGE(C82:C92)</f>
        <v>44.481812695174305</v>
      </c>
      <c r="D93" s="157">
        <f t="shared" ref="D93:I93" si="4">AVERAGE(D82:D92)</f>
        <v>0.77614294245993076</v>
      </c>
      <c r="E93" s="157">
        <f t="shared" si="4"/>
        <v>45.25795563763424</v>
      </c>
      <c r="F93" s="237">
        <f t="shared" si="4"/>
        <v>0.94657797399028343</v>
      </c>
      <c r="G93" s="237">
        <f t="shared" si="4"/>
        <v>1.9038584046227783E-2</v>
      </c>
      <c r="H93" s="237">
        <f t="shared" si="4"/>
        <v>9.7598030102971235E-3</v>
      </c>
      <c r="I93" s="238">
        <f t="shared" si="4"/>
        <v>2.4623638953191692E-2</v>
      </c>
      <c r="J93" s="231"/>
    </row>
    <row r="94" spans="1:10" thickBot="1" x14ac:dyDescent="0.3">
      <c r="A94" s="19"/>
      <c r="B94" s="61"/>
      <c r="C94" s="159"/>
      <c r="D94" s="159"/>
      <c r="E94" s="159"/>
      <c r="F94" s="239"/>
      <c r="G94" s="239"/>
      <c r="H94" s="239"/>
      <c r="I94" s="240"/>
      <c r="J94" s="12"/>
    </row>
    <row r="95" spans="1:10" s="232" customFormat="1" ht="13.5" thickTop="1" x14ac:dyDescent="0.2">
      <c r="A95" s="605" t="s">
        <v>1472</v>
      </c>
      <c r="B95" s="606"/>
      <c r="C95" s="241">
        <f t="shared" ref="C95:I95" si="5">AVERAGE(C82:C92,C68:C79,C59:C65,C8:C57)</f>
        <v>19.677030535236792</v>
      </c>
      <c r="D95" s="241">
        <f t="shared" si="5"/>
        <v>1.9579246883550685</v>
      </c>
      <c r="E95" s="241">
        <f t="shared" si="5"/>
        <v>21.634955223591856</v>
      </c>
      <c r="F95" s="242">
        <f t="shared" si="5"/>
        <v>0.83118311397529732</v>
      </c>
      <c r="G95" s="242">
        <f t="shared" si="5"/>
        <v>0.1102631017857979</v>
      </c>
      <c r="H95" s="242">
        <f t="shared" si="5"/>
        <v>1.2911018715956995E-2</v>
      </c>
      <c r="I95" s="243">
        <f t="shared" si="5"/>
        <v>4.5642765522948013E-2</v>
      </c>
      <c r="J95" s="244"/>
    </row>
    <row r="96" spans="1:10" ht="15" x14ac:dyDescent="0.25">
      <c r="A96" s="12"/>
      <c r="B96" s="245"/>
      <c r="C96" s="246"/>
      <c r="D96" s="246"/>
      <c r="E96" s="246"/>
      <c r="F96" s="247"/>
      <c r="G96" s="247"/>
      <c r="H96" s="247"/>
      <c r="I96" s="247"/>
      <c r="J96" s="12"/>
    </row>
    <row r="97" spans="1:10" ht="15" x14ac:dyDescent="0.25">
      <c r="A97" s="12"/>
      <c r="B97" s="12"/>
      <c r="C97" s="246"/>
      <c r="D97" s="246"/>
      <c r="E97" s="246"/>
      <c r="F97" s="247"/>
      <c r="G97" s="247"/>
      <c r="H97" s="247"/>
      <c r="I97" s="247"/>
      <c r="J97" s="12"/>
    </row>
    <row r="98" spans="1:10" ht="15" x14ac:dyDescent="0.25">
      <c r="A98" s="12"/>
      <c r="B98" s="12"/>
      <c r="C98" s="246"/>
      <c r="D98" s="246"/>
      <c r="E98" s="246"/>
      <c r="F98" s="247"/>
      <c r="G98" s="247"/>
      <c r="H98" s="247"/>
      <c r="I98" s="247"/>
      <c r="J98" s="12"/>
    </row>
  </sheetData>
  <mergeCells count="6">
    <mergeCell ref="A95:B95"/>
    <mergeCell ref="B4:B6"/>
    <mergeCell ref="A66:B66"/>
    <mergeCell ref="A67:B67"/>
    <mergeCell ref="A80:B80"/>
    <mergeCell ref="A93:B9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95"/>
  <sheetViews>
    <sheetView topLeftCell="A13" workbookViewId="0">
      <selection activeCell="C65" sqref="C65"/>
    </sheetView>
  </sheetViews>
  <sheetFormatPr defaultColWidth="8.85546875" defaultRowHeight="12.75" x14ac:dyDescent="0.2"/>
  <cols>
    <col min="1" max="1" width="7" style="86" customWidth="1"/>
    <col min="2" max="2" width="20.140625" style="86" customWidth="1"/>
    <col min="3" max="3" width="15.28515625" style="254" customWidth="1"/>
    <col min="4" max="4" width="8.85546875" style="306"/>
    <col min="5" max="5" width="10.85546875" style="255" customWidth="1"/>
    <col min="6" max="6" width="14" style="254" customWidth="1"/>
    <col min="7" max="7" width="11.42578125" style="122" customWidth="1"/>
    <col min="8" max="8" width="10.42578125" style="255" customWidth="1"/>
    <col min="9" max="9" width="12.140625" style="256" customWidth="1"/>
    <col min="10" max="10" width="12.7109375" style="122" customWidth="1"/>
    <col min="11" max="11" width="12.28515625" style="256" customWidth="1"/>
    <col min="12" max="12" width="14.28515625" style="256" customWidth="1"/>
    <col min="13" max="13" width="11.85546875" style="255" customWidth="1"/>
    <col min="14" max="16384" width="8.85546875" style="86"/>
  </cols>
  <sheetData>
    <row r="1" spans="1:13" x14ac:dyDescent="0.2">
      <c r="A1" s="83"/>
      <c r="B1" s="84"/>
      <c r="C1" s="251"/>
      <c r="D1" s="252"/>
      <c r="E1" s="253"/>
      <c r="M1" s="11" t="s">
        <v>1758</v>
      </c>
    </row>
    <row r="2" spans="1:13" ht="15.75" x14ac:dyDescent="0.25">
      <c r="A2" s="87" t="s">
        <v>1584</v>
      </c>
      <c r="B2" s="88"/>
      <c r="C2" s="257"/>
      <c r="D2" s="258"/>
      <c r="E2" s="259"/>
      <c r="M2" s="18" t="s">
        <v>1759</v>
      </c>
    </row>
    <row r="3" spans="1:13" ht="13.5" thickBot="1" x14ac:dyDescent="0.25">
      <c r="A3" s="90"/>
      <c r="B3" s="88"/>
      <c r="C3" s="257"/>
      <c r="D3" s="258"/>
      <c r="E3" s="259"/>
    </row>
    <row r="4" spans="1:13" ht="13.5" thickTop="1" x14ac:dyDescent="0.2">
      <c r="A4" s="260"/>
      <c r="B4" s="638"/>
      <c r="C4" s="261"/>
      <c r="D4" s="262" t="s">
        <v>1585</v>
      </c>
      <c r="E4" s="263" t="s">
        <v>1586</v>
      </c>
      <c r="F4" s="261"/>
      <c r="G4" s="264" t="s">
        <v>1587</v>
      </c>
      <c r="H4" s="263" t="s">
        <v>1588</v>
      </c>
      <c r="I4" s="265"/>
      <c r="J4" s="266" t="s">
        <v>1585</v>
      </c>
      <c r="K4" s="265" t="s">
        <v>469</v>
      </c>
      <c r="L4" s="265"/>
      <c r="M4" s="263" t="s">
        <v>1493</v>
      </c>
    </row>
    <row r="5" spans="1:13" x14ac:dyDescent="0.2">
      <c r="A5" s="267"/>
      <c r="B5" s="639"/>
      <c r="C5" s="180" t="s">
        <v>1589</v>
      </c>
      <c r="D5" s="268" t="s">
        <v>1590</v>
      </c>
      <c r="E5" s="269" t="s">
        <v>1591</v>
      </c>
      <c r="F5" s="181" t="s">
        <v>1592</v>
      </c>
      <c r="G5" s="270" t="s">
        <v>1590</v>
      </c>
      <c r="H5" s="269" t="s">
        <v>1591</v>
      </c>
      <c r="I5" s="271" t="s">
        <v>469</v>
      </c>
      <c r="J5" s="270" t="s">
        <v>1590</v>
      </c>
      <c r="K5" s="271" t="s">
        <v>1591</v>
      </c>
      <c r="L5" s="271" t="s">
        <v>1593</v>
      </c>
      <c r="M5" s="269" t="s">
        <v>1594</v>
      </c>
    </row>
    <row r="6" spans="1:13" ht="13.5" thickBot="1" x14ac:dyDescent="0.25">
      <c r="A6" s="272"/>
      <c r="B6" s="640"/>
      <c r="C6" s="273" t="s">
        <v>1595</v>
      </c>
      <c r="D6" s="274" t="s">
        <v>1589</v>
      </c>
      <c r="E6" s="275" t="s">
        <v>1596</v>
      </c>
      <c r="F6" s="276" t="s">
        <v>1595</v>
      </c>
      <c r="G6" s="227" t="s">
        <v>1592</v>
      </c>
      <c r="H6" s="275" t="s">
        <v>1596</v>
      </c>
      <c r="I6" s="277" t="s">
        <v>1595</v>
      </c>
      <c r="J6" s="278" t="s">
        <v>1495</v>
      </c>
      <c r="K6" s="277" t="s">
        <v>1596</v>
      </c>
      <c r="L6" s="277" t="s">
        <v>1597</v>
      </c>
      <c r="M6" s="275" t="s">
        <v>1598</v>
      </c>
    </row>
    <row r="7" spans="1:13" ht="14.25" thickTop="1" thickBot="1" x14ac:dyDescent="0.25">
      <c r="A7" s="54"/>
      <c r="B7" s="45" t="s">
        <v>1452</v>
      </c>
      <c r="C7" s="279"/>
      <c r="D7" s="280"/>
      <c r="E7" s="144"/>
      <c r="F7" s="281"/>
      <c r="G7" s="233"/>
      <c r="H7" s="153"/>
      <c r="I7" s="152"/>
      <c r="J7" s="233"/>
      <c r="K7" s="152"/>
      <c r="L7" s="152"/>
      <c r="M7" s="282"/>
    </row>
    <row r="8" spans="1:13" ht="13.5" thickTop="1" x14ac:dyDescent="0.2">
      <c r="A8" s="36" t="s">
        <v>340</v>
      </c>
      <c r="B8" s="36" t="s">
        <v>1506</v>
      </c>
      <c r="C8" s="192">
        <f>VLOOKUP($A8,[0]!Data,140,FALSE)</f>
        <v>1994085</v>
      </c>
      <c r="D8" s="212">
        <f>C8/'Table  4'!M8</f>
        <v>0.67037824328717421</v>
      </c>
      <c r="E8" s="147">
        <f>C8/'Table 1'!D8</f>
        <v>12.537157191897091</v>
      </c>
      <c r="F8" s="192">
        <f>VLOOKUP($A8,[0]!Data,144,FALSE)</f>
        <v>258777</v>
      </c>
      <c r="G8" s="283">
        <f>F8/'Table  4'!M8</f>
        <v>8.6996527561826645E-2</v>
      </c>
      <c r="H8" s="284">
        <f>F8/'Table 1'!D8</f>
        <v>1.6269757440869139</v>
      </c>
      <c r="I8" s="192">
        <f>VLOOKUP($A8,[0]!Data,145,FALSE)</f>
        <v>406736</v>
      </c>
      <c r="J8" s="283">
        <f>I8/'Table  4'!M8</f>
        <v>0.13673788487534488</v>
      </c>
      <c r="K8" s="285">
        <f>I8/'Table 1'!D8</f>
        <v>2.5572195606523569</v>
      </c>
      <c r="L8" s="192">
        <f>VLOOKUP($A8,[0]!Data,146,FALSE)</f>
        <v>2659598</v>
      </c>
      <c r="M8" s="286">
        <f>L8/'Table 1'!D8</f>
        <v>16.721352496636364</v>
      </c>
    </row>
    <row r="9" spans="1:13" x14ac:dyDescent="0.2">
      <c r="A9" s="36" t="s">
        <v>381</v>
      </c>
      <c r="B9" s="36" t="s">
        <v>1507</v>
      </c>
      <c r="C9" s="192">
        <f>VLOOKUP($A9,[0]!Data,140,FALSE)</f>
        <v>330861</v>
      </c>
      <c r="D9" s="212">
        <f>C9/'Table  4'!M9</f>
        <v>0.54071443513276762</v>
      </c>
      <c r="E9" s="147">
        <f>C9/'Table 1'!D9</f>
        <v>8.6422787587503915</v>
      </c>
      <c r="F9" s="192">
        <f>VLOOKUP($A9,[0]!Data,144,FALSE)</f>
        <v>40309</v>
      </c>
      <c r="G9" s="283">
        <f>F9/'Table  4'!M9</f>
        <v>6.5875573626890838E-2</v>
      </c>
      <c r="H9" s="284">
        <f>F9/'Table 1'!D9</f>
        <v>1.052894159439975</v>
      </c>
      <c r="I9" s="192">
        <f>VLOOKUP($A9,[0]!Data,145,FALSE)</f>
        <v>80676</v>
      </c>
      <c r="J9" s="283">
        <f>I9/'Table  4'!M9</f>
        <v>0.13184593460326591</v>
      </c>
      <c r="K9" s="285">
        <f>I9/'Table 1'!D9</f>
        <v>2.1073033120886011</v>
      </c>
      <c r="L9" s="192">
        <f>VLOOKUP($A9,[0]!Data,146,FALSE)</f>
        <v>451846</v>
      </c>
      <c r="M9" s="286">
        <f>L9/'Table 1'!D9</f>
        <v>11.802476230278968</v>
      </c>
    </row>
    <row r="10" spans="1:13" x14ac:dyDescent="0.2">
      <c r="A10" s="36" t="s">
        <v>442</v>
      </c>
      <c r="B10" s="36" t="s">
        <v>1508</v>
      </c>
      <c r="C10" s="192">
        <f>VLOOKUP($A10,[0]!Data,140,FALSE)</f>
        <v>429771</v>
      </c>
      <c r="D10" s="212">
        <f>C10/'Table  4'!M10</f>
        <v>0.84973100580695293</v>
      </c>
      <c r="E10" s="147">
        <f>C10/'Table 1'!D10</f>
        <v>12.397121181527101</v>
      </c>
      <c r="F10" s="192">
        <f>VLOOKUP($A10,[0]!Data,144,FALSE)</f>
        <v>23191</v>
      </c>
      <c r="G10" s="283">
        <f>F10/'Table  4'!M10</f>
        <v>4.58525860415641E-2</v>
      </c>
      <c r="H10" s="284">
        <f>F10/'Table 1'!D10</f>
        <v>0.66896472149306252</v>
      </c>
      <c r="I10" s="192">
        <f>VLOOKUP($A10,[0]!Data,145,FALSE)</f>
        <v>45672</v>
      </c>
      <c r="J10" s="283">
        <f>I10/'Table  4'!M10</f>
        <v>9.0301380263477879E-2</v>
      </c>
      <c r="K10" s="285">
        <f>I10/'Table 1'!D10</f>
        <v>1.3174488706839358</v>
      </c>
      <c r="L10" s="192">
        <f>VLOOKUP($A10,[0]!Data,146,FALSE)</f>
        <v>498634</v>
      </c>
      <c r="M10" s="286">
        <f>L10/'Table 1'!D10</f>
        <v>14.383534773704099</v>
      </c>
    </row>
    <row r="11" spans="1:13" x14ac:dyDescent="0.2">
      <c r="A11" s="36" t="s">
        <v>470</v>
      </c>
      <c r="B11" s="36" t="s">
        <v>1509</v>
      </c>
      <c r="C11" s="192">
        <f>VLOOKUP($A11,[0]!Data,140,FALSE)</f>
        <v>962328</v>
      </c>
      <c r="D11" s="212">
        <f>C11/'Table  4'!M11</f>
        <v>0.76105065114083104</v>
      </c>
      <c r="E11" s="147">
        <f>C11/'Table 1'!D11</f>
        <v>7.5329001956947161</v>
      </c>
      <c r="F11" s="192">
        <f>VLOOKUP($A11,[0]!Data,144,FALSE)</f>
        <v>83481</v>
      </c>
      <c r="G11" s="283">
        <f>F11/'Table  4'!M11</f>
        <v>6.6020389521958947E-2</v>
      </c>
      <c r="H11" s="284">
        <f>F11/'Table 1'!D11</f>
        <v>0.6534716242661448</v>
      </c>
      <c r="I11" s="192">
        <f>VLOOKUP($A11,[0]!Data,145,FALSE)</f>
        <v>169426</v>
      </c>
      <c r="J11" s="283">
        <f>I11/'Table  4'!M11</f>
        <v>0.13398941693496025</v>
      </c>
      <c r="K11" s="285">
        <f>I11/'Table 1'!D11</f>
        <v>1.3262309197651663</v>
      </c>
      <c r="L11" s="192">
        <f>VLOOKUP($A11,[0]!Data,146,FALSE)</f>
        <v>1215235</v>
      </c>
      <c r="M11" s="286">
        <f>L11/'Table 1'!D11</f>
        <v>9.5126027397260273</v>
      </c>
    </row>
    <row r="12" spans="1:13" x14ac:dyDescent="0.2">
      <c r="A12" s="36" t="s">
        <v>484</v>
      </c>
      <c r="B12" s="36" t="s">
        <v>1510</v>
      </c>
      <c r="C12" s="192">
        <f>VLOOKUP($A12,[0]!Data,140,FALSE)</f>
        <v>3646150</v>
      </c>
      <c r="D12" s="212">
        <f>C12/'Table  4'!M12</f>
        <v>0.73418471899460702</v>
      </c>
      <c r="E12" s="147">
        <f>C12/'Table 1'!D12</f>
        <v>14.110159980805399</v>
      </c>
      <c r="F12" s="192">
        <f>VLOOKUP($A12,[0]!Data,144,FALSE)</f>
        <v>673953</v>
      </c>
      <c r="G12" s="283">
        <f>F12/'Table  4'!M12</f>
        <v>0.1357064284027186</v>
      </c>
      <c r="H12" s="284">
        <f>F12/'Table 1'!D12</f>
        <v>2.6081166845971069</v>
      </c>
      <c r="I12" s="192">
        <f>VLOOKUP($A12,[0]!Data,145,FALSE)</f>
        <v>609412</v>
      </c>
      <c r="J12" s="283">
        <f>I12/'Table  4'!M12</f>
        <v>0.12271052424391246</v>
      </c>
      <c r="K12" s="285">
        <f>I12/'Table 1'!D12</f>
        <v>2.3583508122876404</v>
      </c>
      <c r="L12" s="192">
        <f>VLOOKUP($A12,[0]!Data,146,FALSE)</f>
        <v>4929515</v>
      </c>
      <c r="M12" s="286">
        <f>L12/'Table 1'!D12</f>
        <v>19.076627477690145</v>
      </c>
    </row>
    <row r="13" spans="1:13" x14ac:dyDescent="0.2">
      <c r="A13" s="36" t="s">
        <v>497</v>
      </c>
      <c r="B13" s="36" t="s">
        <v>1511</v>
      </c>
      <c r="C13" s="192">
        <f>VLOOKUP($A13,[0]!Data,140,FALSE)</f>
        <v>939312</v>
      </c>
      <c r="D13" s="212">
        <f>C13/'Table  4'!M13</f>
        <v>0.72553970643553922</v>
      </c>
      <c r="E13" s="147">
        <f>C13/'Table 1'!D13</f>
        <v>10.466221712146368</v>
      </c>
      <c r="F13" s="192">
        <f>VLOOKUP($A13,[0]!Data,144,FALSE)</f>
        <v>131557</v>
      </c>
      <c r="G13" s="283">
        <f>F13/'Table  4'!M13</f>
        <v>0.10161674412712733</v>
      </c>
      <c r="H13" s="284">
        <f>F13/'Table 1'!D13</f>
        <v>1.4658651542669949</v>
      </c>
      <c r="I13" s="192">
        <f>VLOOKUP($A13,[0]!Data,145,FALSE)</f>
        <v>202895</v>
      </c>
      <c r="J13" s="283">
        <f>I13/'Table  4'!M13</f>
        <v>0.15671936346734494</v>
      </c>
      <c r="K13" s="285">
        <f>I13/'Table 1'!D13</f>
        <v>2.2607440917245145</v>
      </c>
      <c r="L13" s="192">
        <f>VLOOKUP($A13,[0]!Data,146,FALSE)</f>
        <v>1273764</v>
      </c>
      <c r="M13" s="286">
        <f>L13/'Table 1'!D13</f>
        <v>14.192830958137877</v>
      </c>
    </row>
    <row r="14" spans="1:13" x14ac:dyDescent="0.2">
      <c r="A14" s="36" t="s">
        <v>509</v>
      </c>
      <c r="B14" s="36" t="s">
        <v>1512</v>
      </c>
      <c r="C14" s="192">
        <f>VLOOKUP($A14,[0]!Data,140,FALSE)</f>
        <v>2367809</v>
      </c>
      <c r="D14" s="212">
        <f>C14/'Table  4'!M14</f>
        <v>0.71897390989084864</v>
      </c>
      <c r="E14" s="147">
        <f>C14/'Table 1'!D14</f>
        <v>11.79992823789139</v>
      </c>
      <c r="F14" s="192">
        <f>VLOOKUP($A14,[0]!Data,144,FALSE)</f>
        <v>439361</v>
      </c>
      <c r="G14" s="283">
        <f>F14/'Table  4'!M14</f>
        <v>0.13340987217446726</v>
      </c>
      <c r="H14" s="284">
        <f>F14/'Table 1'!D14</f>
        <v>2.1895466528458161</v>
      </c>
      <c r="I14" s="192">
        <f>VLOOKUP($A14,[0]!Data,145,FALSE)</f>
        <v>394543</v>
      </c>
      <c r="J14" s="283">
        <f>I14/'Table  4'!M14</f>
        <v>0.11980110022812866</v>
      </c>
      <c r="K14" s="285">
        <f>I14/'Table 1'!D14</f>
        <v>1.966197056756851</v>
      </c>
      <c r="L14" s="192">
        <f>VLOOKUP($A14,[0]!Data,146,FALSE)</f>
        <v>3201713</v>
      </c>
      <c r="M14" s="286">
        <f>L14/'Table 1'!D14</f>
        <v>15.955671947494057</v>
      </c>
    </row>
    <row r="15" spans="1:13" x14ac:dyDescent="0.2">
      <c r="A15" s="36" t="s">
        <v>521</v>
      </c>
      <c r="B15" s="36" t="s">
        <v>1513</v>
      </c>
      <c r="C15" s="192">
        <f>VLOOKUP($A15,[0]!Data,140,FALSE)</f>
        <v>810272</v>
      </c>
      <c r="D15" s="212">
        <f>C15/'Table  4'!M15</f>
        <v>0.80301992703891156</v>
      </c>
      <c r="E15" s="147">
        <f>C15/'Table 1'!D15</f>
        <v>9.7892040786739472</v>
      </c>
      <c r="F15" s="192">
        <f>VLOOKUP($A15,[0]!Data,144,FALSE)</f>
        <v>119531</v>
      </c>
      <c r="G15" s="283">
        <f>F15/'Table  4'!M15</f>
        <v>0.11846117710952389</v>
      </c>
      <c r="H15" s="284">
        <f>F15/'Table 1'!D15</f>
        <v>1.4440994539216161</v>
      </c>
      <c r="I15" s="192">
        <f>VLOOKUP($A15,[0]!Data,145,FALSE)</f>
        <v>46326</v>
      </c>
      <c r="J15" s="283">
        <f>I15/'Table  4'!M15</f>
        <v>4.5911374377992351E-2</v>
      </c>
      <c r="K15" s="285">
        <f>I15/'Table 1'!D15</f>
        <v>0.55968201807374474</v>
      </c>
      <c r="L15" s="192">
        <f>VLOOKUP($A15,[0]!Data,146,FALSE)</f>
        <v>976129</v>
      </c>
      <c r="M15" s="286">
        <f>L15/'Table 1'!D15</f>
        <v>11.792985550669309</v>
      </c>
    </row>
    <row r="16" spans="1:13" x14ac:dyDescent="0.2">
      <c r="A16" s="36" t="s">
        <v>531</v>
      </c>
      <c r="B16" s="36" t="s">
        <v>1514</v>
      </c>
      <c r="C16" s="192">
        <f>VLOOKUP($A16,[0]!Data,140,FALSE)</f>
        <v>222597</v>
      </c>
      <c r="D16" s="212">
        <f>C16/'Table  4'!M16</f>
        <v>0.6816649262438409</v>
      </c>
      <c r="E16" s="147">
        <f>C16/'Table 1'!D16</f>
        <v>9.3966397906201191</v>
      </c>
      <c r="F16" s="192">
        <f>VLOOKUP($A16,[0]!Data,144,FALSE)</f>
        <v>27388</v>
      </c>
      <c r="G16" s="283">
        <f>F16/'Table  4'!M16</f>
        <v>8.3871027012791338E-2</v>
      </c>
      <c r="H16" s="284">
        <f>F16/'Table 1'!D16</f>
        <v>1.1561484233188399</v>
      </c>
      <c r="I16" s="192">
        <f>VLOOKUP($A16,[0]!Data,145,FALSE)</f>
        <v>72370</v>
      </c>
      <c r="J16" s="283">
        <f>I16/'Table  4'!M16</f>
        <v>0.22162064498742914</v>
      </c>
      <c r="K16" s="285">
        <f>I16/'Table 1'!D16</f>
        <v>3.0550044324369963</v>
      </c>
      <c r="L16" s="192">
        <f>VLOOKUP($A16,[0]!Data,146,FALSE)</f>
        <v>322355</v>
      </c>
      <c r="M16" s="286">
        <f>L16/'Table 1'!D16</f>
        <v>13.607792646375955</v>
      </c>
    </row>
    <row r="17" spans="1:13" x14ac:dyDescent="0.2">
      <c r="A17" s="36" t="s">
        <v>544</v>
      </c>
      <c r="B17" s="36" t="s">
        <v>1515</v>
      </c>
      <c r="C17" s="192">
        <f>VLOOKUP($A17,[0]!Data,140,FALSE)</f>
        <v>1795211</v>
      </c>
      <c r="D17" s="212">
        <f>C17/'Table  4'!M17</f>
        <v>0.60974844294665109</v>
      </c>
      <c r="E17" s="147">
        <f>C17/'Table 1'!D17</f>
        <v>15.461561649498742</v>
      </c>
      <c r="F17" s="192">
        <f>VLOOKUP($A17,[0]!Data,144,FALSE)</f>
        <v>432267</v>
      </c>
      <c r="G17" s="283">
        <f>F17/'Table  4'!M17</f>
        <v>0.14682069694716668</v>
      </c>
      <c r="H17" s="284">
        <f>F17/'Table 1'!D17</f>
        <v>3.7229734385227546</v>
      </c>
      <c r="I17" s="192">
        <f>VLOOKUP($A17,[0]!Data,145,FALSE)</f>
        <v>716705</v>
      </c>
      <c r="J17" s="283">
        <f>I17/'Table  4'!M17</f>
        <v>0.24343086010618226</v>
      </c>
      <c r="K17" s="285">
        <f>I17/'Table 1'!D17</f>
        <v>6.1727443414751786</v>
      </c>
      <c r="L17" s="192">
        <f>VLOOKUP($A17,[0]!Data,146,FALSE)</f>
        <v>2944183</v>
      </c>
      <c r="M17" s="286">
        <f>L17/'Table 1'!D17</f>
        <v>25.357279429496675</v>
      </c>
    </row>
    <row r="18" spans="1:13" x14ac:dyDescent="0.2">
      <c r="A18" s="36" t="s">
        <v>590</v>
      </c>
      <c r="B18" s="36" t="s">
        <v>1516</v>
      </c>
      <c r="C18" s="192">
        <f>VLOOKUP($A18,[0]!Data,140,FALSE)</f>
        <v>887892</v>
      </c>
      <c r="D18" s="212">
        <f>C18/'Table  4'!M18</f>
        <v>0.41768863076020579</v>
      </c>
      <c r="E18" s="147">
        <f>C18/'Table 1'!D18</f>
        <v>12.115438146439974</v>
      </c>
      <c r="F18" s="192">
        <f>VLOOKUP($A18,[0]!Data,144,FALSE)</f>
        <v>161613</v>
      </c>
      <c r="G18" s="283">
        <f>F18/'Table  4'!M18</f>
        <v>7.6027166235363236E-2</v>
      </c>
      <c r="H18" s="284">
        <f>F18/'Table 1'!D18</f>
        <v>2.2052370166198183</v>
      </c>
      <c r="I18" s="192">
        <f>VLOOKUP($A18,[0]!Data,145,FALSE)</f>
        <v>876662</v>
      </c>
      <c r="J18" s="283">
        <f>I18/'Table  4'!M18</f>
        <v>0.41240573225066057</v>
      </c>
      <c r="K18" s="285">
        <f>I18/'Table 1'!D18</f>
        <v>11.962202876402042</v>
      </c>
      <c r="L18" s="192">
        <f>VLOOKUP($A18,[0]!Data,146,FALSE)</f>
        <v>1926167</v>
      </c>
      <c r="M18" s="286">
        <f>L18/'Table 1'!D18</f>
        <v>26.282878039461835</v>
      </c>
    </row>
    <row r="19" spans="1:13" x14ac:dyDescent="0.2">
      <c r="A19" s="36" t="s">
        <v>604</v>
      </c>
      <c r="B19" s="36" t="s">
        <v>1517</v>
      </c>
      <c r="C19" s="192">
        <f>VLOOKUP($A19,[0]!Data,140,FALSE)</f>
        <v>776342</v>
      </c>
      <c r="D19" s="212">
        <f>C19/'Table  4'!M19</f>
        <v>0.71185962003808967</v>
      </c>
      <c r="E19" s="147">
        <f>C19/'Table 1'!D19</f>
        <v>8.7622261599756204</v>
      </c>
      <c r="F19" s="192">
        <f>VLOOKUP($A19,[0]!Data,144,FALSE)</f>
        <v>78829</v>
      </c>
      <c r="G19" s="283">
        <f>F19/'Table  4'!M19</f>
        <v>7.2281522818529176E-2</v>
      </c>
      <c r="H19" s="284">
        <f>F19/'Table 1'!D19</f>
        <v>0.88970779110845255</v>
      </c>
      <c r="I19" s="192">
        <f>VLOOKUP($A19,[0]!Data,145,FALSE)</f>
        <v>235412</v>
      </c>
      <c r="J19" s="283">
        <f>I19/'Table  4'!M19</f>
        <v>0.2158588571433811</v>
      </c>
      <c r="K19" s="285">
        <f>I19/'Table 1'!D19</f>
        <v>2.6569903274229412</v>
      </c>
      <c r="L19" s="192">
        <f>VLOOKUP($A19,[0]!Data,146,FALSE)</f>
        <v>1090583</v>
      </c>
      <c r="M19" s="286">
        <f>L19/'Table 1'!D19</f>
        <v>12.308924278507014</v>
      </c>
    </row>
    <row r="20" spans="1:13" x14ac:dyDescent="0.2">
      <c r="A20" s="36" t="s">
        <v>617</v>
      </c>
      <c r="B20" s="36" t="s">
        <v>1518</v>
      </c>
      <c r="C20" s="192">
        <f>VLOOKUP($A20,[0]!Data,140,FALSE)</f>
        <v>1153716</v>
      </c>
      <c r="D20" s="212">
        <f>C20/'Table  4'!M20</f>
        <v>0.79415129484032532</v>
      </c>
      <c r="E20" s="147">
        <f>C20/'Table 1'!D20</f>
        <v>20.176209296631807</v>
      </c>
      <c r="F20" s="192">
        <f>VLOOKUP($A20,[0]!Data,144,FALSE)</f>
        <v>103600</v>
      </c>
      <c r="G20" s="283">
        <f>F20/'Table  4'!M20</f>
        <v>7.1312241613584015E-2</v>
      </c>
      <c r="H20" s="284">
        <f>F20/'Table 1'!D20</f>
        <v>1.8117589451225911</v>
      </c>
      <c r="I20" s="192">
        <f>VLOOKUP($A20,[0]!Data,145,FALSE)</f>
        <v>145450</v>
      </c>
      <c r="J20" s="283">
        <f>I20/'Table  4'!M20</f>
        <v>0.10011935852022968</v>
      </c>
      <c r="K20" s="285">
        <f>I20/'Table 1'!D20</f>
        <v>2.5436326116610122</v>
      </c>
      <c r="L20" s="192">
        <f>VLOOKUP($A20,[0]!Data,146,FALSE)</f>
        <v>1402766</v>
      </c>
      <c r="M20" s="286">
        <f>L20/'Table 1'!D20</f>
        <v>24.531600853415412</v>
      </c>
    </row>
    <row r="21" spans="1:13" x14ac:dyDescent="0.2">
      <c r="A21" s="36" t="s">
        <v>645</v>
      </c>
      <c r="B21" s="36" t="s">
        <v>1519</v>
      </c>
      <c r="C21" s="192">
        <f>VLOOKUP($A21,[0]!Data,140,FALSE)</f>
        <v>8456922</v>
      </c>
      <c r="D21" s="212">
        <f>C21/'Table  4'!M21</f>
        <v>0.76994886534601814</v>
      </c>
      <c r="E21" s="147">
        <f>C21/'Table 1'!D21</f>
        <v>25.640711409721547</v>
      </c>
      <c r="F21" s="192">
        <f>VLOOKUP($A21,[0]!Data,144,FALSE)</f>
        <v>1136705</v>
      </c>
      <c r="G21" s="283">
        <f>F21/'Table  4'!M21</f>
        <v>0.1034897478045967</v>
      </c>
      <c r="H21" s="284">
        <f>F21/'Table 1'!D21</f>
        <v>3.4463986853594646</v>
      </c>
      <c r="I21" s="192">
        <f>VLOOKUP($A21,[0]!Data,145,FALSE)</f>
        <v>1363884</v>
      </c>
      <c r="J21" s="283">
        <f>I21/'Table  4'!M21</f>
        <v>0.12417294829768899</v>
      </c>
      <c r="K21" s="285">
        <f>I21/'Table 1'!D21</f>
        <v>4.1351872513825558</v>
      </c>
      <c r="L21" s="192">
        <f>VLOOKUP($A21,[0]!Data,146,FALSE)</f>
        <v>10957511</v>
      </c>
      <c r="M21" s="286">
        <f>L21/'Table 1'!D21</f>
        <v>33.22229734646357</v>
      </c>
    </row>
    <row r="22" spans="1:13" x14ac:dyDescent="0.2">
      <c r="A22" s="36" t="s">
        <v>658</v>
      </c>
      <c r="B22" s="36" t="s">
        <v>1520</v>
      </c>
      <c r="C22" s="192">
        <f>VLOOKUP($A22,[0]!Data,140,FALSE)</f>
        <v>2361772</v>
      </c>
      <c r="D22" s="212">
        <f>C22/'Table  4'!M22</f>
        <v>0.65957816993234064</v>
      </c>
      <c r="E22" s="147">
        <f>C22/'Table 1'!D22</f>
        <v>14.749275579536372</v>
      </c>
      <c r="F22" s="192">
        <f>VLOOKUP($A22,[0]!Data,144,FALSE)</f>
        <v>352571</v>
      </c>
      <c r="G22" s="283">
        <f>F22/'Table  4'!M22</f>
        <v>9.8463414314004599E-2</v>
      </c>
      <c r="H22" s="284">
        <f>F22/'Table 1'!D22</f>
        <v>2.2018073041566746</v>
      </c>
      <c r="I22" s="192">
        <f>VLOOKUP($A22,[0]!Data,145,FALSE)</f>
        <v>775156</v>
      </c>
      <c r="J22" s="283">
        <f>I22/'Table  4'!M22</f>
        <v>0.21647981934415067</v>
      </c>
      <c r="K22" s="285">
        <f>I22/'Table 1'!D22</f>
        <v>4.8408523181454832</v>
      </c>
      <c r="L22" s="192">
        <f>VLOOKUP($A22,[0]!Data,146,FALSE)</f>
        <v>3489499</v>
      </c>
      <c r="M22" s="286">
        <f>L22/'Table 1'!D22</f>
        <v>21.79193520183853</v>
      </c>
    </row>
    <row r="23" spans="1:13" x14ac:dyDescent="0.2">
      <c r="A23" s="36" t="s">
        <v>674</v>
      </c>
      <c r="B23" s="36" t="s">
        <v>1521</v>
      </c>
      <c r="C23" s="192">
        <f>VLOOKUP($A23,[0]!Data,140,FALSE)</f>
        <v>437382</v>
      </c>
      <c r="D23" s="212">
        <f>C23/'Table  4'!M23</f>
        <v>0.67338540199252683</v>
      </c>
      <c r="E23" s="147">
        <f>C23/'Table 1'!D23</f>
        <v>10.361801426168535</v>
      </c>
      <c r="F23" s="192">
        <f>VLOOKUP($A23,[0]!Data,144,FALSE)</f>
        <v>117484</v>
      </c>
      <c r="G23" s="283">
        <f>F23/'Table  4'!M23</f>
        <v>0.18087623763138408</v>
      </c>
      <c r="H23" s="284">
        <f>F23/'Table 1'!D23</f>
        <v>2.7832555495013147</v>
      </c>
      <c r="I23" s="192">
        <f>VLOOKUP($A23,[0]!Data,145,FALSE)</f>
        <v>94661</v>
      </c>
      <c r="J23" s="283">
        <f>I23/'Table  4'!M23</f>
        <v>0.14573836037608906</v>
      </c>
      <c r="K23" s="285">
        <f>I23/'Table 1'!D23</f>
        <v>2.242567103361683</v>
      </c>
      <c r="L23" s="192">
        <f>VLOOKUP($A23,[0]!Data,146,FALSE)</f>
        <v>649527</v>
      </c>
      <c r="M23" s="286">
        <f>L23/'Table 1'!D23</f>
        <v>15.387624079031532</v>
      </c>
    </row>
    <row r="24" spans="1:13" x14ac:dyDescent="0.2">
      <c r="A24" s="36" t="s">
        <v>686</v>
      </c>
      <c r="B24" s="36" t="s">
        <v>1522</v>
      </c>
      <c r="C24" s="192">
        <f>VLOOKUP($A24,[0]!Data,140,FALSE)</f>
        <v>320294</v>
      </c>
      <c r="D24" s="212">
        <f>C24/'Table  4'!M24</f>
        <v>0.49851128636375663</v>
      </c>
      <c r="E24" s="147">
        <f>C24/'Table 1'!D24</f>
        <v>5.3743309226974514</v>
      </c>
      <c r="F24" s="192">
        <f>VLOOKUP($A24,[0]!Data,144,FALSE)</f>
        <v>126216</v>
      </c>
      <c r="G24" s="283">
        <f>F24/'Table  4'!M24</f>
        <v>0.19644483043606159</v>
      </c>
      <c r="H24" s="284">
        <f>F24/'Table 1'!D24</f>
        <v>2.1178247227209424</v>
      </c>
      <c r="I24" s="192">
        <f>VLOOKUP($A24,[0]!Data,145,FALSE)</f>
        <v>133278</v>
      </c>
      <c r="J24" s="283">
        <f>I24/'Table  4'!M24</f>
        <v>0.20743625301750504</v>
      </c>
      <c r="K24" s="285">
        <f>I24/'Table 1'!D24</f>
        <v>2.2363206201654444</v>
      </c>
      <c r="L24" s="192">
        <f>VLOOKUP($A24,[0]!Data,146,FALSE)</f>
        <v>579788</v>
      </c>
      <c r="M24" s="286">
        <f>L24/'Table 1'!D24</f>
        <v>9.7284762655838382</v>
      </c>
    </row>
    <row r="25" spans="1:13" x14ac:dyDescent="0.2">
      <c r="A25" s="36" t="s">
        <v>699</v>
      </c>
      <c r="B25" s="36" t="s">
        <v>1523</v>
      </c>
      <c r="C25" s="192">
        <f>VLOOKUP($A25,[0]!Data,140,FALSE)</f>
        <v>7570769</v>
      </c>
      <c r="D25" s="212">
        <f>C25/'Table  4'!M25</f>
        <v>0.66101929473873355</v>
      </c>
      <c r="E25" s="147">
        <f>C25/'Table 1'!D25</f>
        <v>25.37461120793672</v>
      </c>
      <c r="F25" s="192">
        <f>VLOOKUP($A25,[0]!Data,144,FALSE)</f>
        <v>1618017</v>
      </c>
      <c r="G25" s="283">
        <f>F25/'Table  4'!M25</f>
        <v>0.14127236694387077</v>
      </c>
      <c r="H25" s="284">
        <f>F25/'Table 1'!D25</f>
        <v>5.4230359297492958</v>
      </c>
      <c r="I25" s="192">
        <f>VLOOKUP($A25,[0]!Data,145,FALSE)</f>
        <v>1382673</v>
      </c>
      <c r="J25" s="283">
        <f>I25/'Table  4'!M25</f>
        <v>0.1207240019229604</v>
      </c>
      <c r="K25" s="285">
        <f>I25/'Table 1'!D25</f>
        <v>4.6342438664700358</v>
      </c>
      <c r="L25" s="192">
        <f>VLOOKUP($A25,[0]!Data,146,FALSE)</f>
        <v>10571459</v>
      </c>
      <c r="M25" s="286">
        <f>L25/'Table 1'!D25</f>
        <v>35.43189100415605</v>
      </c>
    </row>
    <row r="26" spans="1:13" x14ac:dyDescent="0.2">
      <c r="A26" s="36" t="s">
        <v>729</v>
      </c>
      <c r="B26" s="36" t="s">
        <v>1524</v>
      </c>
      <c r="C26" s="192">
        <f>VLOOKUP($A26,[0]!Data,140,FALSE)</f>
        <v>450302</v>
      </c>
      <c r="D26" s="212">
        <f>C26/'Table  4'!M26</f>
        <v>0.58516497082634855</v>
      </c>
      <c r="E26" s="147">
        <f>C26/'Table 1'!D26</f>
        <v>8.416545175881275</v>
      </c>
      <c r="F26" s="192">
        <f>VLOOKUP($A26,[0]!Data,144,FALSE)</f>
        <v>55023</v>
      </c>
      <c r="G26" s="283">
        <f>F26/'Table  4'!M26</f>
        <v>7.1502085688667102E-2</v>
      </c>
      <c r="H26" s="284">
        <f>F26/'Table 1'!D26</f>
        <v>1.028428843781541</v>
      </c>
      <c r="I26" s="192">
        <f>VLOOKUP($A26,[0]!Data,145,FALSE)</f>
        <v>196122</v>
      </c>
      <c r="J26" s="283">
        <f>I26/'Table  4'!M26</f>
        <v>0.2548594596701883</v>
      </c>
      <c r="K26" s="285">
        <f>I26/'Table 1'!D26</f>
        <v>3.6656947403835369</v>
      </c>
      <c r="L26" s="192">
        <f>VLOOKUP($A26,[0]!Data,146,FALSE)</f>
        <v>701447</v>
      </c>
      <c r="M26" s="286">
        <f>L26/'Table 1'!D26</f>
        <v>13.110668760046353</v>
      </c>
    </row>
    <row r="27" spans="1:13" x14ac:dyDescent="0.2">
      <c r="A27" s="36" t="s">
        <v>774</v>
      </c>
      <c r="B27" s="36" t="s">
        <v>1525</v>
      </c>
      <c r="C27" s="192">
        <f>VLOOKUP($A27,[0]!Data,140,FALSE)</f>
        <v>4852672</v>
      </c>
      <c r="D27" s="212">
        <f>C27/'Table  4'!M27</f>
        <v>0.57919675389181957</v>
      </c>
      <c r="E27" s="147">
        <f>C27/'Table 1'!D27</f>
        <v>13.146846629622907</v>
      </c>
      <c r="F27" s="192">
        <f>VLOOKUP($A27,[0]!Data,144,FALSE)</f>
        <v>971231</v>
      </c>
      <c r="G27" s="283">
        <f>F27/'Table  4'!M27</f>
        <v>0.11592249434519905</v>
      </c>
      <c r="H27" s="284">
        <f>F27/'Table 1'!D27</f>
        <v>2.631256552871343</v>
      </c>
      <c r="I27" s="192">
        <f>VLOOKUP($A27,[0]!Data,145,FALSE)</f>
        <v>2554376</v>
      </c>
      <c r="J27" s="283">
        <f>I27/'Table  4'!M27</f>
        <v>0.30488075176298141</v>
      </c>
      <c r="K27" s="285">
        <f>I27/'Table 1'!D27</f>
        <v>6.9203089568777045</v>
      </c>
      <c r="L27" s="192">
        <f>VLOOKUP($A27,[0]!Data,146,FALSE)</f>
        <v>8378279</v>
      </c>
      <c r="M27" s="286">
        <f>L27/'Table 1'!D27</f>
        <v>22.698412139371953</v>
      </c>
    </row>
    <row r="28" spans="1:13" x14ac:dyDescent="0.2">
      <c r="A28" s="36" t="s">
        <v>788</v>
      </c>
      <c r="B28" s="36" t="s">
        <v>1526</v>
      </c>
      <c r="C28" s="192">
        <f>VLOOKUP($A28,[0]!Data,140,FALSE)</f>
        <v>677154</v>
      </c>
      <c r="D28" s="212">
        <f>C28/'Table  4'!M28</f>
        <v>0.78340122423433289</v>
      </c>
      <c r="E28" s="147">
        <f>C28/'Table 1'!D28</f>
        <v>10.346917258766904</v>
      </c>
      <c r="F28" s="192">
        <f>VLOOKUP($A28,[0]!Data,144,FALSE)</f>
        <v>74872</v>
      </c>
      <c r="G28" s="283">
        <f>F28/'Table  4'!M28</f>
        <v>8.6619611581520567E-2</v>
      </c>
      <c r="H28" s="284">
        <f>F28/'Table 1'!D28</f>
        <v>1.1440446176178471</v>
      </c>
      <c r="I28" s="192">
        <f>VLOOKUP($A28,[0]!Data,145,FALSE)</f>
        <v>132350</v>
      </c>
      <c r="J28" s="283">
        <f>I28/'Table  4'!M28</f>
        <v>0.15311605931208258</v>
      </c>
      <c r="K28" s="285">
        <f>I28/'Table 1'!D28</f>
        <v>2.0223088089235235</v>
      </c>
      <c r="L28" s="192">
        <f>VLOOKUP($A28,[0]!Data,146,FALSE)</f>
        <v>884376</v>
      </c>
      <c r="M28" s="286">
        <f>L28/'Table 1'!D28</f>
        <v>13.513270685308274</v>
      </c>
    </row>
    <row r="29" spans="1:13" x14ac:dyDescent="0.2">
      <c r="A29" s="36" t="s">
        <v>802</v>
      </c>
      <c r="B29" s="36" t="s">
        <v>817</v>
      </c>
      <c r="C29" s="192">
        <f>VLOOKUP($A29,[0]!Data,140,FALSE)</f>
        <v>2773998</v>
      </c>
      <c r="D29" s="212">
        <f>C29/'Table  4'!M29</f>
        <v>0.66730189490781411</v>
      </c>
      <c r="E29" s="147">
        <f>C29/'Table 1'!D29</f>
        <v>12.93763904240881</v>
      </c>
      <c r="F29" s="192">
        <f>VLOOKUP($A29,[0]!Data,144,FALSE)</f>
        <v>428175</v>
      </c>
      <c r="G29" s="283">
        <f>F29/'Table  4'!M29</f>
        <v>0.10300007024235537</v>
      </c>
      <c r="H29" s="284">
        <f>F29/'Table 1'!D29</f>
        <v>1.9969638035007207</v>
      </c>
      <c r="I29" s="192">
        <f>VLOOKUP($A29,[0]!Data,145,FALSE)</f>
        <v>539302</v>
      </c>
      <c r="J29" s="283">
        <f>I29/'Table  4'!M29</f>
        <v>0.12973233813707652</v>
      </c>
      <c r="K29" s="285">
        <f>I29/'Table 1'!D29</f>
        <v>2.5152486089929247</v>
      </c>
      <c r="L29" s="192">
        <f>VLOOKUP($A29,[0]!Data,146,FALSE)</f>
        <v>3741475</v>
      </c>
      <c r="M29" s="286">
        <f>L29/'Table 1'!D29</f>
        <v>17.449851454902454</v>
      </c>
    </row>
    <row r="30" spans="1:13" x14ac:dyDescent="0.2">
      <c r="A30" s="36" t="s">
        <v>828</v>
      </c>
      <c r="B30" s="36" t="s">
        <v>1527</v>
      </c>
      <c r="C30" s="192">
        <f>VLOOKUP($A30,[0]!Data,140,FALSE)</f>
        <v>677422</v>
      </c>
      <c r="D30" s="212">
        <f>C30/'Table  4'!M30</f>
        <v>0.37547133313490644</v>
      </c>
      <c r="E30" s="147">
        <f>C30/'Table 1'!D30</f>
        <v>11.398078508572679</v>
      </c>
      <c r="F30" s="192">
        <f>VLOOKUP($A30,[0]!Data,144,FALSE)</f>
        <v>177104</v>
      </c>
      <c r="G30" s="283">
        <f>F30/'Table  4'!M30</f>
        <v>9.8162555959984285E-2</v>
      </c>
      <c r="H30" s="284">
        <f>F30/'Table 1'!D30</f>
        <v>2.9798933252570121</v>
      </c>
      <c r="I30" s="192">
        <f>VLOOKUP($A30,[0]!Data,145,FALSE)</f>
        <v>130017</v>
      </c>
      <c r="J30" s="283">
        <f>I30/'Table  4'!M30</f>
        <v>7.2063877937535437E-2</v>
      </c>
      <c r="K30" s="285">
        <f>I30/'Table 1'!D30</f>
        <v>2.1876230377063246</v>
      </c>
      <c r="L30" s="192">
        <f>VLOOKUP($A30,[0]!Data,146,FALSE)</f>
        <v>984543</v>
      </c>
      <c r="M30" s="286">
        <f>L30/'Table 1'!D30</f>
        <v>16.565594871536014</v>
      </c>
    </row>
    <row r="31" spans="1:13" x14ac:dyDescent="0.2">
      <c r="A31" s="36" t="s">
        <v>842</v>
      </c>
      <c r="B31" s="36" t="s">
        <v>1528</v>
      </c>
      <c r="C31" s="192">
        <f>VLOOKUP($A31,[0]!Data,140,FALSE)</f>
        <v>5509400</v>
      </c>
      <c r="D31" s="212">
        <f>C31/'Table  4'!M31</f>
        <v>0.63160194793038416</v>
      </c>
      <c r="E31" s="147">
        <f>C31/'Table 1'!D31</f>
        <v>13.242604005422608</v>
      </c>
      <c r="F31" s="192">
        <f>VLOOKUP($A31,[0]!Data,144,FALSE)</f>
        <v>1031307</v>
      </c>
      <c r="G31" s="283">
        <f>F31/'Table  4'!M31</f>
        <v>0.11822984537594669</v>
      </c>
      <c r="H31" s="284">
        <f>F31/'Table 1'!D31</f>
        <v>2.478888846157544</v>
      </c>
      <c r="I31" s="192">
        <f>VLOOKUP($A31,[0]!Data,145,FALSE)</f>
        <v>1511513</v>
      </c>
      <c r="J31" s="283">
        <f>I31/'Table  4'!M31</f>
        <v>0.17328103879226389</v>
      </c>
      <c r="K31" s="285">
        <f>I31/'Table 1'!D31</f>
        <v>3.6331303060312088</v>
      </c>
      <c r="L31" s="192">
        <f>VLOOKUP($A31,[0]!Data,146,FALSE)</f>
        <v>8052220</v>
      </c>
      <c r="M31" s="286">
        <f>L31/'Table 1'!D31</f>
        <v>19.354623157611361</v>
      </c>
    </row>
    <row r="32" spans="1:13" x14ac:dyDescent="0.2">
      <c r="A32" s="36" t="s">
        <v>857</v>
      </c>
      <c r="B32" s="36" t="s">
        <v>1529</v>
      </c>
      <c r="C32" s="192">
        <f>VLOOKUP($A32,[0]!Data,140,FALSE)</f>
        <v>494291</v>
      </c>
      <c r="D32" s="212">
        <f>C32/'Table  4'!M32</f>
        <v>0.81807950560153853</v>
      </c>
      <c r="E32" s="147">
        <f>C32/'Table 1'!D32</f>
        <v>13.337947597074935</v>
      </c>
      <c r="F32" s="192">
        <f>VLOOKUP($A32,[0]!Data,144,FALSE)</f>
        <v>14079</v>
      </c>
      <c r="G32" s="283">
        <f>F32/'Table  4'!M32</f>
        <v>2.3301539699011435E-2</v>
      </c>
      <c r="H32" s="284">
        <f>F32/'Table 1'!D32</f>
        <v>0.37990771472516799</v>
      </c>
      <c r="I32" s="192">
        <f>VLOOKUP($A32,[0]!Data,145,FALSE)</f>
        <v>78485</v>
      </c>
      <c r="J32" s="283">
        <f>I32/'Table  4'!M32</f>
        <v>0.12989710514077082</v>
      </c>
      <c r="K32" s="285">
        <f>I32/'Table 1'!D32</f>
        <v>2.1178391214010093</v>
      </c>
      <c r="L32" s="192">
        <f>VLOOKUP($A32,[0]!Data,146,FALSE)</f>
        <v>586855</v>
      </c>
      <c r="M32" s="286">
        <f>L32/'Table 1'!D32</f>
        <v>15.835694433201112</v>
      </c>
    </row>
    <row r="33" spans="1:13" x14ac:dyDescent="0.2">
      <c r="A33" s="36" t="s">
        <v>871</v>
      </c>
      <c r="B33" s="36" t="s">
        <v>1530</v>
      </c>
      <c r="C33" s="192">
        <f>VLOOKUP($A33,[0]!Data,140,FALSE)</f>
        <v>966314</v>
      </c>
      <c r="D33" s="212">
        <f>C33/'Table  4'!M33</f>
        <v>0.6168562808886483</v>
      </c>
      <c r="E33" s="147">
        <f>C33/'Table 1'!D33</f>
        <v>7.5034282475171414</v>
      </c>
      <c r="F33" s="192">
        <f>VLOOKUP($A33,[0]!Data,144,FALSE)</f>
        <v>156208</v>
      </c>
      <c r="G33" s="283">
        <f>F33/'Table  4'!M33</f>
        <v>9.9716951141196317E-2</v>
      </c>
      <c r="H33" s="284">
        <f>F33/'Table 1'!D33</f>
        <v>1.2129551260647757</v>
      </c>
      <c r="I33" s="192">
        <f>VLOOKUP($A33,[0]!Data,145,FALSE)</f>
        <v>159380</v>
      </c>
      <c r="J33" s="283">
        <f>I33/'Table  4'!M33</f>
        <v>0.10174182931017534</v>
      </c>
      <c r="K33" s="285">
        <f>I33/'Table 1'!D33</f>
        <v>1.2375857061879285</v>
      </c>
      <c r="L33" s="192">
        <f>VLOOKUP($A33,[0]!Data,146,FALSE)</f>
        <v>1281902</v>
      </c>
      <c r="M33" s="286">
        <f>L33/'Table 1'!D33</f>
        <v>9.9539690797698448</v>
      </c>
    </row>
    <row r="34" spans="1:13" x14ac:dyDescent="0.2">
      <c r="A34" s="36" t="s">
        <v>893</v>
      </c>
      <c r="B34" s="36" t="s">
        <v>1531</v>
      </c>
      <c r="C34" s="192">
        <f>VLOOKUP($A34,[0]!Data,140,FALSE)</f>
        <v>945461</v>
      </c>
      <c r="D34" s="212">
        <f>C34/'Table  4'!M34</f>
        <v>0.69750856336818678</v>
      </c>
      <c r="E34" s="147">
        <f>C34/'Table 1'!D34</f>
        <v>15.305904065014326</v>
      </c>
      <c r="F34" s="192">
        <f>VLOOKUP($A34,[0]!Data,144,FALSE)</f>
        <v>119569</v>
      </c>
      <c r="G34" s="283">
        <f>F34/'Table  4'!M34</f>
        <v>8.8211360821198057E-2</v>
      </c>
      <c r="H34" s="284">
        <f>F34/'Table 1'!D34</f>
        <v>1.935681792426867</v>
      </c>
      <c r="I34" s="192">
        <f>VLOOKUP($A34,[0]!Data,145,FALSE)</f>
        <v>189233</v>
      </c>
      <c r="J34" s="283">
        <f>I34/'Table  4'!M34</f>
        <v>0.13960558708593174</v>
      </c>
      <c r="K34" s="285">
        <f>I34/'Table 1'!D34</f>
        <v>3.0634601997701187</v>
      </c>
      <c r="L34" s="192">
        <f>VLOOKUP($A34,[0]!Data,146,FALSE)</f>
        <v>1254263</v>
      </c>
      <c r="M34" s="286">
        <f>L34/'Table 1'!D34</f>
        <v>20.305046057211314</v>
      </c>
    </row>
    <row r="35" spans="1:13" x14ac:dyDescent="0.2">
      <c r="A35" s="36" t="s">
        <v>905</v>
      </c>
      <c r="B35" s="36" t="s">
        <v>1532</v>
      </c>
      <c r="C35" s="192">
        <f>VLOOKUP($A35,[0]!Data,140,FALSE)</f>
        <v>2104501</v>
      </c>
      <c r="D35" s="212">
        <f>C35/'Table  4'!M35</f>
        <v>0.69126681933982659</v>
      </c>
      <c r="E35" s="147">
        <f>C35/'Table 1'!D35</f>
        <v>18.398400139878479</v>
      </c>
      <c r="F35" s="192">
        <f>VLOOKUP($A35,[0]!Data,144,FALSE)</f>
        <v>467383</v>
      </c>
      <c r="G35" s="283">
        <f>F35/'Table  4'!M35</f>
        <v>0.15352159957325093</v>
      </c>
      <c r="H35" s="284">
        <f>F35/'Table 1'!D35</f>
        <v>4.0860514927656597</v>
      </c>
      <c r="I35" s="192">
        <f>VLOOKUP($A35,[0]!Data,145,FALSE)</f>
        <v>298245</v>
      </c>
      <c r="J35" s="283">
        <f>I35/'Table  4'!M35</f>
        <v>9.7964730135080266E-2</v>
      </c>
      <c r="K35" s="285">
        <f>I35/'Table 1'!D35</f>
        <v>2.6073785898500677</v>
      </c>
      <c r="L35" s="192">
        <f>VLOOKUP($A35,[0]!Data,146,FALSE)</f>
        <v>2870129</v>
      </c>
      <c r="M35" s="286">
        <f>L35/'Table 1'!D35</f>
        <v>25.09183022249421</v>
      </c>
    </row>
    <row r="36" spans="1:13" x14ac:dyDescent="0.2">
      <c r="A36" s="36" t="s">
        <v>957</v>
      </c>
      <c r="B36" s="36" t="s">
        <v>1533</v>
      </c>
      <c r="C36" s="192">
        <f>VLOOKUP($A36,[0]!Data,140,FALSE)</f>
        <v>1526664</v>
      </c>
      <c r="D36" s="212">
        <f>C36/'Table  4'!M36</f>
        <v>0.71249511714420255</v>
      </c>
      <c r="E36" s="147">
        <f>C36/'Table 1'!D36</f>
        <v>11.365618695234621</v>
      </c>
      <c r="F36" s="192">
        <f>VLOOKUP($A36,[0]!Data,144,FALSE)</f>
        <v>329503</v>
      </c>
      <c r="G36" s="283">
        <f>F36/'Table  4'!M36</f>
        <v>0.15377927204962336</v>
      </c>
      <c r="H36" s="284">
        <f>F36/'Table 1'!D36</f>
        <v>2.4530646278001536</v>
      </c>
      <c r="I36" s="192">
        <f>VLOOKUP($A36,[0]!Data,145,FALSE)</f>
        <v>220126</v>
      </c>
      <c r="J36" s="283">
        <f>I36/'Table  4'!M36</f>
        <v>0.10273295247447031</v>
      </c>
      <c r="K36" s="285">
        <f>I36/'Table 1'!D36</f>
        <v>1.6387811469368612</v>
      </c>
      <c r="L36" s="192">
        <f>VLOOKUP($A36,[0]!Data,146,FALSE)</f>
        <v>2076293</v>
      </c>
      <c r="M36" s="286">
        <f>L36/'Table 1'!D36</f>
        <v>15.457464469971635</v>
      </c>
    </row>
    <row r="37" spans="1:13" x14ac:dyDescent="0.2">
      <c r="A37" s="36" t="s">
        <v>1198</v>
      </c>
      <c r="B37" s="36" t="s">
        <v>950</v>
      </c>
      <c r="C37" s="192">
        <f>VLOOKUP($A37,[0]!Data,140,FALSE)</f>
        <v>1009444</v>
      </c>
      <c r="D37" s="212">
        <f>C37/'Table  4'!M37</f>
        <v>0.70165521967996625</v>
      </c>
      <c r="E37" s="147">
        <f>C37/'Table 1'!D37</f>
        <v>5.9367534537413329</v>
      </c>
      <c r="F37" s="192">
        <f>VLOOKUP($A37,[0]!Data,144,FALSE)</f>
        <v>89000</v>
      </c>
      <c r="G37" s="283">
        <f>F37/'Table  4'!M37</f>
        <v>6.186307962751475E-2</v>
      </c>
      <c r="H37" s="284">
        <f>F37/'Table 1'!D37</f>
        <v>0.52342780519075705</v>
      </c>
      <c r="I37" s="192">
        <f>VLOOKUP($A37,[0]!Data,145,FALSE)</f>
        <v>309275</v>
      </c>
      <c r="J37" s="283">
        <f>I37/'Table  4'!M37</f>
        <v>0.21497420170561377</v>
      </c>
      <c r="K37" s="285">
        <f>I37/'Table 1'!D37</f>
        <v>1.8189116230378808</v>
      </c>
      <c r="L37" s="192">
        <f>VLOOKUP($A37,[0]!Data,146,FALSE)</f>
        <v>1407719</v>
      </c>
      <c r="M37" s="286">
        <f>L37/'Table 1'!D37</f>
        <v>8.2790928819699712</v>
      </c>
    </row>
    <row r="38" spans="1:13" x14ac:dyDescent="0.2">
      <c r="A38" s="36" t="s">
        <v>981</v>
      </c>
      <c r="B38" s="36" t="s">
        <v>1534</v>
      </c>
      <c r="C38" s="192">
        <f>VLOOKUP($A38,[0]!Data,140,FALSE)</f>
        <v>440282</v>
      </c>
      <c r="D38" s="212">
        <f>C38/'Table  4'!M38</f>
        <v>0.62983896463573563</v>
      </c>
      <c r="E38" s="147">
        <f>C38/'Table 1'!D38</f>
        <v>7.4316724056444539</v>
      </c>
      <c r="F38" s="192">
        <f>VLOOKUP($A38,[0]!Data,144,FALSE)</f>
        <v>92373</v>
      </c>
      <c r="G38" s="283">
        <f>F38/'Table  4'!M38</f>
        <v>0.13214284181569269</v>
      </c>
      <c r="H38" s="284">
        <f>F38/'Table 1'!D38</f>
        <v>1.5591958679359936</v>
      </c>
      <c r="I38" s="192">
        <f>VLOOKUP($A38,[0]!Data,145,FALSE)</f>
        <v>129403</v>
      </c>
      <c r="J38" s="283">
        <f>I38/'Table  4'!M38</f>
        <v>0.18511556579818866</v>
      </c>
      <c r="K38" s="285">
        <f>I38/'Table 1'!D38</f>
        <v>2.1842380663020728</v>
      </c>
      <c r="L38" s="192">
        <f>VLOOKUP($A38,[0]!Data,146,FALSE)</f>
        <v>662058</v>
      </c>
      <c r="M38" s="286">
        <f>L38/'Table 1'!D38</f>
        <v>11.17510633988252</v>
      </c>
    </row>
    <row r="39" spans="1:13" x14ac:dyDescent="0.2">
      <c r="A39" s="36" t="s">
        <v>992</v>
      </c>
      <c r="B39" s="36" t="s">
        <v>1535</v>
      </c>
      <c r="C39" s="192">
        <f>VLOOKUP($A39,[0]!Data,140,FALSE)</f>
        <v>775967</v>
      </c>
      <c r="D39" s="212">
        <f>C39/'Table  4'!M39</f>
        <v>0.58860783018245344</v>
      </c>
      <c r="E39" s="147">
        <f>C39/'Table 1'!D39</f>
        <v>9.4592054417124807</v>
      </c>
      <c r="F39" s="192">
        <f>VLOOKUP($A39,[0]!Data,144,FALSE)</f>
        <v>196172</v>
      </c>
      <c r="G39" s="283">
        <f>F39/'Table  4'!M39</f>
        <v>0.1488057807388101</v>
      </c>
      <c r="H39" s="284">
        <f>F39/'Table 1'!D39</f>
        <v>2.3913790791510734</v>
      </c>
      <c r="I39" s="192">
        <f>VLOOKUP($A39,[0]!Data,145,FALSE)</f>
        <v>265483</v>
      </c>
      <c r="J39" s="283">
        <f>I39/'Table  4'!M39</f>
        <v>0.20138146671228066</v>
      </c>
      <c r="K39" s="285">
        <f>I39/'Table 1'!D39</f>
        <v>3.2362951495130008</v>
      </c>
      <c r="L39" s="192">
        <f>VLOOKUP($A39,[0]!Data,146,FALSE)</f>
        <v>1237622</v>
      </c>
      <c r="M39" s="286">
        <f>L39/'Table 1'!D39</f>
        <v>15.086879670376556</v>
      </c>
    </row>
    <row r="40" spans="1:13" x14ac:dyDescent="0.2">
      <c r="A40" s="36" t="s">
        <v>1009</v>
      </c>
      <c r="B40" s="36" t="s">
        <v>1536</v>
      </c>
      <c r="C40" s="192">
        <f>VLOOKUP($A40,[0]!Data,140,FALSE)</f>
        <v>291565</v>
      </c>
      <c r="D40" s="212">
        <f>C40/'Table  4'!M40</f>
        <v>0.61089390625130946</v>
      </c>
      <c r="E40" s="147">
        <f>C40/'Table 1'!D40</f>
        <v>13.265617180035488</v>
      </c>
      <c r="F40" s="192">
        <f>VLOOKUP($A40,[0]!Data,144,FALSE)</f>
        <v>41029</v>
      </c>
      <c r="G40" s="283">
        <f>F40/'Table  4'!M40</f>
        <v>8.5964934335688359E-2</v>
      </c>
      <c r="H40" s="284">
        <f>F40/'Table 1'!D40</f>
        <v>1.8667364302288547</v>
      </c>
      <c r="I40" s="192">
        <f>VLOOKUP($A40,[0]!Data,145,FALSE)</f>
        <v>144682</v>
      </c>
      <c r="J40" s="283">
        <f>I40/'Table  4'!M40</f>
        <v>0.30314115941300213</v>
      </c>
      <c r="K40" s="285">
        <f>I40/'Table 1'!D40</f>
        <v>6.5827380681559671</v>
      </c>
      <c r="L40" s="192">
        <f>VLOOKUP($A40,[0]!Data,146,FALSE)</f>
        <v>477276</v>
      </c>
      <c r="M40" s="286">
        <f>L40/'Table 1'!D40</f>
        <v>21.715091678420311</v>
      </c>
    </row>
    <row r="41" spans="1:13" x14ac:dyDescent="0.2">
      <c r="A41" s="36" t="s">
        <v>1021</v>
      </c>
      <c r="B41" s="36" t="s">
        <v>1537</v>
      </c>
      <c r="C41" s="192">
        <f>VLOOKUP($A41,[0]!Data,140,FALSE)</f>
        <v>505336</v>
      </c>
      <c r="D41" s="212">
        <f>C41/'Table  4'!M41</f>
        <v>0.63971926768565479</v>
      </c>
      <c r="E41" s="147">
        <f>C41/'Table 1'!D41</f>
        <v>11.103845308723358</v>
      </c>
      <c r="F41" s="192">
        <f>VLOOKUP($A41,[0]!Data,144,FALSE)</f>
        <v>85001</v>
      </c>
      <c r="G41" s="283">
        <f>F41/'Table  4'!M41</f>
        <v>0.10760519233252398</v>
      </c>
      <c r="H41" s="284">
        <f>F41/'Table 1'!D41</f>
        <v>1.8677433531092067</v>
      </c>
      <c r="I41" s="192">
        <f>VLOOKUP($A41,[0]!Data,145,FALSE)</f>
        <v>132200</v>
      </c>
      <c r="J41" s="283">
        <f>I41/'Table  4'!M41</f>
        <v>0.16735575377183409</v>
      </c>
      <c r="K41" s="285">
        <f>I41/'Table 1'!D41</f>
        <v>2.9048560755877828</v>
      </c>
      <c r="L41" s="192">
        <f>VLOOKUP($A41,[0]!Data,146,FALSE)</f>
        <v>722537</v>
      </c>
      <c r="M41" s="286">
        <f>L41/'Table 1'!D41</f>
        <v>15.876444737420346</v>
      </c>
    </row>
    <row r="42" spans="1:13" x14ac:dyDescent="0.2">
      <c r="A42" s="36" t="s">
        <v>574</v>
      </c>
      <c r="B42" s="36" t="s">
        <v>1538</v>
      </c>
      <c r="C42" s="192">
        <f>VLOOKUP($A42,[0]!Data,140,FALSE)</f>
        <v>25564976</v>
      </c>
      <c r="D42" s="212">
        <f>C42/'Table  4'!M42</f>
        <v>0.66578837556104087</v>
      </c>
      <c r="E42" s="147">
        <f>C42/'Table 1'!D42</f>
        <v>24.265670664281071</v>
      </c>
      <c r="F42" s="192">
        <f>VLOOKUP($A42,[0]!Data,144,FALSE)</f>
        <v>3455923</v>
      </c>
      <c r="G42" s="283">
        <f>F42/'Table  4'!M42</f>
        <v>9.0002562890496712E-2</v>
      </c>
      <c r="H42" s="284">
        <f>F42/'Table 1'!D42</f>
        <v>3.2802803866944461</v>
      </c>
      <c r="I42" s="192">
        <f>VLOOKUP($A42,[0]!Data,145,FALSE)</f>
        <v>9411711</v>
      </c>
      <c r="J42" s="283">
        <f>I42/'Table  4'!M42</f>
        <v>0.24510908118748007</v>
      </c>
      <c r="K42" s="285">
        <f>I42/'Table 1'!D42</f>
        <v>8.933373515132244</v>
      </c>
      <c r="L42" s="192">
        <f>VLOOKUP($A42,[0]!Data,146,FALSE)</f>
        <v>38432610</v>
      </c>
      <c r="M42" s="286">
        <f>L42/'Table 1'!D42</f>
        <v>36.479324566107763</v>
      </c>
    </row>
    <row r="43" spans="1:13" x14ac:dyDescent="0.2">
      <c r="A43" s="36" t="s">
        <v>455</v>
      </c>
      <c r="B43" s="36" t="s">
        <v>1539</v>
      </c>
      <c r="C43" s="192">
        <f>VLOOKUP($A43,[0]!Data,140,FALSE)</f>
        <v>1405894</v>
      </c>
      <c r="D43" s="212">
        <f>C43/'Table  4'!M43</f>
        <v>0.65048655991590232</v>
      </c>
      <c r="E43" s="147">
        <f>C43/'Table 1'!D43</f>
        <v>15.762910640206302</v>
      </c>
      <c r="F43" s="192">
        <f>VLOOKUP($A43,[0]!Data,144,FALSE)</f>
        <v>121402</v>
      </c>
      <c r="G43" s="283">
        <f>F43/'Table  4'!M43</f>
        <v>5.6170927073385599E-2</v>
      </c>
      <c r="H43" s="284">
        <f>F43/'Table 1'!D43</f>
        <v>1.3611615651978921</v>
      </c>
      <c r="I43" s="192">
        <f>VLOOKUP($A43,[0]!Data,145,FALSE)</f>
        <v>565194</v>
      </c>
      <c r="J43" s="283">
        <f>I43/'Table  4'!M43</f>
        <v>0.26150698469807004</v>
      </c>
      <c r="K43" s="285">
        <f>I43/'Table 1'!D43</f>
        <v>6.3369660275815676</v>
      </c>
      <c r="L43" s="192">
        <f>VLOOKUP($A43,[0]!Data,146,FALSE)</f>
        <v>2092490</v>
      </c>
      <c r="M43" s="286">
        <f>L43/'Table 1'!D43</f>
        <v>23.461038232985761</v>
      </c>
    </row>
    <row r="44" spans="1:13" x14ac:dyDescent="0.2">
      <c r="A44" s="36" t="s">
        <v>1078</v>
      </c>
      <c r="B44" s="36" t="s">
        <v>1540</v>
      </c>
      <c r="C44" s="192">
        <f>VLOOKUP($A44,[0]!Data,140,FALSE)</f>
        <v>3093268</v>
      </c>
      <c r="D44" s="212">
        <f>C44/'Table  4'!M44</f>
        <v>0.73884983969088036</v>
      </c>
      <c r="E44" s="147">
        <f>C44/'Table 1'!D44</f>
        <v>13.833440664019177</v>
      </c>
      <c r="F44" s="192">
        <f>VLOOKUP($A44,[0]!Data,144,FALSE)</f>
        <v>608181</v>
      </c>
      <c r="G44" s="283">
        <f>F44/'Table  4'!M44</f>
        <v>0.1452685103111141</v>
      </c>
      <c r="H44" s="284">
        <f>F44/'Table 1'!D44</f>
        <v>2.7198534936138241</v>
      </c>
      <c r="I44" s="192">
        <f>VLOOKUP($A44,[0]!Data,145,FALSE)</f>
        <v>485150</v>
      </c>
      <c r="J44" s="283">
        <f>I44/'Table  4'!M44</f>
        <v>0.11588164999800554</v>
      </c>
      <c r="K44" s="285">
        <f>I44/'Table 1'!D44</f>
        <v>2.1696450931988123</v>
      </c>
      <c r="L44" s="192">
        <f>VLOOKUP($A44,[0]!Data,146,FALSE)</f>
        <v>4186599</v>
      </c>
      <c r="M44" s="286">
        <f>L44/'Table 1'!D44</f>
        <v>18.722939250831814</v>
      </c>
    </row>
    <row r="45" spans="1:13" x14ac:dyDescent="0.2">
      <c r="A45" s="36" t="s">
        <v>1108</v>
      </c>
      <c r="B45" s="36" t="s">
        <v>1541</v>
      </c>
      <c r="C45" s="192">
        <f>VLOOKUP($A45,[0]!Data,140,FALSE)</f>
        <v>2193138</v>
      </c>
      <c r="D45" s="212">
        <f>C45/'Table  4'!M45</f>
        <v>1.0714949467510779</v>
      </c>
      <c r="E45" s="147">
        <f>C45/'Table 1'!D45</f>
        <v>11.309848695813608</v>
      </c>
      <c r="F45" s="192">
        <f>VLOOKUP($A45,[0]!Data,144,FALSE)</f>
        <v>185838</v>
      </c>
      <c r="G45" s="283">
        <f>F45/'Table  4'!M45</f>
        <v>9.0794322069257305E-2</v>
      </c>
      <c r="H45" s="284">
        <f>F45/'Table 1'!D45</f>
        <v>0.95835267180296424</v>
      </c>
      <c r="I45" s="192">
        <f>VLOOKUP($A45,[0]!Data,145,FALSE)</f>
        <v>332174</v>
      </c>
      <c r="J45" s="283">
        <f>I45/'Table  4'!M45</f>
        <v>0.16228926882033534</v>
      </c>
      <c r="K45" s="285">
        <f>I45/'Table 1'!D45</f>
        <v>1.7129964829769897</v>
      </c>
      <c r="L45" s="192">
        <f>VLOOKUP($A45,[0]!Data,146,FALSE)</f>
        <v>2711150</v>
      </c>
      <c r="M45" s="286">
        <f>L45/'Table 1'!D45</f>
        <v>13.981197850593562</v>
      </c>
    </row>
    <row r="46" spans="1:13" x14ac:dyDescent="0.2">
      <c r="A46" s="36" t="s">
        <v>1117</v>
      </c>
      <c r="B46" s="36" t="s">
        <v>1131</v>
      </c>
      <c r="C46" s="192">
        <f>VLOOKUP($A46,[0]!Data,140,FALSE)</f>
        <v>1690347</v>
      </c>
      <c r="D46" s="212">
        <f>C46/'Table  4'!M46</f>
        <v>0.79254792172359256</v>
      </c>
      <c r="E46" s="147">
        <f>C46/'Table 1'!D46</f>
        <v>20.084682929147704</v>
      </c>
      <c r="F46" s="192">
        <f>VLOOKUP($A46,[0]!Data,144,FALSE)</f>
        <v>268078</v>
      </c>
      <c r="G46" s="283">
        <f>F46/'Table  4'!M46</f>
        <v>0.12569292681314384</v>
      </c>
      <c r="H46" s="284">
        <f>F46/'Table 1'!D46</f>
        <v>3.1852996043297965</v>
      </c>
      <c r="I46" s="192">
        <f>VLOOKUP($A46,[0]!Data,145,FALSE)</f>
        <v>125846</v>
      </c>
      <c r="J46" s="283">
        <f>I46/'Table  4'!M46</f>
        <v>5.9005036100414431E-2</v>
      </c>
      <c r="K46" s="285">
        <f>I46/'Table 1'!D46</f>
        <v>1.4953006737087249</v>
      </c>
      <c r="L46" s="192">
        <f>VLOOKUP($A46,[0]!Data,146,FALSE)</f>
        <v>2084271</v>
      </c>
      <c r="M46" s="286">
        <f>L46/'Table 1'!D46</f>
        <v>24.765283207186226</v>
      </c>
    </row>
    <row r="47" spans="1:13" x14ac:dyDescent="0.2">
      <c r="A47" s="36" t="s">
        <v>1133</v>
      </c>
      <c r="B47" s="36" t="s">
        <v>1542</v>
      </c>
      <c r="C47" s="192">
        <f>VLOOKUP($A47,[0]!Data,140,FALSE)</f>
        <v>583516</v>
      </c>
      <c r="D47" s="212">
        <f>C47/'Table  4'!M47</f>
        <v>0.73345743738129565</v>
      </c>
      <c r="E47" s="147">
        <f>C47/'Table 1'!D47</f>
        <v>9.8137540153719378</v>
      </c>
      <c r="F47" s="192">
        <f>VLOOKUP($A47,[0]!Data,144,FALSE)</f>
        <v>93555</v>
      </c>
      <c r="G47" s="283">
        <f>F47/'Table  4'!M47</f>
        <v>0.11759507974795398</v>
      </c>
      <c r="H47" s="284">
        <f>F47/'Table 1'!D47</f>
        <v>1.573437158378042</v>
      </c>
      <c r="I47" s="192">
        <f>VLOOKUP($A47,[0]!Data,145,FALSE)</f>
        <v>90842</v>
      </c>
      <c r="J47" s="283">
        <f>I47/'Table  4'!M47</f>
        <v>0.11418494184665315</v>
      </c>
      <c r="K47" s="285">
        <f>I47/'Table 1'!D47</f>
        <v>1.5278090785246976</v>
      </c>
      <c r="L47" s="192">
        <f>VLOOKUP($A47,[0]!Data,146,FALSE)</f>
        <v>767913</v>
      </c>
      <c r="M47" s="286">
        <f>L47/'Table 1'!D47</f>
        <v>12.915000252274677</v>
      </c>
    </row>
    <row r="48" spans="1:13" x14ac:dyDescent="0.2">
      <c r="A48" s="36" t="s">
        <v>1159</v>
      </c>
      <c r="B48" s="36" t="s">
        <v>1543</v>
      </c>
      <c r="C48" s="192">
        <f>VLOOKUP($A48,[0]!Data,140,FALSE)</f>
        <v>392982</v>
      </c>
      <c r="D48" s="212">
        <f>C48/'Table  4'!M48</f>
        <v>0.78558534786233036</v>
      </c>
      <c r="E48" s="147">
        <f>C48/'Table 1'!D48</f>
        <v>9.8918143374949654</v>
      </c>
      <c r="F48" s="192">
        <f>VLOOKUP($A48,[0]!Data,144,FALSE)</f>
        <v>73629</v>
      </c>
      <c r="G48" s="283">
        <f>F48/'Table  4'!M48</f>
        <v>0.14718705583908556</v>
      </c>
      <c r="H48" s="284">
        <f>F48/'Table 1'!D48</f>
        <v>1.8533276278695128</v>
      </c>
      <c r="I48" s="192">
        <f>VLOOKUP($A48,[0]!Data,145,FALSE)</f>
        <v>48687</v>
      </c>
      <c r="J48" s="283">
        <f>I48/'Table  4'!M48</f>
        <v>9.7327088343418466E-2</v>
      </c>
      <c r="K48" s="285">
        <f>I48/'Table 1'!D48</f>
        <v>1.2255084575110753</v>
      </c>
      <c r="L48" s="192">
        <f>VLOOKUP($A48,[0]!Data,146,FALSE)</f>
        <v>515298</v>
      </c>
      <c r="M48" s="286">
        <f>L48/'Table 1'!D48</f>
        <v>12.970650422875554</v>
      </c>
    </row>
    <row r="49" spans="1:13" x14ac:dyDescent="0.2">
      <c r="A49" s="36" t="s">
        <v>1335</v>
      </c>
      <c r="B49" s="36" t="s">
        <v>1544</v>
      </c>
      <c r="C49" s="192">
        <f>VLOOKUP($A49,[0]!Data,140,FALSE)</f>
        <v>1410744</v>
      </c>
      <c r="D49" s="212">
        <f>C49/'Table  4'!M49</f>
        <v>0.60333119784044364</v>
      </c>
      <c r="E49" s="147">
        <f>C49/'Table 1'!D49</f>
        <v>8.2396051747802463</v>
      </c>
      <c r="F49" s="192">
        <f>VLOOKUP($A49,[0]!Data,144,FALSE)</f>
        <v>277544</v>
      </c>
      <c r="G49" s="283">
        <f>F49/'Table  4'!M49</f>
        <v>0.11869691026396574</v>
      </c>
      <c r="H49" s="284">
        <f>F49/'Table 1'!D49</f>
        <v>1.621026195134772</v>
      </c>
      <c r="I49" s="192">
        <f>VLOOKUP($A49,[0]!Data,145,FALSE)</f>
        <v>528209</v>
      </c>
      <c r="J49" s="283">
        <f>I49/'Table  4'!M49</f>
        <v>0.22589851077169415</v>
      </c>
      <c r="K49" s="285">
        <f>I49/'Table 1'!D49</f>
        <v>3.0850626405396722</v>
      </c>
      <c r="L49" s="192">
        <f>VLOOKUP($A49,[0]!Data,146,FALSE)</f>
        <v>2216497</v>
      </c>
      <c r="M49" s="286">
        <f>L49/'Table 1'!D49</f>
        <v>12.945694010454691</v>
      </c>
    </row>
    <row r="50" spans="1:13" x14ac:dyDescent="0.2">
      <c r="A50" s="36" t="s">
        <v>1187</v>
      </c>
      <c r="B50" s="36" t="s">
        <v>1545</v>
      </c>
      <c r="C50" s="192">
        <f>VLOOKUP($A50,[0]!Data,140,FALSE)</f>
        <v>380888</v>
      </c>
      <c r="D50" s="212">
        <f>C50/'Table  4'!M50</f>
        <v>0.65392763819785671</v>
      </c>
      <c r="E50" s="147">
        <f>C50/'Table 1'!D50</f>
        <v>18.11165002377556</v>
      </c>
      <c r="F50" s="192">
        <f>VLOOKUP($A50,[0]!Data,144,FALSE)</f>
        <v>66632</v>
      </c>
      <c r="G50" s="283">
        <f>F50/'Table  4'!M50</f>
        <v>0.11439716238999283</v>
      </c>
      <c r="H50" s="284">
        <f>F50/'Table 1'!D50</f>
        <v>3.1684260580123631</v>
      </c>
      <c r="I50" s="192">
        <f>VLOOKUP($A50,[0]!Data,145,FALSE)</f>
        <v>122463</v>
      </c>
      <c r="J50" s="283">
        <f>I50/'Table  4'!M50</f>
        <v>0.21025062579189716</v>
      </c>
      <c r="K50" s="285">
        <f>I50/'Table 1'!D50</f>
        <v>5.8232524964336658</v>
      </c>
      <c r="L50" s="192">
        <f>VLOOKUP($A50,[0]!Data,146,FALSE)</f>
        <v>569983</v>
      </c>
      <c r="M50" s="286">
        <f>L50/'Table 1'!D50</f>
        <v>27.103328578221589</v>
      </c>
    </row>
    <row r="51" spans="1:13" x14ac:dyDescent="0.2">
      <c r="A51" s="36" t="s">
        <v>1210</v>
      </c>
      <c r="B51" s="36" t="s">
        <v>1546</v>
      </c>
      <c r="C51" s="192">
        <f>VLOOKUP($A51,[0]!Data,140,FALSE)</f>
        <v>1954371</v>
      </c>
      <c r="D51" s="212">
        <f>C51/'Table  4'!M51</f>
        <v>0.70408830487793017</v>
      </c>
      <c r="E51" s="147">
        <f>C51/'Table 1'!D51</f>
        <v>13.600260262628652</v>
      </c>
      <c r="F51" s="192">
        <f>VLOOKUP($A51,[0]!Data,144,FALSE)</f>
        <v>224917</v>
      </c>
      <c r="G51" s="283">
        <f>F51/'Table  4'!M51</f>
        <v>8.1029358943736585E-2</v>
      </c>
      <c r="H51" s="284">
        <f>F51/'Table 1'!D51</f>
        <v>1.5651735200172581</v>
      </c>
      <c r="I51" s="192">
        <f>VLOOKUP($A51,[0]!Data,145,FALSE)</f>
        <v>567968</v>
      </c>
      <c r="J51" s="283">
        <f>I51/'Table  4'!M51</f>
        <v>0.2046180721802095</v>
      </c>
      <c r="K51" s="285">
        <f>I51/'Table 1'!D51</f>
        <v>3.9524290018858603</v>
      </c>
      <c r="L51" s="192">
        <f>VLOOKUP($A51,[0]!Data,146,FALSE)</f>
        <v>2747256</v>
      </c>
      <c r="M51" s="286">
        <f>L51/'Table 1'!D51</f>
        <v>19.11786278453177</v>
      </c>
    </row>
    <row r="52" spans="1:13" x14ac:dyDescent="0.2">
      <c r="A52" s="36" t="s">
        <v>1236</v>
      </c>
      <c r="B52" s="36" t="s">
        <v>1547</v>
      </c>
      <c r="C52" s="192">
        <f>VLOOKUP($A52,[0]!Data,140,FALSE)</f>
        <v>804330</v>
      </c>
      <c r="D52" s="212">
        <f>C52/'Table  4'!M52</f>
        <v>0.63678136167800636</v>
      </c>
      <c r="E52" s="147">
        <f>C52/'Table 1'!D52</f>
        <v>6.0632307379180892</v>
      </c>
      <c r="F52" s="192">
        <f>VLOOKUP($A52,[0]!Data,144,FALSE)</f>
        <v>132007</v>
      </c>
      <c r="G52" s="283">
        <f>F52/'Table  4'!M52</f>
        <v>0.10450884240427261</v>
      </c>
      <c r="H52" s="284">
        <f>F52/'Table 1'!D52</f>
        <v>0.99510014548798786</v>
      </c>
      <c r="I52" s="192">
        <f>VLOOKUP($A52,[0]!Data,145,FALSE)</f>
        <v>259313</v>
      </c>
      <c r="J52" s="283">
        <f>I52/'Table  4'!M52</f>
        <v>0.20529594226350983</v>
      </c>
      <c r="K52" s="285">
        <f>I52/'Table 1'!D52</f>
        <v>1.9547630354975614</v>
      </c>
      <c r="L52" s="192">
        <f>VLOOKUP($A52,[0]!Data,146,FALSE)</f>
        <v>1195650</v>
      </c>
      <c r="M52" s="286">
        <f>L52/'Table 1'!D52</f>
        <v>9.013093918903639</v>
      </c>
    </row>
    <row r="53" spans="1:13" x14ac:dyDescent="0.2">
      <c r="A53" s="36" t="s">
        <v>1249</v>
      </c>
      <c r="B53" s="36" t="s">
        <v>1548</v>
      </c>
      <c r="C53" s="192">
        <f>VLOOKUP($A53,[0]!Data,140,FALSE)</f>
        <v>1285824</v>
      </c>
      <c r="D53" s="212">
        <f>C53/'Table  4'!M53</f>
        <v>0.70988935031264799</v>
      </c>
      <c r="E53" s="147">
        <f>C53/'Table 1'!D53</f>
        <v>13.992926401932724</v>
      </c>
      <c r="F53" s="192">
        <f>VLOOKUP($A53,[0]!Data,144,FALSE)</f>
        <v>209673</v>
      </c>
      <c r="G53" s="283">
        <f>F53/'Table  4'!M53</f>
        <v>0.11575816732935755</v>
      </c>
      <c r="H53" s="284">
        <f>F53/'Table 1'!D53</f>
        <v>2.2817577347074249</v>
      </c>
      <c r="I53" s="192">
        <f>VLOOKUP($A53,[0]!Data,145,FALSE)</f>
        <v>315805</v>
      </c>
      <c r="J53" s="283">
        <f>I53/'Table  4'!M53</f>
        <v>0.17435248235799441</v>
      </c>
      <c r="K53" s="285">
        <f>I53/'Table 1'!D53</f>
        <v>3.4367348271321458</v>
      </c>
      <c r="L53" s="192">
        <f>VLOOKUP($A53,[0]!Data,146,FALSE)</f>
        <v>1811302</v>
      </c>
      <c r="M53" s="286">
        <f>L53/'Table 1'!D53</f>
        <v>19.711418963772296</v>
      </c>
    </row>
    <row r="54" spans="1:13" x14ac:dyDescent="0.2">
      <c r="A54" s="36" t="s">
        <v>1265</v>
      </c>
      <c r="B54" s="36" t="s">
        <v>1549</v>
      </c>
      <c r="C54" s="192">
        <f>VLOOKUP($A54,[0]!Data,140,FALSE)</f>
        <v>2089291</v>
      </c>
      <c r="D54" s="212">
        <f>C54/'Table  4'!M54</f>
        <v>0.65755088385630567</v>
      </c>
      <c r="E54" s="147">
        <f>C54/'Table 1'!D54</f>
        <v>14.820820032631056</v>
      </c>
      <c r="F54" s="192">
        <f>VLOOKUP($A54,[0]!Data,144,FALSE)</f>
        <v>256345</v>
      </c>
      <c r="G54" s="283">
        <f>F54/'Table  4'!M54</f>
        <v>8.0678029686694991E-2</v>
      </c>
      <c r="H54" s="284">
        <f>F54/'Table 1'!D54</f>
        <v>1.8184365467830035</v>
      </c>
      <c r="I54" s="192">
        <f>VLOOKUP($A54,[0]!Data,145,FALSE)</f>
        <v>603852</v>
      </c>
      <c r="J54" s="283">
        <f>I54/'Table  4'!M54</f>
        <v>0.19004696632417306</v>
      </c>
      <c r="K54" s="285">
        <f>I54/'Table 1'!D54</f>
        <v>4.2835496914237075</v>
      </c>
      <c r="L54" s="192">
        <f>VLOOKUP($A54,[0]!Data,146,FALSE)</f>
        <v>2949488</v>
      </c>
      <c r="M54" s="286">
        <f>L54/'Table 1'!D54</f>
        <v>20.922806270837768</v>
      </c>
    </row>
    <row r="55" spans="1:13" x14ac:dyDescent="0.2">
      <c r="A55" s="36" t="s">
        <v>1280</v>
      </c>
      <c r="B55" s="36" t="s">
        <v>1550</v>
      </c>
      <c r="C55" s="192">
        <f>VLOOKUP($A55,[0]!Data,140,FALSE)</f>
        <v>428812</v>
      </c>
      <c r="D55" s="212">
        <f>C55/'Table  4'!M55</f>
        <v>0.69115625206511</v>
      </c>
      <c r="E55" s="147">
        <f>C55/'Table 1'!D55</f>
        <v>6.3337222870478413</v>
      </c>
      <c r="F55" s="192">
        <f>VLOOKUP($A55,[0]!Data,144,FALSE)</f>
        <v>99570</v>
      </c>
      <c r="G55" s="283">
        <f>F55/'Table  4'!M55</f>
        <v>0.16048624576299872</v>
      </c>
      <c r="H55" s="284">
        <f>F55/'Table 1'!D55</f>
        <v>1.4706881526667948</v>
      </c>
      <c r="I55" s="192">
        <f>VLOOKUP($A55,[0]!Data,145,FALSE)</f>
        <v>72593</v>
      </c>
      <c r="J55" s="283">
        <f>I55/'Table  4'!M55</f>
        <v>0.11700490146302465</v>
      </c>
      <c r="K55" s="285">
        <f>I55/'Table 1'!D55</f>
        <v>1.0722272277447085</v>
      </c>
      <c r="L55" s="192">
        <f>VLOOKUP($A55,[0]!Data,146,FALSE)</f>
        <v>600975</v>
      </c>
      <c r="M55" s="286">
        <f>L55/'Table 1'!D55</f>
        <v>8.8766376674593452</v>
      </c>
    </row>
    <row r="56" spans="1:13" x14ac:dyDescent="0.2">
      <c r="A56" s="36" t="s">
        <v>1292</v>
      </c>
      <c r="B56" s="36" t="s">
        <v>1551</v>
      </c>
      <c r="C56" s="192">
        <f>VLOOKUP($A56,[0]!Data,140,FALSE)</f>
        <v>610226</v>
      </c>
      <c r="D56" s="212">
        <f>C56/'Table  4'!M56</f>
        <v>0.72912429952325764</v>
      </c>
      <c r="E56" s="147">
        <f>C56/'Table 1'!D56</f>
        <v>9.610009606450495</v>
      </c>
      <c r="F56" s="192">
        <f>VLOOKUP($A56,[0]!Data,144,FALSE)</f>
        <v>118661</v>
      </c>
      <c r="G56" s="283">
        <f>F56/'Table  4'!M56</f>
        <v>0.14178127202991886</v>
      </c>
      <c r="H56" s="284">
        <f>F56/'Table 1'!D56</f>
        <v>1.8687065938046268</v>
      </c>
      <c r="I56" s="192">
        <f>VLOOKUP($A56,[0]!Data,145,FALSE)</f>
        <v>97320</v>
      </c>
      <c r="J56" s="283">
        <f>I56/'Table  4'!M56</f>
        <v>0.11628212634270489</v>
      </c>
      <c r="K56" s="285">
        <f>I56/'Table 1'!D56</f>
        <v>1.5326225609852124</v>
      </c>
      <c r="L56" s="192">
        <f>VLOOKUP($A56,[0]!Data,146,FALSE)</f>
        <v>826207</v>
      </c>
      <c r="M56" s="286">
        <f>L56/'Table 1'!D56</f>
        <v>13.011338761240335</v>
      </c>
    </row>
    <row r="57" spans="1:13" x14ac:dyDescent="0.2">
      <c r="A57" s="36" t="s">
        <v>1323</v>
      </c>
      <c r="B57" s="36" t="s">
        <v>1552</v>
      </c>
      <c r="C57" s="192">
        <f>VLOOKUP($A57,[0]!Data,140,FALSE)</f>
        <v>270486</v>
      </c>
      <c r="D57" s="212">
        <f>C57/'Table  4'!M57</f>
        <v>0.57557315583625213</v>
      </c>
      <c r="E57" s="147">
        <f>C57/'Table 1'!D57</f>
        <v>7.5577970884908767</v>
      </c>
      <c r="F57" s="192">
        <f>VLOOKUP($A57,[0]!Data,144,FALSE)</f>
        <v>70163</v>
      </c>
      <c r="G57" s="283">
        <f>F57/'Table  4'!M57</f>
        <v>0.14930140315187831</v>
      </c>
      <c r="H57" s="284">
        <f>F57/'Table 1'!D57</f>
        <v>1.9604627120064824</v>
      </c>
      <c r="I57" s="192">
        <f>VLOOKUP($A57,[0]!Data,145,FALSE)</f>
        <v>106726</v>
      </c>
      <c r="J57" s="283">
        <f>I57/'Table  4'!M57</f>
        <v>0.22710462142136689</v>
      </c>
      <c r="K57" s="285">
        <f>I57/'Table 1'!D57</f>
        <v>2.9820894688312052</v>
      </c>
      <c r="L57" s="192">
        <f>VLOOKUP($A57,[0]!Data,146,FALSE)</f>
        <v>447375</v>
      </c>
      <c r="M57" s="286">
        <f>L57/'Table 1'!D57</f>
        <v>12.500349269328565</v>
      </c>
    </row>
    <row r="58" spans="1:13" x14ac:dyDescent="0.2">
      <c r="A58" s="36" t="s">
        <v>1360</v>
      </c>
      <c r="B58" s="36" t="s">
        <v>1553</v>
      </c>
      <c r="C58" s="192">
        <f>VLOOKUP($A58,[0]!Data,140,FALSE)</f>
        <v>847383</v>
      </c>
      <c r="D58" s="212">
        <f>C58/'Table  4'!M58</f>
        <v>0.62524109231234648</v>
      </c>
      <c r="E58" s="147">
        <f>C58/'Table 1'!D58</f>
        <v>13.72257939142686</v>
      </c>
      <c r="F58" s="192">
        <f>VLOOKUP($A58,[0]!Data,144,FALSE)</f>
        <v>87546</v>
      </c>
      <c r="G58" s="283">
        <f>F58/'Table  4'!M58</f>
        <v>6.4595769171173698E-2</v>
      </c>
      <c r="H58" s="284">
        <f>F58/'Table 1'!D58</f>
        <v>1.4177260287282798</v>
      </c>
      <c r="I58" s="192">
        <f>VLOOKUP($A58,[0]!Data,145,FALSE)</f>
        <v>224251</v>
      </c>
      <c r="J58" s="283">
        <f>I58/'Table  4'!M58</f>
        <v>0.16546348014078169</v>
      </c>
      <c r="K58" s="285">
        <f>I58/'Table 1'!D58</f>
        <v>3.6315363313954432</v>
      </c>
      <c r="L58" s="192">
        <f>VLOOKUP($A58,[0]!Data,146,FALSE)</f>
        <v>1159180</v>
      </c>
      <c r="M58" s="286">
        <f>L58/'Table 1'!D58</f>
        <v>18.771841751550582</v>
      </c>
    </row>
    <row r="59" spans="1:13" x14ac:dyDescent="0.2">
      <c r="A59" s="36" t="s">
        <v>1371</v>
      </c>
      <c r="B59" s="36" t="s">
        <v>1554</v>
      </c>
      <c r="C59" s="192">
        <f>VLOOKUP($A59,[0]!Data,140,FALSE)</f>
        <v>945697</v>
      </c>
      <c r="D59" s="212">
        <f>C59/'Table  4'!M59</f>
        <v>0.73746607816837706</v>
      </c>
      <c r="E59" s="147">
        <f>C59/'Table 1'!D59</f>
        <v>27.701367936963589</v>
      </c>
      <c r="F59" s="192">
        <f>VLOOKUP($A59,[0]!Data,144,FALSE)</f>
        <v>143277</v>
      </c>
      <c r="G59" s="283">
        <f>F59/'Table  4'!M59</f>
        <v>0.11172915561932686</v>
      </c>
      <c r="H59" s="284">
        <f>F59/'Table 1'!D59</f>
        <v>4.1968716131111048</v>
      </c>
      <c r="I59" s="192">
        <f>VLOOKUP($A59,[0]!Data,145,FALSE)</f>
        <v>164584</v>
      </c>
      <c r="J59" s="283">
        <f>I59/'Table  4'!M59</f>
        <v>0.12834461461680027</v>
      </c>
      <c r="K59" s="285">
        <f>I59/'Table 1'!D59</f>
        <v>4.820996514250564</v>
      </c>
      <c r="L59" s="192">
        <f>VLOOKUP($A59,[0]!Data,146,FALSE)</f>
        <v>1253558</v>
      </c>
      <c r="M59" s="286">
        <f>L59/'Table 1'!D59</f>
        <v>36.719236064325258</v>
      </c>
    </row>
    <row r="60" spans="1:13" x14ac:dyDescent="0.2">
      <c r="A60" s="36" t="s">
        <v>1383</v>
      </c>
      <c r="B60" s="36" t="s">
        <v>1555</v>
      </c>
      <c r="C60" s="192">
        <f>VLOOKUP($A60,[0]!Data,140,FALSE)</f>
        <v>3255657</v>
      </c>
      <c r="D60" s="212">
        <f>C60/'Table  4'!M60</f>
        <v>0.72491079050765583</v>
      </c>
      <c r="E60" s="147">
        <f>C60/'Table 1'!D60</f>
        <v>14.539700332715539</v>
      </c>
      <c r="F60" s="192">
        <f>VLOOKUP($A60,[0]!Data,144,FALSE)</f>
        <v>483832</v>
      </c>
      <c r="G60" s="283">
        <f>F60/'Table  4'!M60</f>
        <v>0.10773095494792606</v>
      </c>
      <c r="H60" s="284">
        <f>F60/'Table 1'!D60</f>
        <v>2.1607842261572472</v>
      </c>
      <c r="I60" s="192">
        <f>VLOOKUP($A60,[0]!Data,145,FALSE)</f>
        <v>682648</v>
      </c>
      <c r="J60" s="283">
        <f>I60/'Table  4'!M60</f>
        <v>0.1519997043049898</v>
      </c>
      <c r="K60" s="285">
        <f>I60/'Table 1'!D60</f>
        <v>3.0486925842395554</v>
      </c>
      <c r="L60" s="192">
        <f>VLOOKUP($A60,[0]!Data,146,FALSE)</f>
        <v>4422137</v>
      </c>
      <c r="M60" s="286">
        <f>L60/'Table 1'!D60</f>
        <v>19.749177143112341</v>
      </c>
    </row>
    <row r="61" spans="1:13" x14ac:dyDescent="0.2">
      <c r="A61" s="36" t="s">
        <v>1146</v>
      </c>
      <c r="B61" s="36" t="s">
        <v>1556</v>
      </c>
      <c r="C61" s="192">
        <f>VLOOKUP($A61,[0]!Data,140,FALSE)</f>
        <v>590162</v>
      </c>
      <c r="D61" s="212">
        <f>C61/'Table  4'!M61</f>
        <v>0.64098019154616293</v>
      </c>
      <c r="E61" s="147">
        <f>C61/'Table 1'!D61</f>
        <v>13.130759817554789</v>
      </c>
      <c r="F61" s="192">
        <f>VLOOKUP($A61,[0]!Data,144,FALSE)</f>
        <v>65782</v>
      </c>
      <c r="G61" s="283">
        <f>F61/'Table  4'!M61</f>
        <v>7.144641464596109E-2</v>
      </c>
      <c r="H61" s="284">
        <f>F61/'Table 1'!D61</f>
        <v>1.4636110802091444</v>
      </c>
      <c r="I61" s="192">
        <f>VLOOKUP($A61,[0]!Data,145,FALSE)</f>
        <v>286366</v>
      </c>
      <c r="J61" s="283">
        <f>I61/'Table  4'!M61</f>
        <v>0.31102465684389791</v>
      </c>
      <c r="K61" s="285">
        <f>I61/'Table 1'!D61</f>
        <v>6.3714762487484702</v>
      </c>
      <c r="L61" s="192">
        <f>VLOOKUP($A61,[0]!Data,146,FALSE)</f>
        <v>942310</v>
      </c>
      <c r="M61" s="286">
        <f>L61/'Table 1'!D61</f>
        <v>20.965847146512402</v>
      </c>
    </row>
    <row r="62" spans="1:13" x14ac:dyDescent="0.2">
      <c r="A62" s="36" t="s">
        <v>1394</v>
      </c>
      <c r="B62" s="36" t="s">
        <v>1557</v>
      </c>
      <c r="C62" s="192">
        <f>VLOOKUP($A62,All!A$3:RC$87,140,FALSE)</f>
        <v>13947962</v>
      </c>
      <c r="D62" s="212">
        <f>C62/'Table  4'!M62</f>
        <v>0.68292132879578826</v>
      </c>
      <c r="E62" s="147">
        <f>C62/'Table 1'!D62</f>
        <v>13.584601090043517</v>
      </c>
      <c r="F62" s="192">
        <f>VLOOKUP($A62,All!A$3:RC$87,144,FALSE)</f>
        <v>2323896</v>
      </c>
      <c r="G62" s="283">
        <f>F62/'Table  4'!M62</f>
        <v>0.11378279811080766</v>
      </c>
      <c r="H62" s="284">
        <f>F62/'Table 1'!D62</f>
        <v>2.2633557601280936</v>
      </c>
      <c r="I62" s="192">
        <f>VLOOKUP($A62,All!A$3:RC$87,145,FALSE)</f>
        <v>3771788</v>
      </c>
      <c r="J62" s="283">
        <f>I62/'Table  4'!M62</f>
        <v>0.18467461216886083</v>
      </c>
      <c r="K62" s="285">
        <f>I62/'Table 1'!D62</f>
        <v>3.6735284607323315</v>
      </c>
      <c r="L62" s="192">
        <f>VLOOKUP($A62,All!A$3:RC$87,146,FALSE)</f>
        <v>20043646</v>
      </c>
      <c r="M62" s="286">
        <f>L62/'Table 1'!D62</f>
        <v>19.521485310903941</v>
      </c>
    </row>
    <row r="63" spans="1:13" x14ac:dyDescent="0.2">
      <c r="A63" s="36" t="s">
        <v>1408</v>
      </c>
      <c r="B63" s="36" t="s">
        <v>1558</v>
      </c>
      <c r="C63" s="192">
        <f>VLOOKUP($A63,All!A$3:RC$87,140,FALSE)</f>
        <v>366667</v>
      </c>
      <c r="D63" s="212">
        <f>C63/'Table  4'!M63</f>
        <v>0.72765682147882227</v>
      </c>
      <c r="E63" s="147">
        <f>C63/'Table 1'!D63</f>
        <v>18.223100243526662</v>
      </c>
      <c r="F63" s="192">
        <f>VLOOKUP($A63,All!A$3:RC$87,144,FALSE)</f>
        <v>19707</v>
      </c>
      <c r="G63" s="283">
        <f>F63/'Table  4'!M63</f>
        <v>3.9108872576160796E-2</v>
      </c>
      <c r="H63" s="284">
        <f>F63/'Table 1'!D63</f>
        <v>0.97942448188459819</v>
      </c>
      <c r="I63" s="192">
        <f>VLOOKUP($A63,All!A$3:RC$87,145,FALSE)</f>
        <v>102327</v>
      </c>
      <c r="J63" s="283">
        <f>I63/'Table  4'!M63</f>
        <v>0.20306965058612703</v>
      </c>
      <c r="K63" s="285">
        <f>I63/'Table 1'!D63</f>
        <v>5.0855822275234832</v>
      </c>
      <c r="L63" s="192">
        <f>VLOOKUP($A63,All!A$3:RC$87,146,FALSE)</f>
        <v>488701</v>
      </c>
      <c r="M63" s="286">
        <f>L63/'Table 1'!D63</f>
        <v>24.288106952934744</v>
      </c>
    </row>
    <row r="64" spans="1:13" x14ac:dyDescent="0.2">
      <c r="A64" s="36" t="s">
        <v>1420</v>
      </c>
      <c r="B64" s="36" t="s">
        <v>1559</v>
      </c>
      <c r="C64" s="192">
        <f>VLOOKUP($A64,All!A$3:RC$87,140,FALSE)</f>
        <v>1487225</v>
      </c>
      <c r="D64" s="212">
        <f>C64/'Table  4'!M64</f>
        <v>0.79429656373172108</v>
      </c>
      <c r="E64" s="147">
        <f>C64/'Table 1'!D64</f>
        <v>11.916103134414461</v>
      </c>
      <c r="F64" s="192">
        <f>VLOOKUP($A64,All!A$3:RC$87,144,FALSE)</f>
        <v>230180</v>
      </c>
      <c r="G64" s="283">
        <f>F64/'Table  4'!M64</f>
        <v>0.12293444706736881</v>
      </c>
      <c r="H64" s="284">
        <f>F64/'Table 1'!D64</f>
        <v>1.8442728030254472</v>
      </c>
      <c r="I64" s="192">
        <f>VLOOKUP($A64,All!A$3:RC$87,145,FALSE)</f>
        <v>154975</v>
      </c>
      <c r="J64" s="283">
        <f>I64/'Table  4'!M64</f>
        <v>8.2768989200910068E-2</v>
      </c>
      <c r="K64" s="285">
        <f>I64/'Table 1'!D64</f>
        <v>1.2417072623549772</v>
      </c>
      <c r="L64" s="192">
        <f>VLOOKUP($A64,All!A$3:RC$87,146,FALSE)</f>
        <v>1872380</v>
      </c>
      <c r="M64" s="286">
        <f>L64/'Table 1'!D64</f>
        <v>15.002083199794885</v>
      </c>
    </row>
    <row r="65" spans="1:13" x14ac:dyDescent="0.2">
      <c r="A65" s="36" t="s">
        <v>1432</v>
      </c>
      <c r="B65" s="36" t="s">
        <v>1560</v>
      </c>
      <c r="C65" s="192">
        <f>VLOOKUP($A65,All!A$3:RC$87,140,FALSE)</f>
        <v>1362068</v>
      </c>
      <c r="D65" s="212">
        <f>C65/'Table  4'!M65</f>
        <v>0.7468247823788855</v>
      </c>
      <c r="E65" s="147">
        <f>C65/'Table 1'!D65</f>
        <v>16.659751950879425</v>
      </c>
      <c r="F65" s="192">
        <f>VLOOKUP($A65,All!A$3:RC$87,144,FALSE)</f>
        <v>108850</v>
      </c>
      <c r="G65" s="283">
        <f>F65/'Table  4'!M65</f>
        <v>5.9682686592697057E-2</v>
      </c>
      <c r="H65" s="284">
        <f>F65/'Table 1'!D65</f>
        <v>1.3313681841532328</v>
      </c>
      <c r="I65" s="192">
        <f>VLOOKUP($A65,All!A$3:RC$87,145,FALSE)</f>
        <v>329300</v>
      </c>
      <c r="J65" s="283">
        <f>I65/'Table  4'!M65</f>
        <v>0.18055589062907801</v>
      </c>
      <c r="K65" s="285">
        <f>I65/'Table 1'!D65</f>
        <v>4.0277404046087231</v>
      </c>
      <c r="L65" s="192">
        <f>VLOOKUP($A65,All!A$3:RC$87,146,FALSE)</f>
        <v>1800218</v>
      </c>
      <c r="M65" s="286">
        <f>L65/'Table 1'!D65</f>
        <v>22.018860539641381</v>
      </c>
    </row>
    <row r="66" spans="1:13" ht="13.5" thickBot="1" x14ac:dyDescent="0.25">
      <c r="A66" s="599" t="s">
        <v>1471</v>
      </c>
      <c r="B66" s="634"/>
      <c r="C66" s="150">
        <f t="shared" ref="C66:K66" si="0">AVERAGE(C8:C65)</f>
        <v>2179761.5862068967</v>
      </c>
      <c r="D66" s="288">
        <f t="shared" si="0"/>
        <v>0.68431273539011961</v>
      </c>
      <c r="E66" s="150">
        <f t="shared" si="0"/>
        <v>12.931981164506562</v>
      </c>
      <c r="F66" s="150">
        <f t="shared" si="0"/>
        <v>344449.43103448278</v>
      </c>
      <c r="G66" s="288">
        <f t="shared" si="0"/>
        <v>0.10523289036362563</v>
      </c>
      <c r="H66" s="150">
        <f t="shared" si="0"/>
        <v>1.9886656141997698</v>
      </c>
      <c r="I66" s="150">
        <f t="shared" si="0"/>
        <v>589521.05172413797</v>
      </c>
      <c r="J66" s="288">
        <f t="shared" si="0"/>
        <v>0.16917082052625132</v>
      </c>
      <c r="K66" s="150">
        <f t="shared" si="0"/>
        <v>3.2878432915444047</v>
      </c>
      <c r="L66" s="150">
        <f>AVERAGEIF(L8:L65,"&gt;-1",L8:L65)</f>
        <v>3113732.0689655175</v>
      </c>
      <c r="M66" s="150">
        <f>AVERAGE(M8:M65)</f>
        <v>18.208490070250729</v>
      </c>
    </row>
    <row r="67" spans="1:13" ht="14.25" thickTop="1" thickBot="1" x14ac:dyDescent="0.25">
      <c r="A67" s="602" t="s">
        <v>1455</v>
      </c>
      <c r="B67" s="602"/>
      <c r="C67" s="290"/>
      <c r="D67" s="291"/>
      <c r="E67" s="199"/>
      <c r="F67" s="292"/>
      <c r="G67" s="200"/>
      <c r="H67" s="199"/>
      <c r="I67" s="293"/>
      <c r="J67" s="200"/>
      <c r="K67" s="293"/>
      <c r="L67" s="293"/>
      <c r="M67" s="294"/>
    </row>
    <row r="68" spans="1:13" ht="13.5" thickTop="1" x14ac:dyDescent="0.2">
      <c r="A68" s="203" t="s">
        <v>364</v>
      </c>
      <c r="B68" s="203" t="s">
        <v>1561</v>
      </c>
      <c r="C68" s="192">
        <f>VLOOKUP($A68,[0]!Data,140,FALSE)</f>
        <v>775615</v>
      </c>
      <c r="D68" s="212">
        <f>C68/'Table  4'!M68</f>
        <v>0.6250644716228152</v>
      </c>
      <c r="E68" s="147">
        <f>C68/'Table 1'!D68</f>
        <v>10.130283161799278</v>
      </c>
      <c r="F68" s="192">
        <f>VLOOKUP($A68,[0]!Data,144,FALSE)</f>
        <v>89320</v>
      </c>
      <c r="G68" s="283">
        <f>F68/'Table  4'!M68</f>
        <v>7.1982566873190768E-2</v>
      </c>
      <c r="H68" s="284">
        <f>F68/'Table 1'!D68</f>
        <v>1.1666057154798599</v>
      </c>
      <c r="I68" s="192">
        <f>VLOOKUP($A68,[0]!Data,145,FALSE)</f>
        <v>314628</v>
      </c>
      <c r="J68" s="283">
        <f>I68/'Table  4'!M68</f>
        <v>0.25355722178882967</v>
      </c>
      <c r="K68" s="285">
        <f>I68/'Table 1'!D68</f>
        <v>4.1093464291311843</v>
      </c>
      <c r="L68" s="192">
        <f>VLOOKUP($A68,[0]!Data,146,FALSE)</f>
        <v>1179563</v>
      </c>
      <c r="M68" s="286">
        <f>L68/'Table 1'!D68</f>
        <v>15.406235306410323</v>
      </c>
    </row>
    <row r="69" spans="1:13" x14ac:dyDescent="0.2">
      <c r="A69" s="203" t="s">
        <v>409</v>
      </c>
      <c r="B69" s="203" t="s">
        <v>1562</v>
      </c>
      <c r="C69" s="192">
        <f>VLOOKUP($A69,[0]!Data,140,FALSE)</f>
        <v>477007</v>
      </c>
      <c r="D69" s="212">
        <f>C69/'Table  4'!M69</f>
        <v>0.54294989340354016</v>
      </c>
      <c r="E69" s="147">
        <f>C69/'Table 1'!D69</f>
        <v>9.2611928707335061</v>
      </c>
      <c r="F69" s="192">
        <f>VLOOKUP($A69,[0]!Data,144,FALSE)</f>
        <v>106834</v>
      </c>
      <c r="G69" s="283">
        <f>F69/'Table  4'!M69</f>
        <v>0.12160305595488916</v>
      </c>
      <c r="H69" s="284">
        <f>F69/'Table 1'!D69</f>
        <v>2.0742049469964665</v>
      </c>
      <c r="I69" s="192">
        <f>VLOOKUP($A69,[0]!Data,145,FALSE)</f>
        <v>243267</v>
      </c>
      <c r="J69" s="283">
        <f>I69/'Table  4'!M69</f>
        <v>0.27689696737909297</v>
      </c>
      <c r="K69" s="285">
        <f>I69/'Table 1'!D69</f>
        <v>4.7230808061196754</v>
      </c>
      <c r="L69" s="192">
        <f>VLOOKUP($A69,[0]!Data,146,FALSE)</f>
        <v>827108</v>
      </c>
      <c r="M69" s="286">
        <f>L69/'Table 1'!D69</f>
        <v>16.058478623849648</v>
      </c>
    </row>
    <row r="70" spans="1:13" x14ac:dyDescent="0.2">
      <c r="A70" s="203" t="s">
        <v>393</v>
      </c>
      <c r="B70" s="203" t="s">
        <v>1563</v>
      </c>
      <c r="C70" s="192">
        <f>VLOOKUP($A70,[0]!Data,140,FALSE)</f>
        <v>1630174</v>
      </c>
      <c r="D70" s="212">
        <f>C70/'Table  4'!M70</f>
        <v>0.73606723775775407</v>
      </c>
      <c r="E70" s="147">
        <f>C70/'Table 1'!D70</f>
        <v>10.699277383616757</v>
      </c>
      <c r="F70" s="192">
        <f>VLOOKUP($A70,[0]!Data,144,FALSE)</f>
        <v>164102</v>
      </c>
      <c r="G70" s="283">
        <f>F70/'Table  4'!M70</f>
        <v>7.4096449735134379E-2</v>
      </c>
      <c r="H70" s="284">
        <f>F70/'Table 1'!D70</f>
        <v>1.0770462645130379</v>
      </c>
      <c r="I70" s="192">
        <f>VLOOKUP($A70,[0]!Data,145,FALSE)</f>
        <v>402117</v>
      </c>
      <c r="J70" s="283">
        <f>I70/'Table  4'!M70</f>
        <v>0.1815665992988692</v>
      </c>
      <c r="K70" s="285">
        <f>I70/'Table 1'!D70</f>
        <v>2.6392037436910538</v>
      </c>
      <c r="L70" s="192">
        <f>VLOOKUP($A70,[0]!Data,146,FALSE)</f>
        <v>2196393</v>
      </c>
      <c r="M70" s="286">
        <f>L70/'Table 1'!D70</f>
        <v>14.415527391820849</v>
      </c>
    </row>
    <row r="71" spans="1:13" x14ac:dyDescent="0.2">
      <c r="A71" s="203" t="s">
        <v>428</v>
      </c>
      <c r="B71" s="203" t="s">
        <v>1564</v>
      </c>
      <c r="C71" s="192">
        <f>VLOOKUP($A71,[0]!Data,140,FALSE)</f>
        <v>555099</v>
      </c>
      <c r="D71" s="212">
        <f>C71/'Table  4'!M71</f>
        <v>0.66205694821133387</v>
      </c>
      <c r="E71" s="147">
        <f>C71/'Table 1'!D71</f>
        <v>8.2510702182056015</v>
      </c>
      <c r="F71" s="192">
        <f>VLOOKUP($A71,[0]!Data,144,FALSE)</f>
        <v>95178</v>
      </c>
      <c r="G71" s="283">
        <f>F71/'Table  4'!M71</f>
        <v>0.11351714958387302</v>
      </c>
      <c r="H71" s="284">
        <f>F71/'Table 1'!D71</f>
        <v>1.4147392829538024</v>
      </c>
      <c r="I71" s="192">
        <f>VLOOKUP($A71,[0]!Data,145,FALSE)</f>
        <v>219979</v>
      </c>
      <c r="J71" s="283">
        <f>I71/'Table  4'!M71</f>
        <v>0.2623651374089685</v>
      </c>
      <c r="K71" s="285">
        <f>I71/'Table 1'!D71</f>
        <v>3.2697990368036152</v>
      </c>
      <c r="L71" s="192">
        <f>VLOOKUP($A71,[0]!Data,146,FALSE)</f>
        <v>870256</v>
      </c>
      <c r="M71" s="286">
        <f>L71/'Table 1'!D71</f>
        <v>12.935608537963018</v>
      </c>
    </row>
    <row r="72" spans="1:13" x14ac:dyDescent="0.2">
      <c r="A72" s="203" t="s">
        <v>629</v>
      </c>
      <c r="B72" s="203" t="s">
        <v>1565</v>
      </c>
      <c r="C72" s="192">
        <f>VLOOKUP($A72,[0]!Data,140,FALSE)</f>
        <v>2401022</v>
      </c>
      <c r="D72" s="212">
        <f>C72/'Table  4'!M72</f>
        <v>0.64166503200812852</v>
      </c>
      <c r="E72" s="147">
        <f>C72/'Table 1'!D72</f>
        <v>12.842849043080117</v>
      </c>
      <c r="F72" s="192">
        <f>VLOOKUP($A72,[0]!Data,144,FALSE)</f>
        <v>250414</v>
      </c>
      <c r="G72" s="283">
        <f>F72/'Table  4'!M72</f>
        <v>6.6922296974073342E-2</v>
      </c>
      <c r="H72" s="284">
        <f>F72/'Table 1'!D72</f>
        <v>1.3394417878194635</v>
      </c>
      <c r="I72" s="192">
        <f>VLOOKUP($A72,[0]!Data,145,FALSE)</f>
        <v>611879</v>
      </c>
      <c r="J72" s="283">
        <f>I72/'Table  4'!M72</f>
        <v>0.1635225991765597</v>
      </c>
      <c r="K72" s="285">
        <f>I72/'Table 1'!D72</f>
        <v>3.2728853086855589</v>
      </c>
      <c r="L72" s="192">
        <f>VLOOKUP($A72,[0]!Data,146,FALSE)</f>
        <v>3263315</v>
      </c>
      <c r="M72" s="286">
        <f>L72/'Table 1'!D72</f>
        <v>17.455176139585138</v>
      </c>
    </row>
    <row r="73" spans="1:13" x14ac:dyDescent="0.2">
      <c r="A73" s="203" t="s">
        <v>715</v>
      </c>
      <c r="B73" s="203" t="s">
        <v>1566</v>
      </c>
      <c r="C73" s="192">
        <f>VLOOKUP($A73,[0]!Data,140,FALSE)</f>
        <v>2071067</v>
      </c>
      <c r="D73" s="212">
        <f>C73/'Table  4'!M73</f>
        <v>0.74639581051602</v>
      </c>
      <c r="E73" s="147">
        <f>C73/'Table 1'!D73</f>
        <v>18.318462041942702</v>
      </c>
      <c r="F73" s="192">
        <f>VLOOKUP($A73,[0]!Data,144,FALSE)</f>
        <v>169098</v>
      </c>
      <c r="G73" s="283">
        <f>F73/'Table  4'!M73</f>
        <v>6.0941552719751678E-2</v>
      </c>
      <c r="H73" s="284">
        <f>F73/'Table 1'!D73</f>
        <v>1.4956615572400251</v>
      </c>
      <c r="I73" s="192">
        <f>VLOOKUP($A73,[0]!Data,145,FALSE)</f>
        <v>470995</v>
      </c>
      <c r="J73" s="283">
        <f>I73/'Table  4'!M73</f>
        <v>0.16974279189132599</v>
      </c>
      <c r="K73" s="285">
        <f>I73/'Table 1'!D73</f>
        <v>4.1659222176031987</v>
      </c>
      <c r="L73" s="192">
        <f>VLOOKUP($A73,[0]!Data,146,FALSE)</f>
        <v>2711160</v>
      </c>
      <c r="M73" s="286">
        <f>L73/'Table 1'!D73</f>
        <v>23.980045816785925</v>
      </c>
    </row>
    <row r="74" spans="1:13" x14ac:dyDescent="0.2">
      <c r="A74" s="203" t="s">
        <v>754</v>
      </c>
      <c r="B74" s="203" t="s">
        <v>1567</v>
      </c>
      <c r="C74" s="192">
        <f>VLOOKUP($A74,[0]!Data,140,FALSE)</f>
        <v>2261609</v>
      </c>
      <c r="D74" s="212">
        <f>C74/'Table  4'!M74</f>
        <v>0.69292505985248132</v>
      </c>
      <c r="E74" s="147">
        <f>C74/'Table 1'!D74</f>
        <v>13.420339304893751</v>
      </c>
      <c r="F74" s="192">
        <f>VLOOKUP($A74,[0]!Data,144,FALSE)</f>
        <v>267294</v>
      </c>
      <c r="G74" s="283">
        <f>F74/'Table  4'!M74</f>
        <v>8.1895106956246258E-2</v>
      </c>
      <c r="H74" s="284">
        <f>F74/'Table 1'!D74</f>
        <v>1.5861168637736542</v>
      </c>
      <c r="I74" s="192">
        <f>VLOOKUP($A74,[0]!Data,145,FALSE)</f>
        <v>608048</v>
      </c>
      <c r="J74" s="283">
        <f>I74/'Table  4'!M74</f>
        <v>0.18629732053293985</v>
      </c>
      <c r="K74" s="285">
        <f>I74/'Table 1'!D74</f>
        <v>3.608143792168335</v>
      </c>
      <c r="L74" s="192">
        <f>VLOOKUP($A74,[0]!Data,146,FALSE)</f>
        <v>3136951</v>
      </c>
      <c r="M74" s="286">
        <f>L74/'Table 1'!D74</f>
        <v>18.61459996083574</v>
      </c>
    </row>
    <row r="75" spans="1:13" x14ac:dyDescent="0.2">
      <c r="A75" s="203" t="s">
        <v>1048</v>
      </c>
      <c r="B75" s="203" t="s">
        <v>1568</v>
      </c>
      <c r="C75" s="192">
        <f>VLOOKUP($A75,[0]!Data,140,FALSE)</f>
        <v>778150</v>
      </c>
      <c r="D75" s="212">
        <f>C75/'Table  4'!M75</f>
        <v>0.63874934331494615</v>
      </c>
      <c r="E75" s="147">
        <f>C75/'Table 1'!D75</f>
        <v>15.963361096295081</v>
      </c>
      <c r="F75" s="192">
        <f>VLOOKUP($A75,[0]!Data,144,FALSE)</f>
        <v>85975</v>
      </c>
      <c r="G75" s="283">
        <f>F75/'Table  4'!M75</f>
        <v>7.0573121880745993E-2</v>
      </c>
      <c r="H75" s="284">
        <f>F75/'Table 1'!D75</f>
        <v>1.7637344602634062</v>
      </c>
      <c r="I75" s="192">
        <f>VLOOKUP($A75,[0]!Data,145,FALSE)</f>
        <v>202673</v>
      </c>
      <c r="J75" s="283">
        <f>I75/'Table  4'!M75</f>
        <v>0.16636541239821381</v>
      </c>
      <c r="K75" s="285">
        <f>I75/'Table 1'!D75</f>
        <v>4.1577360193656911</v>
      </c>
      <c r="L75" s="192">
        <f>VLOOKUP($A75,[0]!Data,146,FALSE)</f>
        <v>1066798</v>
      </c>
      <c r="M75" s="286">
        <f>L75/'Table 1'!D75</f>
        <v>21.884831575924178</v>
      </c>
    </row>
    <row r="76" spans="1:13" x14ac:dyDescent="0.2">
      <c r="A76" s="203" t="s">
        <v>1064</v>
      </c>
      <c r="B76" s="203" t="s">
        <v>1569</v>
      </c>
      <c r="C76" s="192">
        <f>VLOOKUP($A76,[0]!Data,140,FALSE)</f>
        <v>1148570</v>
      </c>
      <c r="D76" s="212">
        <f>C76/'Table  4'!M76</f>
        <v>0.50975804279043679</v>
      </c>
      <c r="E76" s="147">
        <f>C76/'Table 1'!D76</f>
        <v>12.853002394753922</v>
      </c>
      <c r="F76" s="192">
        <f>VLOOKUP($A76,[0]!Data,144,FALSE)</f>
        <v>197006</v>
      </c>
      <c r="G76" s="283">
        <f>F76/'Table  4'!M76</f>
        <v>8.7435152387728032E-2</v>
      </c>
      <c r="H76" s="284">
        <f>F76/'Table 1'!D76</f>
        <v>2.2045836037689397</v>
      </c>
      <c r="I76" s="192">
        <f>VLOOKUP($A76,[0]!Data,145,FALSE)</f>
        <v>541442</v>
      </c>
      <c r="J76" s="283">
        <f>I76/'Table  4'!M76</f>
        <v>0.24030264955948671</v>
      </c>
      <c r="K76" s="285">
        <f>I76/'Table 1'!D76</f>
        <v>6.0589736129451</v>
      </c>
      <c r="L76" s="192">
        <f>VLOOKUP($A76,[0]!Data,146,FALSE)</f>
        <v>1887018</v>
      </c>
      <c r="M76" s="286">
        <f>L76/'Table 1'!D76</f>
        <v>21.116559611467963</v>
      </c>
    </row>
    <row r="77" spans="1:13" x14ac:dyDescent="0.2">
      <c r="A77" s="203" t="s">
        <v>1093</v>
      </c>
      <c r="B77" s="203" t="s">
        <v>1570</v>
      </c>
      <c r="C77" s="192">
        <f>VLOOKUP($A77,[0]!Data,140,FALSE)</f>
        <v>1782925</v>
      </c>
      <c r="D77" s="212">
        <f>C77/'Table  4'!M77</f>
        <v>0.72939644507573276</v>
      </c>
      <c r="E77" s="147">
        <f>C77/'Table 1'!D77</f>
        <v>10.579838714462886</v>
      </c>
      <c r="F77" s="192">
        <f>VLOOKUP($A77,[0]!Data,144,FALSE)</f>
        <v>113282</v>
      </c>
      <c r="G77" s="283">
        <f>F77/'Table  4'!M77</f>
        <v>4.6343782318980981E-2</v>
      </c>
      <c r="H77" s="284">
        <f>F77/'Table 1'!D77</f>
        <v>0.67221295862236752</v>
      </c>
      <c r="I77" s="192">
        <f>VLOOKUP($A77,[0]!Data,145,FALSE)</f>
        <v>505086</v>
      </c>
      <c r="J77" s="283">
        <f>I77/'Table  4'!M77</f>
        <v>0.20663120033513557</v>
      </c>
      <c r="K77" s="285">
        <f>I77/'Table 1'!D77</f>
        <v>2.9971694922294549</v>
      </c>
      <c r="L77" s="192">
        <f>VLOOKUP($A77,[0]!Data,146,FALSE)</f>
        <v>2401293</v>
      </c>
      <c r="M77" s="286">
        <f>L77/'Table 1'!D77</f>
        <v>14.249221165314708</v>
      </c>
    </row>
    <row r="78" spans="1:13" x14ac:dyDescent="0.2">
      <c r="A78" s="203" t="s">
        <v>1172</v>
      </c>
      <c r="B78" s="203" t="s">
        <v>1571</v>
      </c>
      <c r="C78" s="192">
        <f>VLOOKUP($A78,[0]!Data,140,FALSE)</f>
        <v>755716</v>
      </c>
      <c r="D78" s="212">
        <f>C78/'Table  4'!M78</f>
        <v>0.68831420782696051</v>
      </c>
      <c r="E78" s="147">
        <f>C78/'Table 1'!D78</f>
        <v>16.970178747866704</v>
      </c>
      <c r="F78" s="192">
        <f>VLOOKUP($A78,[0]!Data,144,FALSE)</f>
        <v>77036</v>
      </c>
      <c r="G78" s="283">
        <f>F78/'Table  4'!M78</f>
        <v>7.0165211950200521E-2</v>
      </c>
      <c r="H78" s="284">
        <f>F78/'Table 1'!D78</f>
        <v>1.7299020928770323</v>
      </c>
      <c r="I78" s="192">
        <f>VLOOKUP($A78,[0]!Data,145,FALSE)</f>
        <v>240370</v>
      </c>
      <c r="J78" s="283">
        <f>I78/'Table  4'!M78</f>
        <v>0.21893156441754111</v>
      </c>
      <c r="K78" s="285">
        <f>I78/'Table 1'!D78</f>
        <v>5.3976915476511271</v>
      </c>
      <c r="L78" s="192">
        <f>VLOOKUP($A78,[0]!Data,146,FALSE)</f>
        <v>1073122</v>
      </c>
      <c r="M78" s="286">
        <f>L78/'Table 1'!D78</f>
        <v>24.097772388394862</v>
      </c>
    </row>
    <row r="79" spans="1:13" x14ac:dyDescent="0.2">
      <c r="A79" s="203" t="s">
        <v>1305</v>
      </c>
      <c r="B79" s="203" t="s">
        <v>1572</v>
      </c>
      <c r="C79" s="192">
        <f>VLOOKUP($A79,[0]!Data,140,FALSE)</f>
        <v>1900037</v>
      </c>
      <c r="D79" s="212">
        <f>C79/'Table  4'!M79</f>
        <v>0.69282188516080989</v>
      </c>
      <c r="E79" s="147">
        <f>C79/'Table 1'!D79</f>
        <v>8.1592876651150004</v>
      </c>
      <c r="F79" s="192">
        <f>VLOOKUP($A79,[0]!Data,144,FALSE)</f>
        <v>290924</v>
      </c>
      <c r="G79" s="283">
        <f>F79/'Table  4'!M79</f>
        <v>0.10608136268847579</v>
      </c>
      <c r="H79" s="284">
        <f>F79/'Table 1'!D79</f>
        <v>1.2493086211931224</v>
      </c>
      <c r="I79" s="192">
        <f>VLOOKUP($A79,[0]!Data,145,FALSE)</f>
        <v>531696</v>
      </c>
      <c r="J79" s="283">
        <f>I79/'Table  4'!M79</f>
        <v>0.19387550087312089</v>
      </c>
      <c r="K79" s="285">
        <f>I79/'Table 1'!D79</f>
        <v>2.2832505969046841</v>
      </c>
      <c r="L79" s="192">
        <f>VLOOKUP($A79,[0]!Data,146,FALSE)</f>
        <v>2722657</v>
      </c>
      <c r="M79" s="286">
        <f>L79/'Table 1'!D79</f>
        <v>11.691846883212808</v>
      </c>
    </row>
    <row r="80" spans="1:13" ht="13.5" thickBot="1" x14ac:dyDescent="0.25">
      <c r="A80" s="599" t="s">
        <v>1471</v>
      </c>
      <c r="B80" s="600"/>
      <c r="C80" s="287">
        <f t="shared" ref="C80:M80" si="1">AVERAGE(C68:C79)</f>
        <v>1378082.5833333333</v>
      </c>
      <c r="D80" s="288">
        <f t="shared" si="1"/>
        <v>0.65884703146174661</v>
      </c>
      <c r="E80" s="150">
        <f t="shared" si="1"/>
        <v>12.287428553563773</v>
      </c>
      <c r="F80" s="150">
        <f t="shared" si="1"/>
        <v>158871.91666666666</v>
      </c>
      <c r="G80" s="288">
        <f t="shared" si="1"/>
        <v>8.0963067501940836E-2</v>
      </c>
      <c r="H80" s="150">
        <f t="shared" si="1"/>
        <v>1.4811298462917648</v>
      </c>
      <c r="I80" s="150">
        <f t="shared" si="1"/>
        <v>407681.66666666669</v>
      </c>
      <c r="J80" s="288">
        <f t="shared" si="1"/>
        <v>0.21000458042167366</v>
      </c>
      <c r="K80" s="289">
        <f t="shared" si="1"/>
        <v>3.8902668836082235</v>
      </c>
      <c r="L80" s="150">
        <f t="shared" si="1"/>
        <v>1944636.1666666667</v>
      </c>
      <c r="M80" s="151">
        <f t="shared" si="1"/>
        <v>17.658825283463766</v>
      </c>
    </row>
    <row r="81" spans="1:13" ht="14.25" thickTop="1" thickBot="1" x14ac:dyDescent="0.25">
      <c r="A81" s="54"/>
      <c r="B81" s="45" t="s">
        <v>1456</v>
      </c>
      <c r="C81" s="295"/>
      <c r="D81" s="296"/>
      <c r="E81" s="153"/>
      <c r="F81" s="281"/>
      <c r="G81" s="233"/>
      <c r="H81" s="153"/>
      <c r="I81" s="152"/>
      <c r="J81" s="233"/>
      <c r="K81" s="152"/>
      <c r="L81" s="152"/>
      <c r="M81" s="282"/>
    </row>
    <row r="82" spans="1:13" ht="13.5" thickTop="1" x14ac:dyDescent="0.2">
      <c r="A82" s="51" t="s">
        <v>557</v>
      </c>
      <c r="B82" s="51" t="s">
        <v>1573</v>
      </c>
      <c r="C82" s="192">
        <f>VLOOKUP($A82,[0]!Data,140,FALSE)</f>
        <v>2045371</v>
      </c>
      <c r="D82" s="212">
        <f>C82/'Table  4'!M82</f>
        <v>0.68992966355079655</v>
      </c>
      <c r="E82" s="147">
        <f>C82/'Table 1'!D82</f>
        <v>34.173812069772104</v>
      </c>
      <c r="F82" s="192">
        <f>VLOOKUP($A82,[0]!Data,144,FALSE)</f>
        <v>239332</v>
      </c>
      <c r="G82" s="283">
        <f>F82/'Table  4'!M82</f>
        <v>8.0729728854539953E-2</v>
      </c>
      <c r="H82" s="284">
        <f>F82/'Table 1'!D82</f>
        <v>3.9987302011628683</v>
      </c>
      <c r="I82" s="192">
        <f>VLOOKUP($A82,[0]!Data,145,FALSE)</f>
        <v>588798</v>
      </c>
      <c r="J82" s="283">
        <f>I82/'Table  4'!M82</f>
        <v>0.19860905725141401</v>
      </c>
      <c r="K82" s="285">
        <f>I82/'Table 1'!D82</f>
        <v>9.8375659961237716</v>
      </c>
      <c r="L82" s="192">
        <f>VLOOKUP($A82,[0]!Data,146,FALSE)</f>
        <v>2873501</v>
      </c>
      <c r="M82" s="286">
        <f>L82/'Table 1'!D82</f>
        <v>48.010108267058747</v>
      </c>
    </row>
    <row r="83" spans="1:13" x14ac:dyDescent="0.2">
      <c r="A83" s="51" t="s">
        <v>946</v>
      </c>
      <c r="B83" s="51" t="s">
        <v>1457</v>
      </c>
      <c r="C83" s="192">
        <f>VLOOKUP($A83,[0]!Data,140,FALSE)</f>
        <v>440377</v>
      </c>
      <c r="D83" s="212">
        <f>C83/'Table  4'!M83</f>
        <v>0.83231493539016332</v>
      </c>
      <c r="E83" s="147">
        <f>C83/'Table 1'!D83</f>
        <v>22.668296700468421</v>
      </c>
      <c r="F83" s="192">
        <f>VLOOKUP($A83,[0]!Data,144,FALSE)</f>
        <v>41882</v>
      </c>
      <c r="G83" s="582">
        <f>F83/'Table  4'!M83</f>
        <v>7.9157208764333326E-2</v>
      </c>
      <c r="H83" s="284">
        <f>F83/'Table 1'!D83</f>
        <v>2.1558655479487312</v>
      </c>
      <c r="I83" s="192">
        <f>VLOOKUP($A83,[0]!Data,145,FALSE)</f>
        <v>35660</v>
      </c>
      <c r="J83" s="283">
        <f>I83/'Table  4'!M83</f>
        <v>6.7397594779048914E-2</v>
      </c>
      <c r="K83" s="285">
        <f>I83/'Table 1'!D83</f>
        <v>1.8355896432799712</v>
      </c>
      <c r="L83" s="192">
        <f>VLOOKUP($A83,[0]!Data,146,FALSE)</f>
        <v>517919</v>
      </c>
      <c r="M83" s="286">
        <f>L83/'Table 1'!D83</f>
        <v>26.659751891697123</v>
      </c>
    </row>
    <row r="84" spans="1:13" x14ac:dyDescent="0.2">
      <c r="A84" s="51" t="s">
        <v>743</v>
      </c>
      <c r="B84" s="51" t="s">
        <v>1574</v>
      </c>
      <c r="C84" s="192">
        <f>VLOOKUP($A84,[0]!Data,140,FALSE)</f>
        <v>229651</v>
      </c>
      <c r="D84" s="212">
        <f>C84/'Table  4'!M84</f>
        <v>0.74247185634937574</v>
      </c>
      <c r="E84" s="147">
        <f>C84/'Table 1'!D84</f>
        <v>49.175802997858675</v>
      </c>
      <c r="F84" s="192">
        <f>VLOOKUP($A84,[0]!Data,144,FALSE)</f>
        <v>27013</v>
      </c>
      <c r="G84" s="283">
        <f>F84/'Table  4'!M84</f>
        <v>8.7334225653559902E-2</v>
      </c>
      <c r="H84" s="284">
        <f>F84/'Table 1'!D84</f>
        <v>5.7843683083511781</v>
      </c>
      <c r="I84" s="192">
        <f>VLOOKUP($A84,[0]!Data,145,FALSE)</f>
        <v>52642</v>
      </c>
      <c r="J84" s="283">
        <f>I84/'Table  4'!M84</f>
        <v>0.1701939179970644</v>
      </c>
      <c r="K84" s="285">
        <f>I84/'Table 1'!D84</f>
        <v>11.272376873661671</v>
      </c>
      <c r="L84" s="192">
        <f>VLOOKUP($A84,[0]!Data,146,FALSE)</f>
        <v>309306</v>
      </c>
      <c r="M84" s="286">
        <f>L84/'Table 1'!D84</f>
        <v>66.232548179871515</v>
      </c>
    </row>
    <row r="85" spans="1:13" x14ac:dyDescent="0.2">
      <c r="A85" s="51" t="s">
        <v>917</v>
      </c>
      <c r="B85" s="51" t="s">
        <v>1575</v>
      </c>
      <c r="C85" s="192">
        <f>VLOOKUP($A85,[0]!Data,140,FALSE)</f>
        <v>1125198</v>
      </c>
      <c r="D85" s="212">
        <f>C85/'Table  4'!M85</f>
        <v>0.62260057379838485</v>
      </c>
      <c r="E85" s="147">
        <f>C85/'Table 1'!D85</f>
        <v>27.81494573950016</v>
      </c>
      <c r="F85" s="192">
        <f>VLOOKUP($A85,[0]!Data,144,FALSE)</f>
        <v>233614</v>
      </c>
      <c r="G85" s="283">
        <f>F85/'Table  4'!M85</f>
        <v>0.12926454761502942</v>
      </c>
      <c r="H85" s="284">
        <f>F85/'Table 1'!D85</f>
        <v>5.7749487059056186</v>
      </c>
      <c r="I85" s="192">
        <f>VLOOKUP($A85,[0]!Data,145,FALSE)</f>
        <v>472168</v>
      </c>
      <c r="J85" s="283">
        <f>I85/'Table  4'!M85</f>
        <v>0.2612625224442594</v>
      </c>
      <c r="K85" s="285">
        <f>I85/'Table 1'!D85</f>
        <v>11.672014436506563</v>
      </c>
      <c r="L85" s="192">
        <f>VLOOKUP($A85,[0]!Data,146,FALSE)</f>
        <v>1830980</v>
      </c>
      <c r="M85" s="286">
        <f>L85/'Table 1'!D85</f>
        <v>45.261908881912341</v>
      </c>
    </row>
    <row r="86" spans="1:13" x14ac:dyDescent="0.2">
      <c r="A86" s="51" t="s">
        <v>932</v>
      </c>
      <c r="B86" s="51" t="s">
        <v>1576</v>
      </c>
      <c r="C86" s="192">
        <f>VLOOKUP($A86,[0]!Data,140,FALSE)</f>
        <v>3232079</v>
      </c>
      <c r="D86" s="212">
        <f>C86/'Table  4'!M86</f>
        <v>0.66721144636015328</v>
      </c>
      <c r="E86" s="147">
        <f>C86/'Table 1'!D86</f>
        <v>29.317504807517871</v>
      </c>
      <c r="F86" s="192">
        <f>VLOOKUP($A86,[0]!Data,144,FALSE)</f>
        <v>414798</v>
      </c>
      <c r="G86" s="283">
        <f>F86/'Table  4'!M86</f>
        <v>8.5628468093539439E-2</v>
      </c>
      <c r="H86" s="284">
        <f>F86/'Table 1'!D86</f>
        <v>3.7625449004027431</v>
      </c>
      <c r="I86" s="192">
        <f>VLOOKUP($A86,[0]!Data,145,FALSE)</f>
        <v>863062</v>
      </c>
      <c r="J86" s="283">
        <f>I86/'Table  4'!M86</f>
        <v>0.17816546109129344</v>
      </c>
      <c r="K86" s="285">
        <f>I86/'Table 1'!D86</f>
        <v>7.8286528065019407</v>
      </c>
      <c r="L86" s="192">
        <f>VLOOKUP($A86,[0]!Data,146,FALSE)</f>
        <v>4509939</v>
      </c>
      <c r="M86" s="286">
        <f>L86/'Table 1'!D86</f>
        <v>40.908702514422551</v>
      </c>
    </row>
    <row r="87" spans="1:13" x14ac:dyDescent="0.2">
      <c r="A87" s="51" t="s">
        <v>970</v>
      </c>
      <c r="B87" s="51" t="s">
        <v>1577</v>
      </c>
      <c r="C87" s="192">
        <f>VLOOKUP($A87,[0]!Data,140,FALSE)</f>
        <v>393984</v>
      </c>
      <c r="D87" s="212">
        <f>C87/'Table  4'!M87</f>
        <v>0.51931631998038641</v>
      </c>
      <c r="E87" s="147">
        <f>C87/'Table 1'!D87</f>
        <v>36.755667506297229</v>
      </c>
      <c r="F87" s="192">
        <f>VLOOKUP($A87,[0]!Data,144,FALSE)</f>
        <v>82571</v>
      </c>
      <c r="G87" s="283">
        <f>F87/'Table  4'!M87</f>
        <v>0.10883809458531435</v>
      </c>
      <c r="H87" s="284">
        <f>F87/'Table 1'!D87</f>
        <v>7.7032372422800632</v>
      </c>
      <c r="I87" s="192">
        <f>VLOOKUP($A87,[0]!Data,145,FALSE)</f>
        <v>228713</v>
      </c>
      <c r="J87" s="283">
        <f>I87/'Table  4'!M87</f>
        <v>0.30147009394207408</v>
      </c>
      <c r="K87" s="285">
        <f>I87/'Table 1'!D87</f>
        <v>21.337158317007184</v>
      </c>
      <c r="L87" s="192">
        <f>VLOOKUP($A87,[0]!Data,146,FALSE)</f>
        <v>705268</v>
      </c>
      <c r="M87" s="286">
        <f>L87/'Table 1'!D87</f>
        <v>65.796063065584477</v>
      </c>
    </row>
    <row r="88" spans="1:13" x14ac:dyDescent="0.2">
      <c r="A88" s="51" t="s">
        <v>1033</v>
      </c>
      <c r="B88" s="51" t="s">
        <v>1578</v>
      </c>
      <c r="C88" s="192">
        <f>VLOOKUP($A88,[0]!Data,140,FALSE)</f>
        <v>1352038</v>
      </c>
      <c r="D88" s="212">
        <f>C88/'Table  4'!M88</f>
        <v>0.67325729856130156</v>
      </c>
      <c r="E88" s="147">
        <f>C88/'Table 1'!D88</f>
        <v>34.607300092147028</v>
      </c>
      <c r="F88" s="192">
        <f>VLOOKUP($A88,[0]!Data,144,FALSE)</f>
        <v>321488</v>
      </c>
      <c r="G88" s="283">
        <f>F88/'Table  4'!M88</f>
        <v>0.16008732180595198</v>
      </c>
      <c r="H88" s="284">
        <f>F88/'Table 1'!D88</f>
        <v>8.2289341660694166</v>
      </c>
      <c r="I88" s="192">
        <f>VLOOKUP($A88,[0]!Data,145,FALSE)</f>
        <v>334678</v>
      </c>
      <c r="J88" s="283">
        <f>I88/'Table  4'!M88</f>
        <v>0.16665537963274649</v>
      </c>
      <c r="K88" s="285">
        <f>I88/'Table 1'!D88</f>
        <v>8.5665506296713421</v>
      </c>
      <c r="L88" s="192">
        <f>VLOOKUP($A88,[0]!Data,146,FALSE)</f>
        <v>2008204</v>
      </c>
      <c r="M88" s="286">
        <f>L88/'Table 1'!D88</f>
        <v>51.402784887887783</v>
      </c>
    </row>
    <row r="89" spans="1:13" x14ac:dyDescent="0.2">
      <c r="A89" s="51" t="s">
        <v>884</v>
      </c>
      <c r="B89" s="51" t="s">
        <v>1579</v>
      </c>
      <c r="C89" s="192">
        <f>VLOOKUP($A89,[0]!Data,140,FALSE)</f>
        <v>145504</v>
      </c>
      <c r="D89" s="212">
        <f>C89/'Table  4'!M89</f>
        <v>0.72987750433901499</v>
      </c>
      <c r="E89" s="147">
        <f>C89/'Table 1'!D89</f>
        <v>27.815714012617089</v>
      </c>
      <c r="F89" s="192">
        <f>VLOOKUP($A89,[0]!Data,144,FALSE)</f>
        <v>15900</v>
      </c>
      <c r="G89" s="283">
        <f>F89/'Table  4'!M89</f>
        <v>7.9757617103243472E-2</v>
      </c>
      <c r="H89" s="284">
        <f>F89/'Table 1'!D89</f>
        <v>3.0395717835977822</v>
      </c>
      <c r="I89" s="192">
        <f>VLOOKUP($A89,[0]!Data,145,FALSE)</f>
        <v>30450</v>
      </c>
      <c r="J89" s="283">
        <f>I89/'Table  4'!M89</f>
        <v>0.15274336105621156</v>
      </c>
      <c r="K89" s="285">
        <f>I89/'Table 1'!D89</f>
        <v>5.8210667176448094</v>
      </c>
      <c r="L89" s="192">
        <f>VLOOKUP($A89,[0]!Data,146,FALSE)</f>
        <v>191854</v>
      </c>
      <c r="M89" s="286">
        <f>L89/'Table 1'!D89</f>
        <v>36.676352513859683</v>
      </c>
    </row>
    <row r="90" spans="1:13" x14ac:dyDescent="0.2">
      <c r="A90" s="51" t="s">
        <v>1224</v>
      </c>
      <c r="B90" s="51" t="s">
        <v>1580</v>
      </c>
      <c r="C90" s="192">
        <f>VLOOKUP($A90,[0]!Data,140,FALSE)</f>
        <v>198809</v>
      </c>
      <c r="D90" s="212">
        <f>C90/'Table  4'!M90</f>
        <v>0.7022323478506588</v>
      </c>
      <c r="E90" s="147">
        <f>C90/'Table 1'!D90</f>
        <v>13.16528706708165</v>
      </c>
      <c r="F90" s="192">
        <f>VLOOKUP($A90,[0]!Data,144,FALSE)</f>
        <v>29672</v>
      </c>
      <c r="G90" s="283">
        <f>F90/'Table  4'!M90</f>
        <v>0.10480731871004204</v>
      </c>
      <c r="H90" s="284">
        <f>F90/'Table 1'!D90</f>
        <v>1.9649029865571817</v>
      </c>
      <c r="I90" s="192">
        <f>VLOOKUP($A90,[0]!Data,145,FALSE)</f>
        <v>50313</v>
      </c>
      <c r="J90" s="283">
        <f>I90/'Table  4'!M90</f>
        <v>0.177715375649041</v>
      </c>
      <c r="K90" s="285">
        <f>I90/'Table 1'!D90</f>
        <v>3.3317661082047545</v>
      </c>
      <c r="L90" s="192">
        <f>VLOOKUP($A90,[0]!Data,146,FALSE)</f>
        <v>278794</v>
      </c>
      <c r="M90" s="286">
        <f>L90/'Table 1'!D90</f>
        <v>18.461956161843588</v>
      </c>
    </row>
    <row r="91" spans="1:13" x14ac:dyDescent="0.2">
      <c r="A91" s="51" t="s">
        <v>1346</v>
      </c>
      <c r="B91" s="51" t="s">
        <v>1581</v>
      </c>
      <c r="C91" s="192">
        <f>VLOOKUP($A91,[0]!Data,140,FALSE)</f>
        <v>592869</v>
      </c>
      <c r="D91" s="212">
        <f>C91/'Table  4'!M91</f>
        <v>0.72626766610765592</v>
      </c>
      <c r="E91" s="147">
        <f>C91/'Table 1'!D91</f>
        <v>43.098938644954927</v>
      </c>
      <c r="F91" s="192">
        <f>VLOOKUP($A91,[0]!Data,144,FALSE)</f>
        <v>119518</v>
      </c>
      <c r="G91" s="283">
        <f>F91/'Table  4'!M91</f>
        <v>0.14641018322404245</v>
      </c>
      <c r="H91" s="284">
        <f>F91/'Table 1'!D91</f>
        <v>8.6884268682756609</v>
      </c>
      <c r="I91" s="192">
        <f>VLOOKUP($A91,[0]!Data,145,FALSE)</f>
        <v>103936</v>
      </c>
      <c r="J91" s="283">
        <f>I91/'Table  4'!M91</f>
        <v>0.12732215066830163</v>
      </c>
      <c r="K91" s="285">
        <f>I91/'Table 1'!D91</f>
        <v>7.555684792090724</v>
      </c>
      <c r="L91" s="192">
        <f>VLOOKUP($A91,[0]!Data,146,FALSE)</f>
        <v>816323</v>
      </c>
      <c r="M91" s="286">
        <f>L91/'Table 1'!D91</f>
        <v>59.343050305321313</v>
      </c>
    </row>
    <row r="92" spans="1:13" x14ac:dyDescent="0.2">
      <c r="A92" s="51" t="s">
        <v>819</v>
      </c>
      <c r="B92" s="51" t="s">
        <v>1582</v>
      </c>
      <c r="C92" s="192">
        <f>VLOOKUP($A92,[0]!Data,140,FALSE)</f>
        <v>283064</v>
      </c>
      <c r="D92" s="212">
        <f>C92/'Table  4'!M92</f>
        <v>0.62245111125282293</v>
      </c>
      <c r="E92" s="147">
        <f>C92/'Table 1'!D92</f>
        <v>29.606108147683297</v>
      </c>
      <c r="F92" s="192">
        <f>VLOOKUP($A92,[0]!Data,144,FALSE)</f>
        <v>62007</v>
      </c>
      <c r="G92" s="283">
        <f>F92/'Table  4'!M92</f>
        <v>0.13635194180628335</v>
      </c>
      <c r="H92" s="284">
        <f>F92/'Table 1'!D92</f>
        <v>6.4854094759962351</v>
      </c>
      <c r="I92" s="192">
        <f>VLOOKUP($A92,[0]!Data,145,FALSE)</f>
        <v>73543</v>
      </c>
      <c r="J92" s="283">
        <f>I92/'Table  4'!M92</f>
        <v>0.16171933582110887</v>
      </c>
      <c r="K92" s="285">
        <f>I92/'Table 1'!D92</f>
        <v>7.691977826587177</v>
      </c>
      <c r="L92" s="192">
        <f>VLOOKUP($A92,[0]!Data,146,FALSE)</f>
        <v>418614</v>
      </c>
      <c r="M92" s="286">
        <f>L92/'Table 1'!D92</f>
        <v>43.783495450266706</v>
      </c>
    </row>
    <row r="93" spans="1:13" ht="13.5" thickBot="1" x14ac:dyDescent="0.25">
      <c r="A93" s="603" t="s">
        <v>1471</v>
      </c>
      <c r="B93" s="604"/>
      <c r="C93" s="287">
        <f t="shared" ref="C93:M93" si="2">AVERAGE(C82:C92)</f>
        <v>912631.27272727271</v>
      </c>
      <c r="D93" s="288">
        <f t="shared" si="2"/>
        <v>0.68435733850370128</v>
      </c>
      <c r="E93" s="150">
        <f t="shared" si="2"/>
        <v>31.654488889627132</v>
      </c>
      <c r="F93" s="150">
        <f t="shared" si="2"/>
        <v>144345</v>
      </c>
      <c r="G93" s="288">
        <f t="shared" si="2"/>
        <v>0.10894242329235269</v>
      </c>
      <c r="H93" s="150">
        <f t="shared" si="2"/>
        <v>5.2351763805952265</v>
      </c>
      <c r="I93" s="150">
        <f t="shared" si="2"/>
        <v>257633</v>
      </c>
      <c r="J93" s="288">
        <f t="shared" si="2"/>
        <v>0.17847765912114213</v>
      </c>
      <c r="K93" s="289">
        <f t="shared" si="2"/>
        <v>8.7954912861163574</v>
      </c>
      <c r="L93" s="150">
        <f t="shared" si="2"/>
        <v>1314609.2727272727</v>
      </c>
      <c r="M93" s="151">
        <f t="shared" si="2"/>
        <v>45.685156556338704</v>
      </c>
    </row>
    <row r="94" spans="1:13" ht="14.25" thickTop="1" thickBot="1" x14ac:dyDescent="0.25">
      <c r="A94" s="90"/>
      <c r="B94" s="115"/>
      <c r="C94" s="295"/>
      <c r="D94" s="296"/>
      <c r="E94" s="153"/>
      <c r="F94" s="297"/>
      <c r="G94" s="298"/>
      <c r="H94" s="299"/>
      <c r="I94" s="300"/>
      <c r="J94" s="298"/>
      <c r="K94" s="300"/>
      <c r="L94" s="300"/>
      <c r="M94" s="301"/>
    </row>
    <row r="95" spans="1:13" ht="13.5" thickTop="1" x14ac:dyDescent="0.2">
      <c r="A95" s="605" t="s">
        <v>1472</v>
      </c>
      <c r="B95" s="637"/>
      <c r="C95" s="302">
        <f t="shared" ref="C95:M95" si="3">AVERAGE(C82:C92,C68:C79,C62:C65,C59:C60,C8:C57)</f>
        <v>1918538.7594936709</v>
      </c>
      <c r="D95" s="303">
        <f t="shared" si="3"/>
        <v>0.68174699328924193</v>
      </c>
      <c r="E95" s="304">
        <f t="shared" si="3"/>
        <v>15.428482136215981</v>
      </c>
      <c r="F95" s="304">
        <f t="shared" si="3"/>
        <v>295177.17721518985</v>
      </c>
      <c r="G95" s="303">
        <f t="shared" si="3"/>
        <v>0.10300492308243446</v>
      </c>
      <c r="H95" s="304">
        <f t="shared" si="3"/>
        <v>2.3774907197050359</v>
      </c>
      <c r="I95" s="304">
        <f t="shared" si="3"/>
        <v>524148.69620253163</v>
      </c>
      <c r="J95" s="303">
        <f t="shared" si="3"/>
        <v>0.17492061606241199</v>
      </c>
      <c r="K95" s="304">
        <f t="shared" si="3"/>
        <v>4.1028544946836716</v>
      </c>
      <c r="L95" s="304">
        <f t="shared" si="3"/>
        <v>2737864.6329113925</v>
      </c>
      <c r="M95" s="305">
        <f t="shared" si="3"/>
        <v>21.908827350604696</v>
      </c>
    </row>
  </sheetData>
  <mergeCells count="6">
    <mergeCell ref="A95:B95"/>
    <mergeCell ref="B4:B6"/>
    <mergeCell ref="A66:B66"/>
    <mergeCell ref="A67:B67"/>
    <mergeCell ref="A80:B80"/>
    <mergeCell ref="A93:B9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95"/>
  <sheetViews>
    <sheetView topLeftCell="A55" workbookViewId="0">
      <selection activeCell="C69" sqref="C69"/>
    </sheetView>
  </sheetViews>
  <sheetFormatPr defaultColWidth="8.85546875" defaultRowHeight="15" x14ac:dyDescent="0.25"/>
  <cols>
    <col min="1" max="1" width="6.85546875" customWidth="1"/>
    <col min="2" max="2" width="18.42578125" customWidth="1"/>
    <col min="3" max="3" width="11.85546875" style="162" customWidth="1"/>
    <col min="4" max="4" width="11.42578125" style="162" customWidth="1"/>
    <col min="5" max="5" width="11.140625" style="162" customWidth="1"/>
    <col min="6" max="6" width="9.85546875" style="162" customWidth="1"/>
    <col min="7" max="9" width="11.85546875" style="162" customWidth="1"/>
    <col min="10" max="10" width="10.7109375" style="162" customWidth="1"/>
    <col min="11" max="11" width="10.85546875" style="162" customWidth="1"/>
    <col min="12" max="12" width="11" style="162" customWidth="1"/>
    <col min="13" max="13" width="13.28515625" style="162" customWidth="1"/>
  </cols>
  <sheetData>
    <row r="1" spans="1:13" x14ac:dyDescent="0.25">
      <c r="A1" s="83"/>
      <c r="B1" s="84"/>
      <c r="C1" s="307"/>
      <c r="D1" s="308"/>
      <c r="E1" s="308"/>
      <c r="F1" s="309"/>
      <c r="G1" s="308"/>
      <c r="H1" s="308"/>
      <c r="L1" s="11" t="s">
        <v>1758</v>
      </c>
    </row>
    <row r="2" spans="1:13" ht="15.75" x14ac:dyDescent="0.25">
      <c r="A2" s="87" t="s">
        <v>1599</v>
      </c>
      <c r="B2" s="88"/>
      <c r="C2" s="310"/>
      <c r="D2" s="308"/>
      <c r="E2" s="308"/>
      <c r="F2" s="309"/>
      <c r="G2" s="308"/>
      <c r="H2" s="308"/>
      <c r="L2" s="18" t="s">
        <v>1759</v>
      </c>
    </row>
    <row r="3" spans="1:13" ht="15.75" thickBot="1" x14ac:dyDescent="0.3">
      <c r="A3" s="90"/>
      <c r="B3" s="88"/>
      <c r="C3" s="310"/>
      <c r="D3" s="308"/>
      <c r="E3" s="308"/>
      <c r="F3" s="309"/>
      <c r="G3" s="308"/>
      <c r="H3" s="308"/>
    </row>
    <row r="4" spans="1:13" ht="13.5" customHeight="1" thickTop="1" x14ac:dyDescent="0.25">
      <c r="A4" s="260"/>
      <c r="B4" s="641"/>
      <c r="C4" s="644" t="s">
        <v>1600</v>
      </c>
      <c r="D4" s="645"/>
      <c r="E4" s="645"/>
      <c r="F4" s="645"/>
      <c r="G4" s="646"/>
      <c r="H4" s="331"/>
      <c r="I4" s="645" t="s">
        <v>1601</v>
      </c>
      <c r="J4" s="645"/>
      <c r="K4" s="645"/>
      <c r="L4" s="646"/>
      <c r="M4"/>
    </row>
    <row r="5" spans="1:13" ht="12.75" customHeight="1" x14ac:dyDescent="0.25">
      <c r="A5" s="267"/>
      <c r="B5" s="642"/>
      <c r="C5" s="97" t="s">
        <v>1602</v>
      </c>
      <c r="D5" s="97" t="s">
        <v>1603</v>
      </c>
      <c r="E5" s="97" t="s">
        <v>1604</v>
      </c>
      <c r="F5" s="311" t="s">
        <v>1605</v>
      </c>
      <c r="G5" s="312" t="s">
        <v>1606</v>
      </c>
      <c r="H5" s="23" t="s">
        <v>1462</v>
      </c>
      <c r="I5" s="313" t="s">
        <v>1607</v>
      </c>
      <c r="J5" s="314" t="s">
        <v>1608</v>
      </c>
      <c r="K5" s="315"/>
      <c r="L5" s="313" t="s">
        <v>1609</v>
      </c>
      <c r="M5"/>
    </row>
    <row r="6" spans="1:13" ht="13.5" customHeight="1" thickBot="1" x14ac:dyDescent="0.3">
      <c r="A6" s="316"/>
      <c r="B6" s="643"/>
      <c r="C6" s="317" t="s">
        <v>1610</v>
      </c>
      <c r="D6" s="317" t="s">
        <v>1610</v>
      </c>
      <c r="E6" s="317" t="s">
        <v>1610</v>
      </c>
      <c r="F6" s="318" t="s">
        <v>1611</v>
      </c>
      <c r="G6" s="319" t="s">
        <v>1612</v>
      </c>
      <c r="H6" s="27" t="s">
        <v>1635</v>
      </c>
      <c r="I6" s="318" t="s">
        <v>1613</v>
      </c>
      <c r="J6" s="317" t="s">
        <v>1614</v>
      </c>
      <c r="K6" s="319" t="s">
        <v>1615</v>
      </c>
      <c r="L6" s="318" t="s">
        <v>1612</v>
      </c>
      <c r="M6"/>
    </row>
    <row r="7" spans="1:13" ht="16.5" thickTop="1" thickBot="1" x14ac:dyDescent="0.3">
      <c r="A7" s="54"/>
      <c r="B7" s="45" t="s">
        <v>1452</v>
      </c>
      <c r="C7" s="145"/>
      <c r="D7" s="154"/>
      <c r="E7" s="154"/>
      <c r="F7" s="154"/>
      <c r="G7" s="320"/>
      <c r="H7" s="320"/>
      <c r="I7" s="320"/>
      <c r="J7" s="320"/>
      <c r="K7" s="320"/>
      <c r="L7" s="321"/>
      <c r="M7"/>
    </row>
    <row r="8" spans="1:13" ht="15.75" thickTop="1" x14ac:dyDescent="0.25">
      <c r="A8" s="36" t="s">
        <v>340</v>
      </c>
      <c r="B8" s="36" t="s">
        <v>1506</v>
      </c>
      <c r="C8" s="322">
        <f>VLOOKUP($A8,[0]!Data,163,FALSE)</f>
        <v>102671</v>
      </c>
      <c r="D8" s="322">
        <f>VLOOKUP($A8,[0]!Data,164,FALSE)</f>
        <v>8674</v>
      </c>
      <c r="E8" s="322">
        <f>VLOOKUP($A8,[0]!Data,165,FALSE)</f>
        <v>65193</v>
      </c>
      <c r="F8" s="322">
        <f>VLOOKUP($A8,[0]!Data,166,FALSE)</f>
        <v>176538</v>
      </c>
      <c r="G8" s="322">
        <f>VLOOKUP($A8,[0]!Data,168,FALSE)</f>
        <v>330</v>
      </c>
      <c r="H8" s="322">
        <f>VLOOKUP($A8,[0]!Data,176,FALSE)</f>
        <v>79</v>
      </c>
      <c r="I8" s="322">
        <f>VLOOKUP($A8,[0]!Data,171,FALSE)+VLOOKUP($A8,[0]!Data,198,FALSE)</f>
        <v>21650</v>
      </c>
      <c r="J8" s="322">
        <f>VLOOKUP($A8,[0]!Data,172,FALSE)+VLOOKUP($A8,[0]!Data,199,FALSE)</f>
        <v>24149</v>
      </c>
      <c r="K8" s="322">
        <f>VLOOKUP($A8,[0]!Data,197,FALSE)</f>
        <v>28540</v>
      </c>
      <c r="L8" s="332">
        <f>VLOOKUP($A8,[0]!Data,200,FALSE)</f>
        <v>56</v>
      </c>
      <c r="M8"/>
    </row>
    <row r="9" spans="1:13" x14ac:dyDescent="0.25">
      <c r="A9" s="36" t="s">
        <v>381</v>
      </c>
      <c r="B9" s="36" t="s">
        <v>1507</v>
      </c>
      <c r="C9" s="322">
        <f>VLOOKUP($A9,[0]!Data,163,FALSE)</f>
        <v>28522</v>
      </c>
      <c r="D9" s="322">
        <f>VLOOKUP($A9,[0]!Data,164,FALSE)</f>
        <v>3728</v>
      </c>
      <c r="E9" s="322">
        <f>VLOOKUP($A9,[0]!Data,165,FALSE)</f>
        <v>21567</v>
      </c>
      <c r="F9" s="322">
        <f>VLOOKUP($A9,[0]!Data,166,FALSE)</f>
        <v>53817</v>
      </c>
      <c r="G9" s="322">
        <f>VLOOKUP($A9,[0]!Data,168,FALSE)</f>
        <v>64</v>
      </c>
      <c r="H9" s="322">
        <f>VLOOKUP($A9,[0]!Data,176,FALSE)</f>
        <v>75</v>
      </c>
      <c r="I9" s="322">
        <f>VLOOKUP($A9,[0]!Data,171,FALSE)+VLOOKUP($A9,[0]!Data,198,FALSE)</f>
        <v>4649</v>
      </c>
      <c r="J9" s="322">
        <f>VLOOKUP($A9,[0]!Data,172,FALSE)+VLOOKUP($A9,[0]!Data,199,FALSE)</f>
        <v>4454</v>
      </c>
      <c r="K9" s="322">
        <f>VLOOKUP($A9,[0]!Data,197,FALSE)</f>
        <v>27037</v>
      </c>
      <c r="L9" s="324">
        <f>VLOOKUP($A9,[0]!Data,200,FALSE)</f>
        <v>0</v>
      </c>
      <c r="M9"/>
    </row>
    <row r="10" spans="1:13" x14ac:dyDescent="0.25">
      <c r="A10" s="36" t="s">
        <v>442</v>
      </c>
      <c r="B10" s="36" t="s">
        <v>1508</v>
      </c>
      <c r="C10" s="322">
        <f>VLOOKUP($A10,[0]!Data,163,FALSE)</f>
        <v>40214</v>
      </c>
      <c r="D10" s="322">
        <f>VLOOKUP($A10,[0]!Data,164,FALSE)</f>
        <v>0</v>
      </c>
      <c r="E10" s="322">
        <f>VLOOKUP($A10,[0]!Data,165,FALSE)</f>
        <v>16023</v>
      </c>
      <c r="F10" s="322">
        <f>VLOOKUP($A10,[0]!Data,166,FALSE)</f>
        <v>56237</v>
      </c>
      <c r="G10" s="322">
        <f>VLOOKUP($A10,[0]!Data,168,FALSE)</f>
        <v>39</v>
      </c>
      <c r="H10" s="322">
        <f>VLOOKUP($A10,[0]!Data,176,FALSE)</f>
        <v>76</v>
      </c>
      <c r="I10" s="322">
        <f>VLOOKUP($A10,[0]!Data,171,FALSE)+VLOOKUP($A10,[0]!Data,198,FALSE)</f>
        <v>4688</v>
      </c>
      <c r="J10" s="322">
        <f>VLOOKUP($A10,[0]!Data,172,FALSE)+VLOOKUP($A10,[0]!Data,199,FALSE)</f>
        <v>3154</v>
      </c>
      <c r="K10" s="322">
        <f>VLOOKUP($A10,[0]!Data,197,FALSE)</f>
        <v>26918</v>
      </c>
      <c r="L10" s="324">
        <f>VLOOKUP($A10,[0]!Data,200,FALSE)</f>
        <v>0</v>
      </c>
      <c r="M10"/>
    </row>
    <row r="11" spans="1:13" x14ac:dyDescent="0.25">
      <c r="A11" s="36" t="s">
        <v>470</v>
      </c>
      <c r="B11" s="36" t="s">
        <v>1509</v>
      </c>
      <c r="C11" s="322">
        <f>VLOOKUP($A11,[0]!Data,163,FALSE)</f>
        <v>86832</v>
      </c>
      <c r="D11" s="322">
        <f>VLOOKUP($A11,[0]!Data,164,FALSE)</f>
        <v>25007</v>
      </c>
      <c r="E11" s="322">
        <f>VLOOKUP($A11,[0]!Data,165,FALSE)</f>
        <v>42941</v>
      </c>
      <c r="F11" s="322">
        <f>VLOOKUP($A11,[0]!Data,166,FALSE)</f>
        <v>154780</v>
      </c>
      <c r="G11" s="322">
        <f>VLOOKUP($A11,[0]!Data,168,FALSE)</f>
        <v>132</v>
      </c>
      <c r="H11" s="322">
        <f>VLOOKUP($A11,[0]!Data,176,FALSE)</f>
        <v>74</v>
      </c>
      <c r="I11" s="322">
        <f>VLOOKUP($A11,[0]!Data,171,FALSE)+VLOOKUP($A11,[0]!Data,198,FALSE)</f>
        <v>5159</v>
      </c>
      <c r="J11" s="322">
        <f>VLOOKUP($A11,[0]!Data,172,FALSE)+VLOOKUP($A11,[0]!Data,199,FALSE)</f>
        <v>6400</v>
      </c>
      <c r="K11" s="322">
        <f>VLOOKUP($A11,[0]!Data,197,FALSE)</f>
        <v>29500</v>
      </c>
      <c r="L11" s="324">
        <f>VLOOKUP($A11,[0]!Data,200,FALSE)</f>
        <v>0</v>
      </c>
      <c r="M11"/>
    </row>
    <row r="12" spans="1:13" x14ac:dyDescent="0.25">
      <c r="A12" s="36" t="s">
        <v>484</v>
      </c>
      <c r="B12" s="36" t="s">
        <v>1510</v>
      </c>
      <c r="C12" s="322">
        <f>VLOOKUP($A12,[0]!Data,163,FALSE)</f>
        <v>296453</v>
      </c>
      <c r="D12" s="322">
        <f>VLOOKUP($A12,[0]!Data,164,FALSE)</f>
        <v>25661</v>
      </c>
      <c r="E12" s="322">
        <f>VLOOKUP($A12,[0]!Data,165,FALSE)</f>
        <v>177332</v>
      </c>
      <c r="F12" s="322">
        <f>VLOOKUP($A12,[0]!Data,166,FALSE)</f>
        <v>499446</v>
      </c>
      <c r="G12" s="322">
        <f>VLOOKUP($A12,[0]!Data,168,FALSE)</f>
        <v>614</v>
      </c>
      <c r="H12" s="322">
        <f>VLOOKUP($A12,[0]!Data,176,FALSE)</f>
        <v>82</v>
      </c>
      <c r="I12" s="322">
        <f>VLOOKUP($A12,[0]!Data,171,FALSE)+VLOOKUP($A12,[0]!Data,198,FALSE)</f>
        <v>59876</v>
      </c>
      <c r="J12" s="322">
        <f>VLOOKUP($A12,[0]!Data,172,FALSE)+VLOOKUP($A12,[0]!Data,199,FALSE)</f>
        <v>19651</v>
      </c>
      <c r="K12" s="322">
        <f>VLOOKUP($A12,[0]!Data,197,FALSE)</f>
        <v>61895</v>
      </c>
      <c r="L12" s="324">
        <f>VLOOKUP($A12,[0]!Data,200,FALSE)</f>
        <v>145</v>
      </c>
      <c r="M12"/>
    </row>
    <row r="13" spans="1:13" x14ac:dyDescent="0.25">
      <c r="A13" s="36" t="s">
        <v>497</v>
      </c>
      <c r="B13" s="36" t="s">
        <v>1511</v>
      </c>
      <c r="C13" s="322">
        <f>VLOOKUP($A13,[0]!Data,163,FALSE)</f>
        <v>70457</v>
      </c>
      <c r="D13" s="322">
        <f>VLOOKUP($A13,[0]!Data,164,FALSE)</f>
        <v>8537</v>
      </c>
      <c r="E13" s="322">
        <f>VLOOKUP($A13,[0]!Data,165,FALSE)</f>
        <v>40827</v>
      </c>
      <c r="F13" s="322">
        <f>VLOOKUP($A13,[0]!Data,166,FALSE)</f>
        <v>119821</v>
      </c>
      <c r="G13" s="322">
        <f>VLOOKUP($A13,[0]!Data,168,FALSE)</f>
        <v>90</v>
      </c>
      <c r="H13" s="322">
        <f>VLOOKUP($A13,[0]!Data,176,FALSE)</f>
        <v>74</v>
      </c>
      <c r="I13" s="322">
        <f>VLOOKUP($A13,[0]!Data,171,FALSE)+VLOOKUP($A13,[0]!Data,198,FALSE)</f>
        <v>7005</v>
      </c>
      <c r="J13" s="322">
        <f>VLOOKUP($A13,[0]!Data,172,FALSE)+VLOOKUP($A13,[0]!Data,199,FALSE)</f>
        <v>1725</v>
      </c>
      <c r="K13" s="322">
        <f>VLOOKUP($A13,[0]!Data,197,FALSE)</f>
        <v>51041</v>
      </c>
      <c r="L13" s="324">
        <f>VLOOKUP($A13,[0]!Data,200,FALSE)</f>
        <v>0</v>
      </c>
      <c r="M13"/>
    </row>
    <row r="14" spans="1:13" x14ac:dyDescent="0.25">
      <c r="A14" s="36" t="s">
        <v>509</v>
      </c>
      <c r="B14" s="36" t="s">
        <v>1512</v>
      </c>
      <c r="C14" s="322">
        <f>VLOOKUP($A14,[0]!Data,163,FALSE)</f>
        <v>104123</v>
      </c>
      <c r="D14" s="322">
        <f>VLOOKUP($A14,[0]!Data,164,FALSE)</f>
        <v>9356</v>
      </c>
      <c r="E14" s="322">
        <f>VLOOKUP($A14,[0]!Data,165,FALSE)</f>
        <v>79076</v>
      </c>
      <c r="F14" s="322">
        <f>VLOOKUP($A14,[0]!Data,166,FALSE)</f>
        <v>192555</v>
      </c>
      <c r="G14" s="322">
        <f>VLOOKUP($A14,[0]!Data,168,FALSE)</f>
        <v>150</v>
      </c>
      <c r="H14" s="322">
        <f>VLOOKUP($A14,[0]!Data,176,FALSE)</f>
        <v>82</v>
      </c>
      <c r="I14" s="322">
        <f>VLOOKUP($A14,[0]!Data,171,FALSE)+VLOOKUP($A14,[0]!Data,198,FALSE)</f>
        <v>14629</v>
      </c>
      <c r="J14" s="322">
        <f>VLOOKUP($A14,[0]!Data,172,FALSE)+VLOOKUP($A14,[0]!Data,199,FALSE)</f>
        <v>7469</v>
      </c>
      <c r="K14" s="322">
        <f>VLOOKUP($A14,[0]!Data,197,FALSE)</f>
        <v>30383</v>
      </c>
      <c r="L14" s="324">
        <f>VLOOKUP($A14,[0]!Data,200,FALSE)</f>
        <v>67</v>
      </c>
      <c r="M14"/>
    </row>
    <row r="15" spans="1:13" x14ac:dyDescent="0.25">
      <c r="A15" s="36" t="s">
        <v>521</v>
      </c>
      <c r="B15" s="36" t="s">
        <v>1513</v>
      </c>
      <c r="C15" s="322">
        <f>VLOOKUP($A15,[0]!Data,163,FALSE)</f>
        <v>82792</v>
      </c>
      <c r="D15" s="322">
        <f>VLOOKUP($A15,[0]!Data,164,FALSE)</f>
        <v>6910</v>
      </c>
      <c r="E15" s="322">
        <f>VLOOKUP($A15,[0]!Data,165,FALSE)</f>
        <v>35188</v>
      </c>
      <c r="F15" s="322">
        <f>VLOOKUP($A15,[0]!Data,166,FALSE)</f>
        <v>124890</v>
      </c>
      <c r="G15" s="322">
        <f>VLOOKUP($A15,[0]!Data,168,FALSE)</f>
        <v>205</v>
      </c>
      <c r="H15" s="322">
        <f>VLOOKUP($A15,[0]!Data,176,FALSE)</f>
        <v>78</v>
      </c>
      <c r="I15" s="322">
        <f>VLOOKUP($A15,[0]!Data,171,FALSE)+VLOOKUP($A15,[0]!Data,198,FALSE)</f>
        <v>22704</v>
      </c>
      <c r="J15" s="322">
        <f>VLOOKUP($A15,[0]!Data,172,FALSE)+VLOOKUP($A15,[0]!Data,199,FALSE)</f>
        <v>11632</v>
      </c>
      <c r="K15" s="322">
        <f>VLOOKUP($A15,[0]!Data,197,FALSE)</f>
        <v>61023</v>
      </c>
      <c r="L15" s="324">
        <f>VLOOKUP($A15,[0]!Data,200,FALSE)</f>
        <v>107</v>
      </c>
      <c r="M15"/>
    </row>
    <row r="16" spans="1:13" x14ac:dyDescent="0.25">
      <c r="A16" s="36" t="s">
        <v>531</v>
      </c>
      <c r="B16" s="36" t="s">
        <v>1514</v>
      </c>
      <c r="C16" s="322">
        <f>VLOOKUP($A16,[0]!Data,163,FALSE)</f>
        <v>22704</v>
      </c>
      <c r="D16" s="322">
        <f>VLOOKUP($A16,[0]!Data,164,FALSE)</f>
        <v>1926</v>
      </c>
      <c r="E16" s="322">
        <f>VLOOKUP($A16,[0]!Data,165,FALSE)</f>
        <v>13671</v>
      </c>
      <c r="F16" s="322">
        <f>VLOOKUP($A16,[0]!Data,166,FALSE)</f>
        <v>38301</v>
      </c>
      <c r="G16" s="322">
        <f>VLOOKUP($A16,[0]!Data,168,FALSE)</f>
        <v>31</v>
      </c>
      <c r="H16" s="322">
        <f>VLOOKUP($A16,[0]!Data,176,FALSE)</f>
        <v>76</v>
      </c>
      <c r="I16" s="322">
        <f>VLOOKUP($A16,[0]!Data,171,FALSE)+VLOOKUP($A16,[0]!Data,198,FALSE)</f>
        <v>4083</v>
      </c>
      <c r="J16" s="322">
        <f>VLOOKUP($A16,[0]!Data,172,FALSE)+VLOOKUP($A16,[0]!Data,199,FALSE)</f>
        <v>2149</v>
      </c>
      <c r="K16" s="322">
        <f>VLOOKUP($A16,[0]!Data,197,FALSE)</f>
        <v>50522</v>
      </c>
      <c r="L16" s="324">
        <f>VLOOKUP($A16,[0]!Data,200,FALSE)</f>
        <v>-1</v>
      </c>
      <c r="M16"/>
    </row>
    <row r="17" spans="1:13" x14ac:dyDescent="0.25">
      <c r="A17" s="36" t="s">
        <v>544</v>
      </c>
      <c r="B17" s="36" t="s">
        <v>1515</v>
      </c>
      <c r="C17" s="322">
        <f>VLOOKUP($A17,[0]!Data,163,FALSE)</f>
        <v>80390</v>
      </c>
      <c r="D17" s="322">
        <f>VLOOKUP($A17,[0]!Data,164,FALSE)</f>
        <v>11265</v>
      </c>
      <c r="E17" s="322">
        <f>VLOOKUP($A17,[0]!Data,165,FALSE)</f>
        <v>61297</v>
      </c>
      <c r="F17" s="322">
        <f>VLOOKUP($A17,[0]!Data,166,FALSE)</f>
        <v>152952</v>
      </c>
      <c r="G17" s="322">
        <f>VLOOKUP($A17,[0]!Data,168,FALSE)</f>
        <v>277</v>
      </c>
      <c r="H17" s="322">
        <f>VLOOKUP($A17,[0]!Data,176,FALSE)</f>
        <v>83</v>
      </c>
      <c r="I17" s="322">
        <f>VLOOKUP($A17,[0]!Data,171,FALSE)+VLOOKUP($A17,[0]!Data,198,FALSE)</f>
        <v>25299</v>
      </c>
      <c r="J17" s="322">
        <f>VLOOKUP($A17,[0]!Data,172,FALSE)+VLOOKUP($A17,[0]!Data,199,FALSE)</f>
        <v>20287</v>
      </c>
      <c r="K17" s="322">
        <f>VLOOKUP($A17,[0]!Data,197,FALSE)</f>
        <v>61043</v>
      </c>
      <c r="L17" s="324">
        <f>VLOOKUP($A17,[0]!Data,200,FALSE)</f>
        <v>87</v>
      </c>
      <c r="M17"/>
    </row>
    <row r="18" spans="1:13" x14ac:dyDescent="0.25">
      <c r="A18" s="36" t="s">
        <v>590</v>
      </c>
      <c r="B18" s="36" t="s">
        <v>1516</v>
      </c>
      <c r="C18" s="322">
        <f>VLOOKUP($A18,[0]!Data,163,FALSE)</f>
        <v>56569</v>
      </c>
      <c r="D18" s="322">
        <f>VLOOKUP($A18,[0]!Data,164,FALSE)</f>
        <v>6381</v>
      </c>
      <c r="E18" s="322">
        <f>VLOOKUP($A18,[0]!Data,165,FALSE)</f>
        <v>31514</v>
      </c>
      <c r="F18" s="322">
        <f>VLOOKUP($A18,[0]!Data,166,FALSE)</f>
        <v>94464</v>
      </c>
      <c r="G18" s="322">
        <f>VLOOKUP($A18,[0]!Data,168,FALSE)</f>
        <v>182</v>
      </c>
      <c r="H18" s="322">
        <f>VLOOKUP($A18,[0]!Data,176,FALSE)</f>
        <v>82</v>
      </c>
      <c r="I18" s="322">
        <f>VLOOKUP($A18,[0]!Data,171,FALSE)+VLOOKUP($A18,[0]!Data,198,FALSE)</f>
        <v>7492</v>
      </c>
      <c r="J18" s="322">
        <f>VLOOKUP($A18,[0]!Data,172,FALSE)+VLOOKUP($A18,[0]!Data,199,FALSE)</f>
        <v>6697</v>
      </c>
      <c r="K18" s="322">
        <f>VLOOKUP($A18,[0]!Data,197,FALSE)</f>
        <v>50523</v>
      </c>
      <c r="L18" s="324">
        <f>VLOOKUP($A18,[0]!Data,200,FALSE)</f>
        <v>0</v>
      </c>
      <c r="M18"/>
    </row>
    <row r="19" spans="1:13" x14ac:dyDescent="0.25">
      <c r="A19" s="36" t="s">
        <v>604</v>
      </c>
      <c r="B19" s="36" t="s">
        <v>1517</v>
      </c>
      <c r="C19" s="322">
        <f>VLOOKUP($A19,[0]!Data,163,FALSE)</f>
        <v>61849</v>
      </c>
      <c r="D19" s="322">
        <f>VLOOKUP($A19,[0]!Data,164,FALSE)</f>
        <v>3601</v>
      </c>
      <c r="E19" s="322">
        <f>VLOOKUP($A19,[0]!Data,165,FALSE)</f>
        <v>39170</v>
      </c>
      <c r="F19" s="322">
        <f>VLOOKUP($A19,[0]!Data,166,FALSE)</f>
        <v>104620</v>
      </c>
      <c r="G19" s="322">
        <f>VLOOKUP($A19,[0]!Data,168,FALSE)</f>
        <v>91</v>
      </c>
      <c r="H19" s="322">
        <f>VLOOKUP($A19,[0]!Data,176,FALSE)</f>
        <v>77</v>
      </c>
      <c r="I19" s="322">
        <f>VLOOKUP($A19,[0]!Data,171,FALSE)+VLOOKUP($A19,[0]!Data,198,FALSE)</f>
        <v>8635</v>
      </c>
      <c r="J19" s="322">
        <f>VLOOKUP($A19,[0]!Data,172,FALSE)+VLOOKUP($A19,[0]!Data,199,FALSE)</f>
        <v>3569</v>
      </c>
      <c r="K19" s="322">
        <f>VLOOKUP($A19,[0]!Data,197,FALSE)</f>
        <v>50522</v>
      </c>
      <c r="L19" s="324">
        <f>VLOOKUP($A19,[0]!Data,200,FALSE)</f>
        <v>-1</v>
      </c>
      <c r="M19"/>
    </row>
    <row r="20" spans="1:13" x14ac:dyDescent="0.25">
      <c r="A20" s="36" t="s">
        <v>617</v>
      </c>
      <c r="B20" s="36" t="s">
        <v>1518</v>
      </c>
      <c r="C20" s="322">
        <f>VLOOKUP($A20,[0]!Data,163,FALSE)</f>
        <v>118612</v>
      </c>
      <c r="D20" s="322">
        <f>VLOOKUP($A20,[0]!Data,164,FALSE)</f>
        <v>0</v>
      </c>
      <c r="E20" s="322">
        <f>VLOOKUP($A20,[0]!Data,165,FALSE)</f>
        <v>53436</v>
      </c>
      <c r="F20" s="322">
        <f>VLOOKUP($A20,[0]!Data,166,FALSE)</f>
        <v>172048</v>
      </c>
      <c r="G20" s="322">
        <f>VLOOKUP($A20,[0]!Data,168,FALSE)</f>
        <v>351</v>
      </c>
      <c r="H20" s="322">
        <f>VLOOKUP($A20,[0]!Data,176,FALSE)</f>
        <v>74</v>
      </c>
      <c r="I20" s="322">
        <f>VLOOKUP($A20,[0]!Data,171,FALSE)+VLOOKUP($A20,[0]!Data,198,FALSE)</f>
        <v>5291</v>
      </c>
      <c r="J20" s="322">
        <f>VLOOKUP($A20,[0]!Data,172,FALSE)+VLOOKUP($A20,[0]!Data,199,FALSE)</f>
        <v>6523</v>
      </c>
      <c r="K20" s="322">
        <f>VLOOKUP($A20,[0]!Data,197,FALSE)</f>
        <v>50523</v>
      </c>
      <c r="L20" s="324">
        <f>VLOOKUP($A20,[0]!Data,200,FALSE)</f>
        <v>0</v>
      </c>
      <c r="M20"/>
    </row>
    <row r="21" spans="1:13" x14ac:dyDescent="0.25">
      <c r="A21" s="36" t="s">
        <v>645</v>
      </c>
      <c r="B21" s="36" t="s">
        <v>1519</v>
      </c>
      <c r="C21" s="322">
        <f>VLOOKUP($A21,[0]!Data,163,FALSE)</f>
        <v>246450</v>
      </c>
      <c r="D21" s="322">
        <f>VLOOKUP($A21,[0]!Data,164,FALSE)</f>
        <v>35213</v>
      </c>
      <c r="E21" s="322">
        <f>VLOOKUP($A21,[0]!Data,165,FALSE)</f>
        <v>190204</v>
      </c>
      <c r="F21" s="322">
        <f>VLOOKUP($A21,[0]!Data,166,FALSE)</f>
        <v>471867</v>
      </c>
      <c r="G21" s="322">
        <f>VLOOKUP($A21,[0]!Data,168,FALSE)</f>
        <v>700</v>
      </c>
      <c r="H21" s="322">
        <f>VLOOKUP($A21,[0]!Data,176,FALSE)</f>
        <v>92</v>
      </c>
      <c r="I21" s="322">
        <f>VLOOKUP($A21,[0]!Data,171,FALSE)+VLOOKUP($A21,[0]!Data,198,FALSE)</f>
        <v>51242</v>
      </c>
      <c r="J21" s="322">
        <f>VLOOKUP($A21,[0]!Data,172,FALSE)+VLOOKUP($A21,[0]!Data,199,FALSE)</f>
        <v>30195</v>
      </c>
      <c r="K21" s="322">
        <f>VLOOKUP($A21,[0]!Data,197,FALSE)</f>
        <v>61095</v>
      </c>
      <c r="L21" s="324">
        <f>VLOOKUP($A21,[0]!Data,200,FALSE)</f>
        <v>162</v>
      </c>
      <c r="M21"/>
    </row>
    <row r="22" spans="1:13" x14ac:dyDescent="0.25">
      <c r="A22" s="36" t="s">
        <v>658</v>
      </c>
      <c r="B22" s="36" t="s">
        <v>1520</v>
      </c>
      <c r="C22" s="322">
        <f>VLOOKUP($A22,[0]!Data,163,FALSE)</f>
        <v>206924</v>
      </c>
      <c r="D22" s="322">
        <f>VLOOKUP($A22,[0]!Data,164,FALSE)</f>
        <v>20047</v>
      </c>
      <c r="E22" s="322">
        <f>VLOOKUP($A22,[0]!Data,165,FALSE)</f>
        <v>83395</v>
      </c>
      <c r="F22" s="322">
        <f>VLOOKUP($A22,[0]!Data,166,FALSE)</f>
        <v>310366</v>
      </c>
      <c r="G22" s="322">
        <f>VLOOKUP($A22,[0]!Data,168,FALSE)</f>
        <v>1618</v>
      </c>
      <c r="H22" s="322">
        <f>VLOOKUP($A22,[0]!Data,176,FALSE)</f>
        <v>96</v>
      </c>
      <c r="I22" s="322">
        <f>VLOOKUP($A22,[0]!Data,171,FALSE)+VLOOKUP($A22,[0]!Data,198,FALSE)</f>
        <v>36664</v>
      </c>
      <c r="J22" s="322">
        <f>VLOOKUP($A22,[0]!Data,172,FALSE)+VLOOKUP($A22,[0]!Data,199,FALSE)</f>
        <v>16649</v>
      </c>
      <c r="K22" s="322">
        <f>VLOOKUP($A22,[0]!Data,197,FALSE)</f>
        <v>61719</v>
      </c>
      <c r="L22" s="324">
        <f>VLOOKUP($A22,[0]!Data,200,FALSE)</f>
        <v>236</v>
      </c>
      <c r="M22"/>
    </row>
    <row r="23" spans="1:13" x14ac:dyDescent="0.25">
      <c r="A23" s="36" t="s">
        <v>674</v>
      </c>
      <c r="B23" s="36" t="s">
        <v>1521</v>
      </c>
      <c r="C23" s="322">
        <f>VLOOKUP($A23,[0]!Data,163,FALSE)</f>
        <v>43514</v>
      </c>
      <c r="D23" s="322">
        <f>VLOOKUP($A23,[0]!Data,164,FALSE)</f>
        <v>3429</v>
      </c>
      <c r="E23" s="322">
        <f>VLOOKUP($A23,[0]!Data,165,FALSE)</f>
        <v>26600</v>
      </c>
      <c r="F23" s="322">
        <f>VLOOKUP($A23,[0]!Data,166,FALSE)</f>
        <v>73543</v>
      </c>
      <c r="G23" s="322">
        <f>VLOOKUP($A23,[0]!Data,168,FALSE)</f>
        <v>80</v>
      </c>
      <c r="H23" s="322">
        <f>VLOOKUP($A23,[0]!Data,176,FALSE)</f>
        <v>83</v>
      </c>
      <c r="I23" s="322">
        <f>VLOOKUP($A23,[0]!Data,171,FALSE)+VLOOKUP($A23,[0]!Data,198,FALSE)</f>
        <v>7274</v>
      </c>
      <c r="J23" s="322">
        <f>VLOOKUP($A23,[0]!Data,172,FALSE)+VLOOKUP($A23,[0]!Data,199,FALSE)</f>
        <v>2536</v>
      </c>
      <c r="K23" s="322">
        <f>VLOOKUP($A23,[0]!Data,197,FALSE)</f>
        <v>50803</v>
      </c>
      <c r="L23" s="324">
        <f>VLOOKUP($A23,[0]!Data,200,FALSE)</f>
        <v>-1</v>
      </c>
      <c r="M23"/>
    </row>
    <row r="24" spans="1:13" x14ac:dyDescent="0.25">
      <c r="A24" s="36" t="s">
        <v>686</v>
      </c>
      <c r="B24" s="36" t="s">
        <v>1522</v>
      </c>
      <c r="C24" s="322">
        <f>VLOOKUP($A24,[0]!Data,163,FALSE)</f>
        <v>45140</v>
      </c>
      <c r="D24" s="322">
        <f>VLOOKUP($A24,[0]!Data,164,FALSE)</f>
        <v>762</v>
      </c>
      <c r="E24" s="322">
        <f>VLOOKUP($A24,[0]!Data,165,FALSE)</f>
        <v>30940</v>
      </c>
      <c r="F24" s="322">
        <f>VLOOKUP($A24,[0]!Data,166,FALSE)</f>
        <v>76842</v>
      </c>
      <c r="G24" s="322">
        <f>VLOOKUP($A24,[0]!Data,168,FALSE)</f>
        <v>45</v>
      </c>
      <c r="H24" s="322">
        <f>VLOOKUP($A24,[0]!Data,176,FALSE)</f>
        <v>74</v>
      </c>
      <c r="I24" s="322">
        <f>VLOOKUP($A24,[0]!Data,171,FALSE)+VLOOKUP($A24,[0]!Data,198,FALSE)</f>
        <v>5873</v>
      </c>
      <c r="J24" s="322">
        <f>VLOOKUP($A24,[0]!Data,172,FALSE)+VLOOKUP($A24,[0]!Data,199,FALSE)</f>
        <v>4340</v>
      </c>
      <c r="K24" s="322">
        <f>VLOOKUP($A24,[0]!Data,197,FALSE)</f>
        <v>50523</v>
      </c>
      <c r="L24" s="324">
        <f>VLOOKUP($A24,[0]!Data,200,FALSE)</f>
        <v>0</v>
      </c>
      <c r="M24"/>
    </row>
    <row r="25" spans="1:13" x14ac:dyDescent="0.25">
      <c r="A25" s="36" t="s">
        <v>699</v>
      </c>
      <c r="B25" s="36" t="s">
        <v>1523</v>
      </c>
      <c r="C25" s="322">
        <f>VLOOKUP($A25,[0]!Data,163,FALSE)</f>
        <v>325133</v>
      </c>
      <c r="D25" s="322">
        <f>VLOOKUP($A25,[0]!Data,164,FALSE)</f>
        <v>26587</v>
      </c>
      <c r="E25" s="322">
        <f>VLOOKUP($A25,[0]!Data,165,FALSE)</f>
        <v>222314</v>
      </c>
      <c r="F25" s="322">
        <f>VLOOKUP($A25,[0]!Data,166,FALSE)</f>
        <v>574034</v>
      </c>
      <c r="G25" s="322">
        <f>VLOOKUP($A25,[0]!Data,168,FALSE)</f>
        <v>490</v>
      </c>
      <c r="H25" s="322">
        <f>VLOOKUP($A25,[0]!Data,176,FALSE)</f>
        <v>87</v>
      </c>
      <c r="I25" s="322">
        <f>VLOOKUP($A25,[0]!Data,171,FALSE)+VLOOKUP($A25,[0]!Data,198,FALSE)</f>
        <v>52260</v>
      </c>
      <c r="J25" s="322">
        <f>VLOOKUP($A25,[0]!Data,172,FALSE)+VLOOKUP($A25,[0]!Data,199,FALSE)</f>
        <v>49404</v>
      </c>
      <c r="K25" s="322">
        <f>VLOOKUP($A25,[0]!Data,197,FALSE)</f>
        <v>38955</v>
      </c>
      <c r="L25" s="324">
        <f>VLOOKUP($A25,[0]!Data,200,FALSE)</f>
        <v>112</v>
      </c>
      <c r="M25"/>
    </row>
    <row r="26" spans="1:13" x14ac:dyDescent="0.25">
      <c r="A26" s="36" t="s">
        <v>729</v>
      </c>
      <c r="B26" s="36" t="s">
        <v>1524</v>
      </c>
      <c r="C26" s="322">
        <f>VLOOKUP($A26,[0]!Data,163,FALSE)</f>
        <v>71253</v>
      </c>
      <c r="D26" s="322">
        <f>VLOOKUP($A26,[0]!Data,164,FALSE)</f>
        <v>2273</v>
      </c>
      <c r="E26" s="322">
        <f>VLOOKUP($A26,[0]!Data,165,FALSE)</f>
        <v>31828</v>
      </c>
      <c r="F26" s="322">
        <f>VLOOKUP($A26,[0]!Data,166,FALSE)</f>
        <v>105354</v>
      </c>
      <c r="G26" s="322">
        <f>VLOOKUP($A26,[0]!Data,168,FALSE)</f>
        <v>99</v>
      </c>
      <c r="H26" s="322">
        <f>VLOOKUP($A26,[0]!Data,176,FALSE)</f>
        <v>75</v>
      </c>
      <c r="I26" s="322">
        <f>VLOOKUP($A26,[0]!Data,171,FALSE)+VLOOKUP($A26,[0]!Data,198,FALSE)</f>
        <v>3644</v>
      </c>
      <c r="J26" s="322">
        <f>VLOOKUP($A26,[0]!Data,172,FALSE)+VLOOKUP($A26,[0]!Data,199,FALSE)</f>
        <v>491</v>
      </c>
      <c r="K26" s="322">
        <f>VLOOKUP($A26,[0]!Data,197,FALSE)</f>
        <v>26886</v>
      </c>
      <c r="L26" s="324">
        <f>VLOOKUP($A26,[0]!Data,200,FALSE)</f>
        <v>0</v>
      </c>
      <c r="M26"/>
    </row>
    <row r="27" spans="1:13" x14ac:dyDescent="0.25">
      <c r="A27" s="36" t="s">
        <v>774</v>
      </c>
      <c r="B27" s="36" t="s">
        <v>1525</v>
      </c>
      <c r="C27" s="322">
        <f>VLOOKUP($A27,[0]!Data,163,FALSE)</f>
        <v>380080</v>
      </c>
      <c r="D27" s="322">
        <f>VLOOKUP($A27,[0]!Data,164,FALSE)</f>
        <v>19933</v>
      </c>
      <c r="E27" s="322">
        <f>VLOOKUP($A27,[0]!Data,165,FALSE)</f>
        <v>217790</v>
      </c>
      <c r="F27" s="322">
        <f>VLOOKUP($A27,[0]!Data,166,FALSE)</f>
        <v>617803</v>
      </c>
      <c r="G27" s="322">
        <f>VLOOKUP($A27,[0]!Data,168,FALSE)</f>
        <v>1528</v>
      </c>
      <c r="H27" s="322">
        <f>VLOOKUP($A27,[0]!Data,176,FALSE)</f>
        <v>102</v>
      </c>
      <c r="I27" s="322">
        <f>VLOOKUP($A27,[0]!Data,171,FALSE)+VLOOKUP($A27,[0]!Data,198,FALSE)</f>
        <v>68611</v>
      </c>
      <c r="J27" s="322">
        <f>VLOOKUP($A27,[0]!Data,172,FALSE)+VLOOKUP($A27,[0]!Data,199,FALSE)</f>
        <v>30816</v>
      </c>
      <c r="K27" s="322">
        <f>VLOOKUP($A27,[0]!Data,197,FALSE)</f>
        <v>99326</v>
      </c>
      <c r="L27" s="324">
        <f>VLOOKUP($A27,[0]!Data,200,FALSE)</f>
        <v>1264</v>
      </c>
      <c r="M27"/>
    </row>
    <row r="28" spans="1:13" x14ac:dyDescent="0.25">
      <c r="A28" s="36" t="s">
        <v>788</v>
      </c>
      <c r="B28" s="36" t="s">
        <v>1526</v>
      </c>
      <c r="C28" s="322">
        <f>VLOOKUP($A28,[0]!Data,163,FALSE)</f>
        <v>59151</v>
      </c>
      <c r="D28" s="322">
        <f>VLOOKUP($A28,[0]!Data,164,FALSE)</f>
        <v>3412</v>
      </c>
      <c r="E28" s="322">
        <f>VLOOKUP($A28,[0]!Data,165,FALSE)</f>
        <v>35645</v>
      </c>
      <c r="F28" s="322">
        <f>VLOOKUP($A28,[0]!Data,166,FALSE)</f>
        <v>98208</v>
      </c>
      <c r="G28" s="322">
        <f>VLOOKUP($A28,[0]!Data,168,FALSE)</f>
        <v>107</v>
      </c>
      <c r="H28" s="322">
        <f>VLOOKUP($A28,[0]!Data,176,FALSE)</f>
        <v>77</v>
      </c>
      <c r="I28" s="322">
        <f>VLOOKUP($A28,[0]!Data,171,FALSE)+VLOOKUP($A28,[0]!Data,198,FALSE)</f>
        <v>8067</v>
      </c>
      <c r="J28" s="322">
        <f>VLOOKUP($A28,[0]!Data,172,FALSE)+VLOOKUP($A28,[0]!Data,199,FALSE)</f>
        <v>3731</v>
      </c>
      <c r="K28" s="322">
        <f>VLOOKUP($A28,[0]!Data,197,FALSE)</f>
        <v>50523</v>
      </c>
      <c r="L28" s="324">
        <f>VLOOKUP($A28,[0]!Data,200,FALSE)</f>
        <v>0</v>
      </c>
      <c r="M28"/>
    </row>
    <row r="29" spans="1:13" x14ac:dyDescent="0.25">
      <c r="A29" s="36" t="s">
        <v>802</v>
      </c>
      <c r="B29" s="36" t="s">
        <v>817</v>
      </c>
      <c r="C29" s="322">
        <f>VLOOKUP($A29,[0]!Data,163,FALSE)</f>
        <v>278361</v>
      </c>
      <c r="D29" s="322">
        <f>VLOOKUP($A29,[0]!Data,164,FALSE)</f>
        <v>20765</v>
      </c>
      <c r="E29" s="322">
        <f>VLOOKUP($A29,[0]!Data,165,FALSE)</f>
        <v>144879</v>
      </c>
      <c r="F29" s="322">
        <f>VLOOKUP($A29,[0]!Data,166,FALSE)</f>
        <v>444005</v>
      </c>
      <c r="G29" s="322">
        <f>VLOOKUP($A29,[0]!Data,168,FALSE)</f>
        <v>276</v>
      </c>
      <c r="H29" s="322">
        <f>VLOOKUP($A29,[0]!Data,176,FALSE)</f>
        <v>84</v>
      </c>
      <c r="I29" s="322">
        <f>VLOOKUP($A29,[0]!Data,171,FALSE)+VLOOKUP($A29,[0]!Data,198,FALSE)</f>
        <v>30065</v>
      </c>
      <c r="J29" s="322">
        <f>VLOOKUP($A29,[0]!Data,172,FALSE)+VLOOKUP($A29,[0]!Data,199,FALSE)</f>
        <v>24985</v>
      </c>
      <c r="K29" s="322">
        <f>VLOOKUP($A29,[0]!Data,197,FALSE)</f>
        <v>61700</v>
      </c>
      <c r="L29" s="324">
        <f>VLOOKUP($A29,[0]!Data,200,FALSE)</f>
        <v>149</v>
      </c>
      <c r="M29"/>
    </row>
    <row r="30" spans="1:13" x14ac:dyDescent="0.25">
      <c r="A30" s="36" t="s">
        <v>828</v>
      </c>
      <c r="B30" s="36" t="s">
        <v>1527</v>
      </c>
      <c r="C30" s="322">
        <f>VLOOKUP($A30,[0]!Data,163,FALSE)</f>
        <v>90498</v>
      </c>
      <c r="D30" s="322">
        <f>VLOOKUP($A30,[0]!Data,164,FALSE)</f>
        <v>9945</v>
      </c>
      <c r="E30" s="322">
        <f>VLOOKUP($A30,[0]!Data,165,FALSE)</f>
        <v>40459</v>
      </c>
      <c r="F30" s="322">
        <f>VLOOKUP($A30,[0]!Data,166,FALSE)</f>
        <v>140902</v>
      </c>
      <c r="G30" s="322">
        <f>VLOOKUP($A30,[0]!Data,168,FALSE)</f>
        <v>172</v>
      </c>
      <c r="H30" s="322">
        <f>VLOOKUP($A30,[0]!Data,176,FALSE)</f>
        <v>79</v>
      </c>
      <c r="I30" s="322">
        <f>VLOOKUP($A30,[0]!Data,171,FALSE)+VLOOKUP($A30,[0]!Data,198,FALSE)</f>
        <v>13357</v>
      </c>
      <c r="J30" s="322">
        <f>VLOOKUP($A30,[0]!Data,172,FALSE)+VLOOKUP($A30,[0]!Data,199,FALSE)</f>
        <v>8400</v>
      </c>
      <c r="K30" s="322">
        <f>VLOOKUP($A30,[0]!Data,197,FALSE)</f>
        <v>50523</v>
      </c>
      <c r="L30" s="324">
        <f>VLOOKUP($A30,[0]!Data,200,FALSE)</f>
        <v>0</v>
      </c>
      <c r="M30"/>
    </row>
    <row r="31" spans="1:13" x14ac:dyDescent="0.25">
      <c r="A31" s="36" t="s">
        <v>842</v>
      </c>
      <c r="B31" s="36" t="s">
        <v>1528</v>
      </c>
      <c r="C31" s="322">
        <f>VLOOKUP($A31,[0]!Data,163,FALSE)</f>
        <v>291846</v>
      </c>
      <c r="D31" s="322">
        <f>VLOOKUP($A31,[0]!Data,164,FALSE)</f>
        <v>29947</v>
      </c>
      <c r="E31" s="322">
        <f>VLOOKUP($A31,[0]!Data,165,FALSE)</f>
        <v>203025</v>
      </c>
      <c r="F31" s="322">
        <f>VLOOKUP($A31,[0]!Data,166,FALSE)</f>
        <v>524818</v>
      </c>
      <c r="G31" s="322">
        <f>VLOOKUP($A31,[0]!Data,168,FALSE)</f>
        <v>687</v>
      </c>
      <c r="H31" s="322">
        <f>VLOOKUP($A31,[0]!Data,176,FALSE)</f>
        <v>88</v>
      </c>
      <c r="I31" s="322">
        <f>VLOOKUP($A31,[0]!Data,171,FALSE)+VLOOKUP($A31,[0]!Data,198,FALSE)</f>
        <v>46457</v>
      </c>
      <c r="J31" s="322">
        <f>VLOOKUP($A31,[0]!Data,172,FALSE)+VLOOKUP($A31,[0]!Data,199,FALSE)</f>
        <v>56087</v>
      </c>
      <c r="K31" s="322">
        <f>VLOOKUP($A31,[0]!Data,197,FALSE)</f>
        <v>98761</v>
      </c>
      <c r="L31" s="324">
        <f>VLOOKUP($A31,[0]!Data,200,FALSE)</f>
        <v>87</v>
      </c>
      <c r="M31"/>
    </row>
    <row r="32" spans="1:13" x14ac:dyDescent="0.25">
      <c r="A32" s="36" t="s">
        <v>857</v>
      </c>
      <c r="B32" s="36" t="s">
        <v>1529</v>
      </c>
      <c r="C32" s="322">
        <f>VLOOKUP($A32,[0]!Data,163,FALSE)</f>
        <v>70412</v>
      </c>
      <c r="D32" s="322">
        <f>VLOOKUP($A32,[0]!Data,164,FALSE)</f>
        <v>601</v>
      </c>
      <c r="E32" s="322">
        <f>VLOOKUP($A32,[0]!Data,165,FALSE)</f>
        <v>27206</v>
      </c>
      <c r="F32" s="322">
        <f>VLOOKUP($A32,[0]!Data,166,FALSE)</f>
        <v>98219</v>
      </c>
      <c r="G32" s="322">
        <f>VLOOKUP($A32,[0]!Data,168,FALSE)</f>
        <v>15</v>
      </c>
      <c r="H32" s="322">
        <f>VLOOKUP($A32,[0]!Data,176,FALSE)</f>
        <v>74</v>
      </c>
      <c r="I32" s="322">
        <f>VLOOKUP($A32,[0]!Data,171,FALSE)+VLOOKUP($A32,[0]!Data,198,FALSE)</f>
        <v>3068</v>
      </c>
      <c r="J32" s="322">
        <f>VLOOKUP($A32,[0]!Data,172,FALSE)+VLOOKUP($A32,[0]!Data,199,FALSE)</f>
        <v>50</v>
      </c>
      <c r="K32" s="322">
        <f>VLOOKUP($A32,[0]!Data,197,FALSE)</f>
        <v>26725</v>
      </c>
      <c r="L32" s="324">
        <f>VLOOKUP($A32,[0]!Data,200,FALSE)</f>
        <v>0</v>
      </c>
      <c r="M32"/>
    </row>
    <row r="33" spans="1:13" x14ac:dyDescent="0.25">
      <c r="A33" s="36" t="s">
        <v>871</v>
      </c>
      <c r="B33" s="36" t="s">
        <v>1530</v>
      </c>
      <c r="C33" s="322">
        <f>VLOOKUP($A33,[0]!Data,163,FALSE)</f>
        <v>93387</v>
      </c>
      <c r="D33" s="322">
        <f>VLOOKUP($A33,[0]!Data,164,FALSE)</f>
        <v>5130</v>
      </c>
      <c r="E33" s="322">
        <f>VLOOKUP($A33,[0]!Data,165,FALSE)</f>
        <v>80354</v>
      </c>
      <c r="F33" s="322">
        <f>VLOOKUP($A33,[0]!Data,166,FALSE)</f>
        <v>178871</v>
      </c>
      <c r="G33" s="322">
        <f>VLOOKUP($A33,[0]!Data,168,FALSE)</f>
        <v>108</v>
      </c>
      <c r="H33" s="322">
        <f>VLOOKUP($A33,[0]!Data,176,FALSE)</f>
        <v>74</v>
      </c>
      <c r="I33" s="322">
        <f>VLOOKUP($A33,[0]!Data,171,FALSE)+VLOOKUP($A33,[0]!Data,198,FALSE)</f>
        <v>8120</v>
      </c>
      <c r="J33" s="322">
        <f>VLOOKUP($A33,[0]!Data,172,FALSE)+VLOOKUP($A33,[0]!Data,199,FALSE)</f>
        <v>9827</v>
      </c>
      <c r="K33" s="322">
        <f>VLOOKUP($A33,[0]!Data,197,FALSE)</f>
        <v>50635</v>
      </c>
      <c r="L33" s="324">
        <f>VLOOKUP($A33,[0]!Data,200,FALSE)</f>
        <v>0</v>
      </c>
      <c r="M33"/>
    </row>
    <row r="34" spans="1:13" x14ac:dyDescent="0.25">
      <c r="A34" s="36" t="s">
        <v>893</v>
      </c>
      <c r="B34" s="36" t="s">
        <v>1531</v>
      </c>
      <c r="C34" s="322">
        <f>VLOOKUP($A34,[0]!Data,163,FALSE)</f>
        <v>88898</v>
      </c>
      <c r="D34" s="322">
        <f>VLOOKUP($A34,[0]!Data,164,FALSE)</f>
        <v>4557</v>
      </c>
      <c r="E34" s="322">
        <f>VLOOKUP($A34,[0]!Data,165,FALSE)</f>
        <v>35677</v>
      </c>
      <c r="F34" s="322">
        <f>VLOOKUP($A34,[0]!Data,166,FALSE)</f>
        <v>129132</v>
      </c>
      <c r="G34" s="322">
        <f>VLOOKUP($A34,[0]!Data,168,FALSE)</f>
        <v>242</v>
      </c>
      <c r="H34" s="322">
        <f>VLOOKUP($A34,[0]!Data,176,FALSE)</f>
        <v>82</v>
      </c>
      <c r="I34" s="322">
        <f>VLOOKUP($A34,[0]!Data,171,FALSE)+VLOOKUP($A34,[0]!Data,198,FALSE)</f>
        <v>28198</v>
      </c>
      <c r="J34" s="322">
        <f>VLOOKUP($A34,[0]!Data,172,FALSE)+VLOOKUP($A34,[0]!Data,199,FALSE)</f>
        <v>6705</v>
      </c>
      <c r="K34" s="322">
        <f>VLOOKUP($A34,[0]!Data,197,FALSE)</f>
        <v>61175</v>
      </c>
      <c r="L34" s="324">
        <f>VLOOKUP($A34,[0]!Data,200,FALSE)</f>
        <v>118</v>
      </c>
      <c r="M34"/>
    </row>
    <row r="35" spans="1:13" x14ac:dyDescent="0.25">
      <c r="A35" s="36" t="s">
        <v>905</v>
      </c>
      <c r="B35" s="36" t="s">
        <v>1532</v>
      </c>
      <c r="C35" s="322">
        <f>VLOOKUP($A35,[0]!Data,163,FALSE)</f>
        <v>159824</v>
      </c>
      <c r="D35" s="322">
        <f>VLOOKUP($A35,[0]!Data,164,FALSE)</f>
        <v>14072</v>
      </c>
      <c r="E35" s="322">
        <f>VLOOKUP($A35,[0]!Data,165,FALSE)</f>
        <v>75972</v>
      </c>
      <c r="F35" s="322">
        <f>VLOOKUP($A35,[0]!Data,166,FALSE)</f>
        <v>249868</v>
      </c>
      <c r="G35" s="322">
        <f>VLOOKUP($A35,[0]!Data,168,FALSE)</f>
        <v>316</v>
      </c>
      <c r="H35" s="322">
        <f>VLOOKUP($A35,[0]!Data,176,FALSE)</f>
        <v>82</v>
      </c>
      <c r="I35" s="322">
        <f>VLOOKUP($A35,[0]!Data,171,FALSE)+VLOOKUP($A35,[0]!Data,198,FALSE)</f>
        <v>31031</v>
      </c>
      <c r="J35" s="322">
        <f>VLOOKUP($A35,[0]!Data,172,FALSE)+VLOOKUP($A35,[0]!Data,199,FALSE)</f>
        <v>18746</v>
      </c>
      <c r="K35" s="322">
        <f>VLOOKUP($A35,[0]!Data,197,FALSE)</f>
        <v>62800</v>
      </c>
      <c r="L35" s="324">
        <f>VLOOKUP($A35,[0]!Data,200,FALSE)</f>
        <v>142</v>
      </c>
      <c r="M35"/>
    </row>
    <row r="36" spans="1:13" x14ac:dyDescent="0.25">
      <c r="A36" s="36" t="s">
        <v>957</v>
      </c>
      <c r="B36" s="36" t="s">
        <v>1533</v>
      </c>
      <c r="C36" s="322">
        <f>VLOOKUP($A36,[0]!Data,163,FALSE)</f>
        <v>141718</v>
      </c>
      <c r="D36" s="322">
        <f>VLOOKUP($A36,[0]!Data,164,FALSE)</f>
        <v>13187</v>
      </c>
      <c r="E36" s="322">
        <f>VLOOKUP($A36,[0]!Data,165,FALSE)</f>
        <v>67872</v>
      </c>
      <c r="F36" s="322">
        <f>VLOOKUP($A36,[0]!Data,166,FALSE)</f>
        <v>222777</v>
      </c>
      <c r="G36" s="322">
        <f>VLOOKUP($A36,[0]!Data,168,FALSE)</f>
        <v>91</v>
      </c>
      <c r="H36" s="322">
        <f>VLOOKUP($A36,[0]!Data,176,FALSE)</f>
        <v>80</v>
      </c>
      <c r="I36" s="322">
        <f>VLOOKUP($A36,[0]!Data,171,FALSE)+VLOOKUP($A36,[0]!Data,198,FALSE)</f>
        <v>10813</v>
      </c>
      <c r="J36" s="322">
        <f>VLOOKUP($A36,[0]!Data,172,FALSE)+VLOOKUP($A36,[0]!Data,199,FALSE)</f>
        <v>398</v>
      </c>
      <c r="K36" s="322">
        <f>VLOOKUP($A36,[0]!Data,197,FALSE)</f>
        <v>33505</v>
      </c>
      <c r="L36" s="324">
        <f>VLOOKUP($A36,[0]!Data,200,FALSE)</f>
        <v>100</v>
      </c>
      <c r="M36"/>
    </row>
    <row r="37" spans="1:13" x14ac:dyDescent="0.25">
      <c r="A37" s="36" t="s">
        <v>1198</v>
      </c>
      <c r="B37" s="36" t="s">
        <v>950</v>
      </c>
      <c r="C37" s="322">
        <f>VLOOKUP($A37,[0]!Data,163,FALSE)</f>
        <v>146426</v>
      </c>
      <c r="D37" s="322">
        <f>VLOOKUP($A37,[0]!Data,164,FALSE)</f>
        <v>11180</v>
      </c>
      <c r="E37" s="322">
        <f>VLOOKUP($A37,[0]!Data,165,FALSE)</f>
        <v>80650</v>
      </c>
      <c r="F37" s="322">
        <f>VLOOKUP($A37,[0]!Data,166,FALSE)</f>
        <v>238256</v>
      </c>
      <c r="G37" s="322">
        <f>VLOOKUP($A37,[0]!Data,168,FALSE)</f>
        <v>65</v>
      </c>
      <c r="H37" s="322">
        <f>VLOOKUP($A37,[0]!Data,176,FALSE)</f>
        <v>74</v>
      </c>
      <c r="I37" s="322">
        <f>VLOOKUP($A37,[0]!Data,171,FALSE)+VLOOKUP($A37,[0]!Data,198,FALSE)</f>
        <v>11441</v>
      </c>
      <c r="J37" s="322">
        <f>VLOOKUP($A37,[0]!Data,172,FALSE)+VLOOKUP($A37,[0]!Data,199,FALSE)</f>
        <v>7979</v>
      </c>
      <c r="K37" s="322">
        <f>VLOOKUP($A37,[0]!Data,197,FALSE)</f>
        <v>27301</v>
      </c>
      <c r="L37" s="324">
        <f>VLOOKUP($A37,[0]!Data,200,FALSE)</f>
        <v>0</v>
      </c>
      <c r="M37"/>
    </row>
    <row r="38" spans="1:13" x14ac:dyDescent="0.25">
      <c r="A38" s="36" t="s">
        <v>981</v>
      </c>
      <c r="B38" s="36" t="s">
        <v>1534</v>
      </c>
      <c r="C38" s="322">
        <f>VLOOKUP($A38,[0]!Data,163,FALSE)</f>
        <v>77984</v>
      </c>
      <c r="D38" s="322">
        <f>VLOOKUP($A38,[0]!Data,164,FALSE)</f>
        <v>1488</v>
      </c>
      <c r="E38" s="322">
        <f>VLOOKUP($A38,[0]!Data,165,FALSE)</f>
        <v>39945</v>
      </c>
      <c r="F38" s="322">
        <f>VLOOKUP($A38,[0]!Data,166,FALSE)</f>
        <v>119417</v>
      </c>
      <c r="G38" s="322">
        <f>VLOOKUP($A38,[0]!Data,168,FALSE)</f>
        <v>95</v>
      </c>
      <c r="H38" s="322">
        <f>VLOOKUP($A38,[0]!Data,176,FALSE)</f>
        <v>74</v>
      </c>
      <c r="I38" s="322">
        <f>VLOOKUP($A38,[0]!Data,171,FALSE)+VLOOKUP($A38,[0]!Data,198,FALSE)</f>
        <v>6209</v>
      </c>
      <c r="J38" s="322">
        <f>VLOOKUP($A38,[0]!Data,172,FALSE)+VLOOKUP($A38,[0]!Data,199,FALSE)</f>
        <v>4469</v>
      </c>
      <c r="K38" s="322">
        <f>VLOOKUP($A38,[0]!Data,197,FALSE)</f>
        <v>50778</v>
      </c>
      <c r="L38" s="324">
        <f>VLOOKUP($A38,[0]!Data,200,FALSE)</f>
        <v>0</v>
      </c>
      <c r="M38"/>
    </row>
    <row r="39" spans="1:13" x14ac:dyDescent="0.25">
      <c r="A39" s="36" t="s">
        <v>992</v>
      </c>
      <c r="B39" s="36" t="s">
        <v>1535</v>
      </c>
      <c r="C39" s="322">
        <f>VLOOKUP($A39,[0]!Data,163,FALSE)</f>
        <v>83052</v>
      </c>
      <c r="D39" s="322">
        <f>VLOOKUP($A39,[0]!Data,164,FALSE)</f>
        <v>5103</v>
      </c>
      <c r="E39" s="322">
        <f>VLOOKUP($A39,[0]!Data,165,FALSE)</f>
        <v>49491</v>
      </c>
      <c r="F39" s="322">
        <f>VLOOKUP($A39,[0]!Data,166,FALSE)</f>
        <v>137646</v>
      </c>
      <c r="G39" s="322">
        <f>VLOOKUP($A39,[0]!Data,168,FALSE)</f>
        <v>168</v>
      </c>
      <c r="H39" s="322">
        <f>VLOOKUP($A39,[0]!Data,176,FALSE)</f>
        <v>80</v>
      </c>
      <c r="I39" s="322">
        <f>VLOOKUP($A39,[0]!Data,171,FALSE)+VLOOKUP($A39,[0]!Data,198,FALSE)</f>
        <v>21910</v>
      </c>
      <c r="J39" s="322">
        <f>VLOOKUP($A39,[0]!Data,172,FALSE)+VLOOKUP($A39,[0]!Data,199,FALSE)</f>
        <v>10570</v>
      </c>
      <c r="K39" s="322">
        <f>VLOOKUP($A39,[0]!Data,197,FALSE)</f>
        <v>64297</v>
      </c>
      <c r="L39" s="324">
        <f>VLOOKUP($A39,[0]!Data,200,FALSE)</f>
        <v>284</v>
      </c>
      <c r="M39"/>
    </row>
    <row r="40" spans="1:13" x14ac:dyDescent="0.25">
      <c r="A40" s="36" t="s">
        <v>1009</v>
      </c>
      <c r="B40" s="36" t="s">
        <v>1536</v>
      </c>
      <c r="C40" s="322">
        <f>VLOOKUP($A40,[0]!Data,163,FALSE)</f>
        <v>41061</v>
      </c>
      <c r="D40" s="322">
        <f>VLOOKUP($A40,[0]!Data,164,FALSE)</f>
        <v>2420</v>
      </c>
      <c r="E40" s="322">
        <f>VLOOKUP($A40,[0]!Data,165,FALSE)</f>
        <v>17195</v>
      </c>
      <c r="F40" s="322">
        <f>VLOOKUP($A40,[0]!Data,166,FALSE)</f>
        <v>60676</v>
      </c>
      <c r="G40" s="322">
        <f>VLOOKUP($A40,[0]!Data,168,FALSE)</f>
        <v>106</v>
      </c>
      <c r="H40" s="322">
        <f>VLOOKUP($A40,[0]!Data,176,FALSE)</f>
        <v>75</v>
      </c>
      <c r="I40" s="322">
        <f>VLOOKUP($A40,[0]!Data,171,FALSE)+VLOOKUP($A40,[0]!Data,198,FALSE)</f>
        <v>6593</v>
      </c>
      <c r="J40" s="322">
        <f>VLOOKUP($A40,[0]!Data,172,FALSE)+VLOOKUP($A40,[0]!Data,199,FALSE)</f>
        <v>6772</v>
      </c>
      <c r="K40" s="322">
        <f>VLOOKUP($A40,[0]!Data,197,FALSE)</f>
        <v>50589</v>
      </c>
      <c r="L40" s="324">
        <f>VLOOKUP($A40,[0]!Data,200,FALSE)</f>
        <v>0</v>
      </c>
      <c r="M40"/>
    </row>
    <row r="41" spans="1:13" x14ac:dyDescent="0.25">
      <c r="A41" s="36" t="s">
        <v>1021</v>
      </c>
      <c r="B41" s="36" t="s">
        <v>1537</v>
      </c>
      <c r="C41" s="322">
        <f>VLOOKUP($A41,[0]!Data,163,FALSE)</f>
        <v>63070</v>
      </c>
      <c r="D41" s="322">
        <f>VLOOKUP($A41,[0]!Data,164,FALSE)</f>
        <v>3898</v>
      </c>
      <c r="E41" s="322">
        <f>VLOOKUP($A41,[0]!Data,165,FALSE)</f>
        <v>22994</v>
      </c>
      <c r="F41" s="322">
        <f>VLOOKUP($A41,[0]!Data,166,FALSE)</f>
        <v>89962</v>
      </c>
      <c r="G41" s="322">
        <f>VLOOKUP($A41,[0]!Data,168,FALSE)</f>
        <v>91</v>
      </c>
      <c r="H41" s="322">
        <f>VLOOKUP($A41,[0]!Data,176,FALSE)</f>
        <v>76</v>
      </c>
      <c r="I41" s="322">
        <f>VLOOKUP($A41,[0]!Data,171,FALSE)+VLOOKUP($A41,[0]!Data,198,FALSE)</f>
        <v>8988</v>
      </c>
      <c r="J41" s="322">
        <f>VLOOKUP($A41,[0]!Data,172,FALSE)+VLOOKUP($A41,[0]!Data,199,FALSE)</f>
        <v>7024</v>
      </c>
      <c r="K41" s="322">
        <f>VLOOKUP($A41,[0]!Data,197,FALSE)</f>
        <v>50523</v>
      </c>
      <c r="L41" s="324">
        <f>VLOOKUP($A41,[0]!Data,200,FALSE)</f>
        <v>0</v>
      </c>
      <c r="M41"/>
    </row>
    <row r="42" spans="1:13" x14ac:dyDescent="0.25">
      <c r="A42" s="36" t="s">
        <v>574</v>
      </c>
      <c r="B42" s="36" t="s">
        <v>1538</v>
      </c>
      <c r="C42" s="322">
        <f>VLOOKUP($A42,[0]!Data,163,FALSE)</f>
        <v>474631</v>
      </c>
      <c r="D42" s="322">
        <f>VLOOKUP($A42,[0]!Data,164,FALSE)</f>
        <v>67724</v>
      </c>
      <c r="E42" s="322">
        <f>VLOOKUP($A42,[0]!Data,165,FALSE)</f>
        <v>357894</v>
      </c>
      <c r="F42" s="322">
        <f>VLOOKUP($A42,[0]!Data,166,FALSE)</f>
        <v>900249</v>
      </c>
      <c r="G42" s="322">
        <f>VLOOKUP($A42,[0]!Data,168,FALSE)</f>
        <v>1865</v>
      </c>
      <c r="H42" s="322">
        <f>VLOOKUP($A42,[0]!Data,176,FALSE)</f>
        <v>98</v>
      </c>
      <c r="I42" s="322">
        <f>VLOOKUP($A42,[0]!Data,171,FALSE)+VLOOKUP($A42,[0]!Data,198,FALSE)</f>
        <v>68677</v>
      </c>
      <c r="J42" s="322">
        <f>VLOOKUP($A42,[0]!Data,172,FALSE)+VLOOKUP($A42,[0]!Data,199,FALSE)</f>
        <v>32796</v>
      </c>
      <c r="K42" s="322">
        <f>VLOOKUP($A42,[0]!Data,197,FALSE)</f>
        <v>54762</v>
      </c>
      <c r="L42" s="324">
        <f>VLOOKUP($A42,[0]!Data,200,FALSE)</f>
        <v>206</v>
      </c>
      <c r="M42"/>
    </row>
    <row r="43" spans="1:13" x14ac:dyDescent="0.25">
      <c r="A43" s="36" t="s">
        <v>455</v>
      </c>
      <c r="B43" s="36" t="s">
        <v>1539</v>
      </c>
      <c r="C43" s="322">
        <f>VLOOKUP($A43,[0]!Data,163,FALSE)</f>
        <v>47282</v>
      </c>
      <c r="D43" s="322">
        <f>VLOOKUP($A43,[0]!Data,164,FALSE)</f>
        <v>5388</v>
      </c>
      <c r="E43" s="322">
        <f>VLOOKUP($A43,[0]!Data,165,FALSE)</f>
        <v>43544</v>
      </c>
      <c r="F43" s="322">
        <f>VLOOKUP($A43,[0]!Data,166,FALSE)</f>
        <v>96214</v>
      </c>
      <c r="G43" s="322">
        <f>VLOOKUP($A43,[0]!Data,168,FALSE)</f>
        <v>106</v>
      </c>
      <c r="H43" s="322">
        <f>VLOOKUP($A43,[0]!Data,176,FALSE)</f>
        <v>77</v>
      </c>
      <c r="I43" s="322">
        <f>VLOOKUP($A43,[0]!Data,171,FALSE)+VLOOKUP($A43,[0]!Data,198,FALSE)</f>
        <v>6471</v>
      </c>
      <c r="J43" s="322">
        <f>VLOOKUP($A43,[0]!Data,172,FALSE)+VLOOKUP($A43,[0]!Data,199,FALSE)</f>
        <v>2761</v>
      </c>
      <c r="K43" s="322">
        <f>VLOOKUP($A43,[0]!Data,197,FALSE)</f>
        <v>50523</v>
      </c>
      <c r="L43" s="324">
        <f>VLOOKUP($A43,[0]!Data,200,FALSE)</f>
        <v>0</v>
      </c>
      <c r="M43"/>
    </row>
    <row r="44" spans="1:13" x14ac:dyDescent="0.25">
      <c r="A44" s="36" t="s">
        <v>1078</v>
      </c>
      <c r="B44" s="36" t="s">
        <v>1540</v>
      </c>
      <c r="C44" s="322">
        <f>VLOOKUP($A44,[0]!Data,163,FALSE)</f>
        <v>234466</v>
      </c>
      <c r="D44" s="322">
        <f>VLOOKUP($A44,[0]!Data,164,FALSE)</f>
        <v>12971</v>
      </c>
      <c r="E44" s="322">
        <f>VLOOKUP($A44,[0]!Data,165,FALSE)</f>
        <v>114315</v>
      </c>
      <c r="F44" s="322">
        <f>VLOOKUP($A44,[0]!Data,166,FALSE)</f>
        <v>361752</v>
      </c>
      <c r="G44" s="322">
        <f>VLOOKUP($A44,[0]!Data,168,FALSE)</f>
        <v>447</v>
      </c>
      <c r="H44" s="322">
        <f>VLOOKUP($A44,[0]!Data,176,FALSE)</f>
        <v>118</v>
      </c>
      <c r="I44" s="322">
        <f>VLOOKUP($A44,[0]!Data,171,FALSE)+VLOOKUP($A44,[0]!Data,198,FALSE)</f>
        <v>33130</v>
      </c>
      <c r="J44" s="322">
        <f>VLOOKUP($A44,[0]!Data,172,FALSE)+VLOOKUP($A44,[0]!Data,199,FALSE)</f>
        <v>27307</v>
      </c>
      <c r="K44" s="322">
        <f>VLOOKUP($A44,[0]!Data,197,FALSE)</f>
        <v>65112</v>
      </c>
      <c r="L44" s="324">
        <f>VLOOKUP($A44,[0]!Data,200,FALSE)</f>
        <v>152</v>
      </c>
      <c r="M44"/>
    </row>
    <row r="45" spans="1:13" x14ac:dyDescent="0.25">
      <c r="A45" s="36" t="s">
        <v>1108</v>
      </c>
      <c r="B45" s="36" t="s">
        <v>1541</v>
      </c>
      <c r="C45" s="322">
        <f>VLOOKUP($A45,[0]!Data,163,FALSE)</f>
        <v>61958</v>
      </c>
      <c r="D45" s="322">
        <f>VLOOKUP($A45,[0]!Data,164,FALSE)</f>
        <v>7530</v>
      </c>
      <c r="E45" s="322">
        <f>VLOOKUP($A45,[0]!Data,165,FALSE)</f>
        <v>40227</v>
      </c>
      <c r="F45" s="322">
        <f>VLOOKUP($A45,[0]!Data,166,FALSE)</f>
        <v>109715</v>
      </c>
      <c r="G45" s="322">
        <f>VLOOKUP($A45,[0]!Data,168,FALSE)</f>
        <v>77</v>
      </c>
      <c r="H45" s="322">
        <f>VLOOKUP($A45,[0]!Data,176,FALSE)</f>
        <v>83</v>
      </c>
      <c r="I45" s="322">
        <f>VLOOKUP($A45,[0]!Data,171,FALSE)+VLOOKUP($A45,[0]!Data,198,FALSE)</f>
        <v>31805</v>
      </c>
      <c r="J45" s="322">
        <f>VLOOKUP($A45,[0]!Data,172,FALSE)+VLOOKUP($A45,[0]!Data,199,FALSE)</f>
        <v>10468</v>
      </c>
      <c r="K45" s="322">
        <f>VLOOKUP($A45,[0]!Data,197,FALSE)</f>
        <v>61801</v>
      </c>
      <c r="L45" s="324">
        <f>VLOOKUP($A45,[0]!Data,200,FALSE)</f>
        <v>164</v>
      </c>
      <c r="M45"/>
    </row>
    <row r="46" spans="1:13" x14ac:dyDescent="0.25">
      <c r="A46" s="36" t="s">
        <v>1117</v>
      </c>
      <c r="B46" s="36" t="s">
        <v>1131</v>
      </c>
      <c r="C46" s="322">
        <f>VLOOKUP($A46,[0]!Data,163,FALSE)</f>
        <v>51813</v>
      </c>
      <c r="D46" s="322">
        <f>VLOOKUP($A46,[0]!Data,164,FALSE)</f>
        <v>5547</v>
      </c>
      <c r="E46" s="322">
        <f>VLOOKUP($A46,[0]!Data,165,FALSE)</f>
        <v>43249</v>
      </c>
      <c r="F46" s="322">
        <f>VLOOKUP($A46,[0]!Data,166,FALSE)</f>
        <v>100609</v>
      </c>
      <c r="G46" s="322">
        <f>VLOOKUP($A46,[0]!Data,168,FALSE)</f>
        <v>203</v>
      </c>
      <c r="H46" s="322">
        <f>VLOOKUP($A46,[0]!Data,176,FALSE)</f>
        <v>83</v>
      </c>
      <c r="I46" s="322">
        <f>VLOOKUP($A46,[0]!Data,171,FALSE)+VLOOKUP($A46,[0]!Data,198,FALSE)</f>
        <v>8077</v>
      </c>
      <c r="J46" s="322">
        <f>VLOOKUP($A46,[0]!Data,172,FALSE)+VLOOKUP($A46,[0]!Data,199,FALSE)</f>
        <v>7427</v>
      </c>
      <c r="K46" s="322">
        <f>VLOOKUP($A46,[0]!Data,197,FALSE)</f>
        <v>28611</v>
      </c>
      <c r="L46" s="324">
        <f>VLOOKUP($A46,[0]!Data,200,FALSE)</f>
        <v>0</v>
      </c>
      <c r="M46"/>
    </row>
    <row r="47" spans="1:13" x14ac:dyDescent="0.25">
      <c r="A47" s="36" t="s">
        <v>1133</v>
      </c>
      <c r="B47" s="36" t="s">
        <v>1542</v>
      </c>
      <c r="C47" s="322">
        <f>VLOOKUP($A47,[0]!Data,163,FALSE)</f>
        <v>70715</v>
      </c>
      <c r="D47" s="322">
        <f>VLOOKUP($A47,[0]!Data,164,FALSE)</f>
        <v>3355</v>
      </c>
      <c r="E47" s="322">
        <f>VLOOKUP($A47,[0]!Data,165,FALSE)</f>
        <v>38609</v>
      </c>
      <c r="F47" s="322">
        <f>VLOOKUP($A47,[0]!Data,166,FALSE)</f>
        <v>112679</v>
      </c>
      <c r="G47" s="322">
        <f>VLOOKUP($A47,[0]!Data,168,FALSE)</f>
        <v>123</v>
      </c>
      <c r="H47" s="322">
        <f>VLOOKUP($A47,[0]!Data,176,FALSE)</f>
        <v>77</v>
      </c>
      <c r="I47" s="322">
        <f>VLOOKUP($A47,[0]!Data,171,FALSE)+VLOOKUP($A47,[0]!Data,198,FALSE)</f>
        <v>6208</v>
      </c>
      <c r="J47" s="322">
        <f>VLOOKUP($A47,[0]!Data,172,FALSE)+VLOOKUP($A47,[0]!Data,199,FALSE)</f>
        <v>2765</v>
      </c>
      <c r="K47" s="322">
        <f>VLOOKUP($A47,[0]!Data,197,FALSE)</f>
        <v>50534</v>
      </c>
      <c r="L47" s="324">
        <f>VLOOKUP($A47,[0]!Data,200,FALSE)</f>
        <v>42</v>
      </c>
      <c r="M47"/>
    </row>
    <row r="48" spans="1:13" x14ac:dyDescent="0.25">
      <c r="A48" s="36" t="s">
        <v>1159</v>
      </c>
      <c r="B48" s="36" t="s">
        <v>1543</v>
      </c>
      <c r="C48" s="322">
        <f>VLOOKUP($A48,[0]!Data,163,FALSE)</f>
        <v>36015</v>
      </c>
      <c r="D48" s="322">
        <f>VLOOKUP($A48,[0]!Data,164,FALSE)</f>
        <v>2994</v>
      </c>
      <c r="E48" s="322">
        <f>VLOOKUP($A48,[0]!Data,165,FALSE)</f>
        <v>26023</v>
      </c>
      <c r="F48" s="322">
        <f>VLOOKUP($A48,[0]!Data,166,FALSE)</f>
        <v>65032</v>
      </c>
      <c r="G48" s="322">
        <f>VLOOKUP($A48,[0]!Data,168,FALSE)</f>
        <v>103</v>
      </c>
      <c r="H48" s="322">
        <f>VLOOKUP($A48,[0]!Data,176,FALSE)</f>
        <v>82</v>
      </c>
      <c r="I48" s="322">
        <f>VLOOKUP($A48,[0]!Data,171,FALSE)+VLOOKUP($A48,[0]!Data,198,FALSE)</f>
        <v>10033</v>
      </c>
      <c r="J48" s="322">
        <f>VLOOKUP($A48,[0]!Data,172,FALSE)+VLOOKUP($A48,[0]!Data,199,FALSE)</f>
        <v>1898</v>
      </c>
      <c r="K48" s="322">
        <f>VLOOKUP($A48,[0]!Data,197,FALSE)</f>
        <v>50605</v>
      </c>
      <c r="L48" s="324">
        <f>VLOOKUP($A48,[0]!Data,200,FALSE)</f>
        <v>50</v>
      </c>
      <c r="M48"/>
    </row>
    <row r="49" spans="1:14" x14ac:dyDescent="0.25">
      <c r="A49" s="36" t="s">
        <v>1335</v>
      </c>
      <c r="B49" s="36" t="s">
        <v>1544</v>
      </c>
      <c r="C49" s="322">
        <f>VLOOKUP($A49,[0]!Data,163,FALSE)</f>
        <v>125589</v>
      </c>
      <c r="D49" s="322">
        <f>VLOOKUP($A49,[0]!Data,164,FALSE)</f>
        <v>10344</v>
      </c>
      <c r="E49" s="322">
        <f>VLOOKUP($A49,[0]!Data,165,FALSE)</f>
        <v>67545</v>
      </c>
      <c r="F49" s="322">
        <f>VLOOKUP($A49,[0]!Data,166,FALSE)</f>
        <v>203478</v>
      </c>
      <c r="G49" s="322">
        <f>VLOOKUP($A49,[0]!Data,168,FALSE)</f>
        <v>301</v>
      </c>
      <c r="H49" s="322">
        <f>VLOOKUP($A49,[0]!Data,176,FALSE)</f>
        <v>87</v>
      </c>
      <c r="I49" s="322">
        <f>VLOOKUP($A49,[0]!Data,171,FALSE)+VLOOKUP($A49,[0]!Data,198,FALSE)</f>
        <v>11192</v>
      </c>
      <c r="J49" s="322">
        <f>VLOOKUP($A49,[0]!Data,172,FALSE)+VLOOKUP($A49,[0]!Data,199,FALSE)</f>
        <v>11337</v>
      </c>
      <c r="K49" s="322">
        <f>VLOOKUP($A49,[0]!Data,197,FALSE)</f>
        <v>29140</v>
      </c>
      <c r="L49" s="324">
        <f>VLOOKUP($A49,[0]!Data,200,FALSE)</f>
        <v>60</v>
      </c>
      <c r="M49"/>
    </row>
    <row r="50" spans="1:14" x14ac:dyDescent="0.25">
      <c r="A50" s="36" t="s">
        <v>1187</v>
      </c>
      <c r="B50" s="36" t="s">
        <v>1545</v>
      </c>
      <c r="C50" s="322">
        <f>VLOOKUP($A50,[0]!Data,163,FALSE)</f>
        <v>29735</v>
      </c>
      <c r="D50" s="322">
        <f>VLOOKUP($A50,[0]!Data,164,FALSE)</f>
        <v>2392</v>
      </c>
      <c r="E50" s="322">
        <f>VLOOKUP($A50,[0]!Data,165,FALSE)</f>
        <v>11331</v>
      </c>
      <c r="F50" s="322">
        <f>VLOOKUP($A50,[0]!Data,166,FALSE)</f>
        <v>43458</v>
      </c>
      <c r="G50" s="322">
        <f>VLOOKUP($A50,[0]!Data,168,FALSE)</f>
        <v>139</v>
      </c>
      <c r="H50" s="322">
        <f>VLOOKUP($A50,[0]!Data,176,FALSE)</f>
        <v>75</v>
      </c>
      <c r="I50" s="322">
        <f>VLOOKUP($A50,[0]!Data,171,FALSE)+VLOOKUP($A50,[0]!Data,198,FALSE)</f>
        <v>18948</v>
      </c>
      <c r="J50" s="322">
        <f>VLOOKUP($A50,[0]!Data,172,FALSE)+VLOOKUP($A50,[0]!Data,199,FALSE)</f>
        <v>7090</v>
      </c>
      <c r="K50" s="322">
        <f>VLOOKUP($A50,[0]!Data,197,FALSE)</f>
        <v>61023</v>
      </c>
      <c r="L50" s="324">
        <f>VLOOKUP($A50,[0]!Data,200,FALSE)</f>
        <v>87</v>
      </c>
      <c r="M50"/>
    </row>
    <row r="51" spans="1:14" x14ac:dyDescent="0.25">
      <c r="A51" s="36" t="s">
        <v>1210</v>
      </c>
      <c r="B51" s="36" t="s">
        <v>1546</v>
      </c>
      <c r="C51" s="322">
        <f>VLOOKUP($A51,[0]!Data,163,FALSE)</f>
        <v>151397</v>
      </c>
      <c r="D51" s="322">
        <f>VLOOKUP($A51,[0]!Data,164,FALSE)</f>
        <v>14799</v>
      </c>
      <c r="E51" s="322">
        <f>VLOOKUP($A51,[0]!Data,165,FALSE)</f>
        <v>83712</v>
      </c>
      <c r="F51" s="322">
        <f>VLOOKUP($A51,[0]!Data,166,FALSE)</f>
        <v>249908</v>
      </c>
      <c r="G51" s="322">
        <f>VLOOKUP($A51,[0]!Data,168,FALSE)</f>
        <v>295</v>
      </c>
      <c r="H51" s="322">
        <f>VLOOKUP($A51,[0]!Data,176,FALSE)</f>
        <v>80</v>
      </c>
      <c r="I51" s="322">
        <f>VLOOKUP($A51,[0]!Data,171,FALSE)+VLOOKUP($A51,[0]!Data,198,FALSE)</f>
        <v>17421</v>
      </c>
      <c r="J51" s="322">
        <f>VLOOKUP($A51,[0]!Data,172,FALSE)+VLOOKUP($A51,[0]!Data,199,FALSE)</f>
        <v>21766</v>
      </c>
      <c r="K51" s="322">
        <f>VLOOKUP($A51,[0]!Data,197,FALSE)</f>
        <v>30767</v>
      </c>
      <c r="L51" s="324">
        <f>VLOOKUP($A51,[0]!Data,200,FALSE)</f>
        <v>61</v>
      </c>
      <c r="M51"/>
    </row>
    <row r="52" spans="1:14" x14ac:dyDescent="0.25">
      <c r="A52" s="36" t="s">
        <v>1236</v>
      </c>
      <c r="B52" s="36" t="s">
        <v>1547</v>
      </c>
      <c r="C52" s="322">
        <f>VLOOKUP($A52,[0]!Data,163,FALSE)</f>
        <v>87924</v>
      </c>
      <c r="D52" s="322">
        <f>VLOOKUP($A52,[0]!Data,164,FALSE)</f>
        <v>4907</v>
      </c>
      <c r="E52" s="322">
        <f>VLOOKUP($A52,[0]!Data,165,FALSE)</f>
        <v>33881</v>
      </c>
      <c r="F52" s="322">
        <f>VLOOKUP($A52,[0]!Data,166,FALSE)</f>
        <v>126712</v>
      </c>
      <c r="G52" s="322">
        <f>VLOOKUP($A52,[0]!Data,168,FALSE)</f>
        <v>58</v>
      </c>
      <c r="H52" s="322">
        <f>VLOOKUP($A52,[0]!Data,176,FALSE)</f>
        <v>75</v>
      </c>
      <c r="I52" s="322">
        <f>VLOOKUP($A52,[0]!Data,171,FALSE)+VLOOKUP($A52,[0]!Data,198,FALSE)</f>
        <v>2527</v>
      </c>
      <c r="J52" s="322">
        <f>VLOOKUP($A52,[0]!Data,172,FALSE)+VLOOKUP($A52,[0]!Data,199,FALSE)</f>
        <v>4828</v>
      </c>
      <c r="K52" s="322">
        <f>VLOOKUP($A52,[0]!Data,197,FALSE)</f>
        <v>26725</v>
      </c>
      <c r="L52" s="324">
        <f>VLOOKUP($A52,[0]!Data,200,FALSE)</f>
        <v>0</v>
      </c>
      <c r="M52"/>
    </row>
    <row r="53" spans="1:14" x14ac:dyDescent="0.25">
      <c r="A53" s="36" t="s">
        <v>1249</v>
      </c>
      <c r="B53" s="36" t="s">
        <v>1548</v>
      </c>
      <c r="C53" s="322">
        <f>VLOOKUP($A53,[0]!Data,163,FALSE)</f>
        <v>173103</v>
      </c>
      <c r="D53" s="322">
        <f>VLOOKUP($A53,[0]!Data,164,FALSE)</f>
        <v>8648</v>
      </c>
      <c r="E53" s="322">
        <f>VLOOKUP($A53,[0]!Data,165,FALSE)</f>
        <v>68532</v>
      </c>
      <c r="F53" s="322">
        <f>VLOOKUP($A53,[0]!Data,166,FALSE)</f>
        <v>250283</v>
      </c>
      <c r="G53" s="322">
        <f>VLOOKUP($A53,[0]!Data,168,FALSE)</f>
        <v>199</v>
      </c>
      <c r="H53" s="322">
        <f>VLOOKUP($A53,[0]!Data,176,FALSE)</f>
        <v>77</v>
      </c>
      <c r="I53" s="322">
        <f>VLOOKUP($A53,[0]!Data,171,FALSE)+VLOOKUP($A53,[0]!Data,198,FALSE)</f>
        <v>10092</v>
      </c>
      <c r="J53" s="322">
        <f>VLOOKUP($A53,[0]!Data,172,FALSE)+VLOOKUP($A53,[0]!Data,199,FALSE)</f>
        <v>12070</v>
      </c>
      <c r="K53" s="322">
        <f>VLOOKUP($A53,[0]!Data,197,FALSE)</f>
        <v>27430</v>
      </c>
      <c r="L53" s="324">
        <f>VLOOKUP($A53,[0]!Data,200,FALSE)</f>
        <v>35</v>
      </c>
      <c r="M53"/>
    </row>
    <row r="54" spans="1:14" x14ac:dyDescent="0.25">
      <c r="A54" s="36" t="s">
        <v>1265</v>
      </c>
      <c r="B54" s="36" t="s">
        <v>1549</v>
      </c>
      <c r="C54" s="322">
        <f>VLOOKUP($A54,[0]!Data,163,FALSE)</f>
        <v>128760</v>
      </c>
      <c r="D54" s="322">
        <f>VLOOKUP($A54,[0]!Data,164,FALSE)</f>
        <v>13670</v>
      </c>
      <c r="E54" s="322">
        <f>VLOOKUP($A54,[0]!Data,165,FALSE)</f>
        <v>76895</v>
      </c>
      <c r="F54" s="322">
        <f>VLOOKUP($A54,[0]!Data,166,FALSE)</f>
        <v>219325</v>
      </c>
      <c r="G54" s="322">
        <f>VLOOKUP($A54,[0]!Data,168,FALSE)</f>
        <v>207</v>
      </c>
      <c r="H54" s="322">
        <f>VLOOKUP($A54,[0]!Data,176,FALSE)</f>
        <v>81</v>
      </c>
      <c r="I54" s="322">
        <f>VLOOKUP($A54,[0]!Data,171,FALSE)+VLOOKUP($A54,[0]!Data,198,FALSE)</f>
        <v>21580</v>
      </c>
      <c r="J54" s="322">
        <f>VLOOKUP($A54,[0]!Data,172,FALSE)+VLOOKUP($A54,[0]!Data,199,FALSE)</f>
        <v>18583</v>
      </c>
      <c r="K54" s="322">
        <f>VLOOKUP($A54,[0]!Data,197,FALSE)</f>
        <v>61211</v>
      </c>
      <c r="L54" s="324">
        <f>VLOOKUP($A54,[0]!Data,200,FALSE)</f>
        <v>87</v>
      </c>
      <c r="M54"/>
    </row>
    <row r="55" spans="1:14" x14ac:dyDescent="0.25">
      <c r="A55" s="36" t="s">
        <v>1280</v>
      </c>
      <c r="B55" s="36" t="s">
        <v>1550</v>
      </c>
      <c r="C55" s="322">
        <f>VLOOKUP($A55,[0]!Data,163,FALSE)</f>
        <v>54016</v>
      </c>
      <c r="D55" s="322">
        <f>VLOOKUP($A55,[0]!Data,164,FALSE)</f>
        <v>2400</v>
      </c>
      <c r="E55" s="322">
        <f>VLOOKUP($A55,[0]!Data,165,FALSE)</f>
        <v>25183</v>
      </c>
      <c r="F55" s="322">
        <f>VLOOKUP($A55,[0]!Data,166,FALSE)</f>
        <v>81599</v>
      </c>
      <c r="G55" s="322">
        <f>VLOOKUP($A55,[0]!Data,168,FALSE)</f>
        <v>55</v>
      </c>
      <c r="H55" s="322">
        <f>VLOOKUP($A55,[0]!Data,176,FALSE)</f>
        <v>75</v>
      </c>
      <c r="I55" s="322">
        <f>VLOOKUP($A55,[0]!Data,171,FALSE)+VLOOKUP($A55,[0]!Data,198,FALSE)</f>
        <v>20396</v>
      </c>
      <c r="J55" s="322">
        <f>VLOOKUP($A55,[0]!Data,172,FALSE)+VLOOKUP($A55,[0]!Data,199,FALSE)</f>
        <v>10830</v>
      </c>
      <c r="K55" s="322">
        <f>VLOOKUP($A55,[0]!Data,197,FALSE)</f>
        <v>61023</v>
      </c>
      <c r="L55" s="324">
        <f>VLOOKUP($A55,[0]!Data,200,FALSE)</f>
        <v>86</v>
      </c>
      <c r="M55"/>
      <c r="N55" s="495"/>
    </row>
    <row r="56" spans="1:14" x14ac:dyDescent="0.25">
      <c r="A56" s="36" t="s">
        <v>1292</v>
      </c>
      <c r="B56" s="36" t="s">
        <v>1551</v>
      </c>
      <c r="C56" s="322">
        <f>VLOOKUP($A56,[0]!Data,163,FALSE)</f>
        <v>46694</v>
      </c>
      <c r="D56" s="322">
        <f>VLOOKUP($A56,[0]!Data,164,FALSE)</f>
        <v>2835</v>
      </c>
      <c r="E56" s="322">
        <f>VLOOKUP($A56,[0]!Data,165,FALSE)</f>
        <v>30175</v>
      </c>
      <c r="F56" s="322">
        <f>VLOOKUP($A56,[0]!Data,166,FALSE)</f>
        <v>79704</v>
      </c>
      <c r="G56" s="322">
        <f>VLOOKUP($A56,[0]!Data,168,FALSE)</f>
        <v>98</v>
      </c>
      <c r="H56" s="322">
        <f>VLOOKUP($A56,[0]!Data,176,FALSE)</f>
        <v>78</v>
      </c>
      <c r="I56" s="322">
        <f>VLOOKUP($A56,[0]!Data,171,FALSE)+VLOOKUP($A56,[0]!Data,198,FALSE)</f>
        <v>3971</v>
      </c>
      <c r="J56" s="322">
        <f>VLOOKUP($A56,[0]!Data,172,FALSE)+VLOOKUP($A56,[0]!Data,199,FALSE)</f>
        <v>4073</v>
      </c>
      <c r="K56" s="322">
        <f>VLOOKUP($A56,[0]!Data,197,FALSE)</f>
        <v>50529</v>
      </c>
      <c r="L56" s="324">
        <f>VLOOKUP($A56,[0]!Data,200,FALSE)</f>
        <v>0</v>
      </c>
      <c r="M56"/>
    </row>
    <row r="57" spans="1:14" x14ac:dyDescent="0.25">
      <c r="A57" s="36" t="s">
        <v>1323</v>
      </c>
      <c r="B57" s="36" t="s">
        <v>1552</v>
      </c>
      <c r="C57" s="322">
        <f>VLOOKUP($A57,[0]!Data,163,FALSE)</f>
        <v>26335</v>
      </c>
      <c r="D57" s="322">
        <f>VLOOKUP($A57,[0]!Data,164,FALSE)</f>
        <v>2598</v>
      </c>
      <c r="E57" s="322">
        <f>VLOOKUP($A57,[0]!Data,165,FALSE)</f>
        <v>14031</v>
      </c>
      <c r="F57" s="322">
        <f>VLOOKUP($A57,[0]!Data,166,FALSE)</f>
        <v>42964</v>
      </c>
      <c r="G57" s="322">
        <f>VLOOKUP($A57,[0]!Data,168,FALSE)</f>
        <v>50</v>
      </c>
      <c r="H57" s="322">
        <f>VLOOKUP($A57,[0]!Data,176,FALSE)</f>
        <v>77</v>
      </c>
      <c r="I57" s="322">
        <f>VLOOKUP($A57,[0]!Data,171,FALSE)+VLOOKUP($A57,[0]!Data,198,FALSE)</f>
        <v>5243</v>
      </c>
      <c r="J57" s="322">
        <f>VLOOKUP($A57,[0]!Data,172,FALSE)+VLOOKUP($A57,[0]!Data,199,FALSE)</f>
        <v>2764</v>
      </c>
      <c r="K57" s="322">
        <f>VLOOKUP($A57,[0]!Data,197,FALSE)</f>
        <v>50523</v>
      </c>
      <c r="L57" s="324">
        <f>VLOOKUP($A57,[0]!Data,200,FALSE)</f>
        <v>0</v>
      </c>
      <c r="M57"/>
    </row>
    <row r="58" spans="1:14" x14ac:dyDescent="0.25">
      <c r="A58" s="36" t="s">
        <v>1360</v>
      </c>
      <c r="B58" s="36" t="s">
        <v>1553</v>
      </c>
      <c r="C58" s="322">
        <f>VLOOKUP($A58,[0]!Data,163,FALSE)</f>
        <v>64984</v>
      </c>
      <c r="D58" s="322">
        <f>VLOOKUP($A58,[0]!Data,164,FALSE)</f>
        <v>3163</v>
      </c>
      <c r="E58" s="322">
        <f>VLOOKUP($A58,[0]!Data,165,FALSE)</f>
        <v>31246</v>
      </c>
      <c r="F58" s="322">
        <f>VLOOKUP($A58,[0]!Data,166,FALSE)</f>
        <v>99393</v>
      </c>
      <c r="G58" s="322">
        <f>VLOOKUP($A58,[0]!Data,168,FALSE)</f>
        <v>250</v>
      </c>
      <c r="H58" s="322">
        <f>VLOOKUP($A58,[0]!Data,176,FALSE)</f>
        <v>75</v>
      </c>
      <c r="I58" s="322">
        <f>VLOOKUP($A58,[0]!Data,171,FALSE)+VLOOKUP($A58,[0]!Data,198,FALSE)</f>
        <v>6025</v>
      </c>
      <c r="J58" s="322">
        <f>VLOOKUP($A58,[0]!Data,172,FALSE)+VLOOKUP($A58,[0]!Data,199,FALSE)</f>
        <v>6004</v>
      </c>
      <c r="K58" s="322">
        <f>VLOOKUP($A58,[0]!Data,197,FALSE)</f>
        <v>50523</v>
      </c>
      <c r="L58" s="324">
        <f>VLOOKUP($A58,[0]!Data,200,FALSE)</f>
        <v>0</v>
      </c>
      <c r="M58"/>
    </row>
    <row r="59" spans="1:14" x14ac:dyDescent="0.25">
      <c r="A59" s="36" t="s">
        <v>1371</v>
      </c>
      <c r="B59" s="36" t="s">
        <v>1554</v>
      </c>
      <c r="C59" s="322">
        <f>VLOOKUP($A59,[0]!Data,163,FALSE)</f>
        <v>76946</v>
      </c>
      <c r="D59" s="322">
        <f>VLOOKUP($A59,[0]!Data,164,FALSE)</f>
        <v>7235</v>
      </c>
      <c r="E59" s="322">
        <f>VLOOKUP($A59,[0]!Data,165,FALSE)</f>
        <v>36571</v>
      </c>
      <c r="F59" s="322">
        <f>VLOOKUP($A59,[0]!Data,166,FALSE)</f>
        <v>120752</v>
      </c>
      <c r="G59" s="322">
        <f>VLOOKUP($A59,[0]!Data,168,FALSE)</f>
        <v>129</v>
      </c>
      <c r="H59" s="322">
        <f>VLOOKUP($A59,[0]!Data,176,FALSE)</f>
        <v>83</v>
      </c>
      <c r="I59" s="322">
        <f>VLOOKUP($A59,[0]!Data,171,FALSE)+VLOOKUP($A59,[0]!Data,198,FALSE)</f>
        <v>22811</v>
      </c>
      <c r="J59" s="322">
        <f>VLOOKUP($A59,[0]!Data,172,FALSE)+VLOOKUP($A59,[0]!Data,199,FALSE)</f>
        <v>8503</v>
      </c>
      <c r="K59" s="322">
        <f>VLOOKUP($A59,[0]!Data,197,FALSE)</f>
        <v>63551</v>
      </c>
      <c r="L59" s="324">
        <f>VLOOKUP($A59,[0]!Data,200,FALSE)</f>
        <v>133</v>
      </c>
      <c r="M59"/>
    </row>
    <row r="60" spans="1:14" x14ac:dyDescent="0.25">
      <c r="A60" s="36" t="s">
        <v>1383</v>
      </c>
      <c r="B60" s="36" t="s">
        <v>1555</v>
      </c>
      <c r="C60" s="322">
        <f>VLOOKUP($A60,[0]!Data,163,FALSE)</f>
        <v>99582</v>
      </c>
      <c r="D60" s="322">
        <f>VLOOKUP($A60,[0]!Data,164,FALSE)</f>
        <v>11550</v>
      </c>
      <c r="E60" s="322">
        <f>VLOOKUP($A60,[0]!Data,165,FALSE)</f>
        <v>70525</v>
      </c>
      <c r="F60" s="322">
        <f>VLOOKUP($A60,[0]!Data,166,FALSE)</f>
        <v>181657</v>
      </c>
      <c r="G60" s="322">
        <f>VLOOKUP($A60,[0]!Data,168,FALSE)</f>
        <v>229</v>
      </c>
      <c r="H60" s="322">
        <f>VLOOKUP($A60,[0]!Data,176,FALSE)</f>
        <v>92</v>
      </c>
      <c r="I60" s="322">
        <f>VLOOKUP($A60,[0]!Data,171,FALSE)+VLOOKUP($A60,[0]!Data,198,FALSE)</f>
        <v>11345</v>
      </c>
      <c r="J60" s="322">
        <f>VLOOKUP($A60,[0]!Data,172,FALSE)+VLOOKUP($A60,[0]!Data,199,FALSE)</f>
        <v>12676</v>
      </c>
      <c r="K60" s="322">
        <f>VLOOKUP($A60,[0]!Data,197,FALSE)</f>
        <v>32173</v>
      </c>
      <c r="L60" s="324">
        <f>VLOOKUP($A60,[0]!Data,200,FALSE)</f>
        <v>35</v>
      </c>
      <c r="M60"/>
    </row>
    <row r="61" spans="1:14" x14ac:dyDescent="0.25">
      <c r="A61" s="36" t="s">
        <v>1146</v>
      </c>
      <c r="B61" s="36" t="s">
        <v>1556</v>
      </c>
      <c r="C61" s="322">
        <f>VLOOKUP($A61,[0]!Data,163,FALSE)</f>
        <v>63758</v>
      </c>
      <c r="D61" s="322">
        <f>VLOOKUP($A61,[0]!Data,164,FALSE)</f>
        <v>4124</v>
      </c>
      <c r="E61" s="322">
        <f>VLOOKUP($A61,[0]!Data,165,FALSE)</f>
        <v>32352</v>
      </c>
      <c r="F61" s="322">
        <f>VLOOKUP($A61,[0]!Data,166,FALSE)</f>
        <v>100234</v>
      </c>
      <c r="G61" s="322">
        <f>VLOOKUP($A61,[0]!Data,168,FALSE)</f>
        <v>99</v>
      </c>
      <c r="H61" s="322">
        <f>VLOOKUP($A61,[0]!Data,176,FALSE)</f>
        <v>81</v>
      </c>
      <c r="I61" s="322">
        <f>VLOOKUP($A61,[0]!Data,171,FALSE)+VLOOKUP($A61,[0]!Data,198,FALSE)</f>
        <v>5804</v>
      </c>
      <c r="J61" s="322">
        <f>VLOOKUP($A61,[0]!Data,172,FALSE)+VLOOKUP($A61,[0]!Data,199,FALSE)</f>
        <v>1640</v>
      </c>
      <c r="K61" s="322">
        <f>VLOOKUP($A61,[0]!Data,197,FALSE)</f>
        <v>50570</v>
      </c>
      <c r="L61" s="324">
        <f>VLOOKUP($A61,[0]!Data,200,FALSE)</f>
        <v>24</v>
      </c>
      <c r="M61"/>
    </row>
    <row r="62" spans="1:14" x14ac:dyDescent="0.25">
      <c r="A62" s="36" t="s">
        <v>1394</v>
      </c>
      <c r="B62" s="36" t="s">
        <v>1557</v>
      </c>
      <c r="C62" s="322">
        <f>VLOOKUP($A62,All!A$3:RC$87,163,FALSE)</f>
        <v>648842</v>
      </c>
      <c r="D62" s="322">
        <f>VLOOKUP($A62,All!A$3:RC$87,164,FALSE)</f>
        <v>69182</v>
      </c>
      <c r="E62" s="322">
        <f>VLOOKUP($A62,All!A$3:RC$87,165,FALSE)</f>
        <v>604198</v>
      </c>
      <c r="F62" s="322">
        <f>VLOOKUP($A62,All!A$3:RC$87,166,FALSE)</f>
        <v>1322222</v>
      </c>
      <c r="G62" s="322">
        <f>VLOOKUP($A62,All!A$3:RC$87,168,FALSE)</f>
        <v>1207</v>
      </c>
      <c r="H62" s="322">
        <f>VLOOKUP($A62,All!A$3:RC$87,176,FALSE)</f>
        <v>81</v>
      </c>
      <c r="I62" s="322">
        <f>VLOOKUP($A62,All!A$3:RC$87,171,FALSE)+VLOOKUP($A62,All!A$3:RC$87,198,FALSE)</f>
        <v>43938</v>
      </c>
      <c r="J62" s="322">
        <f>VLOOKUP($A62,All!A$3:RC$87,172,FALSE)+VLOOKUP($A62,All!A$3:RC$87,199,FALSE)</f>
        <v>0</v>
      </c>
      <c r="K62" s="322">
        <f>VLOOKUP($A62,All!A$3:RC$87,197,FALSE)</f>
        <v>60798</v>
      </c>
      <c r="L62" s="324">
        <f>VLOOKUP($A62,All!A$3:RC$87,200,FALSE)</f>
        <v>0</v>
      </c>
      <c r="M62"/>
    </row>
    <row r="63" spans="1:14" x14ac:dyDescent="0.25">
      <c r="A63" s="36" t="s">
        <v>1408</v>
      </c>
      <c r="B63" s="36" t="s">
        <v>1558</v>
      </c>
      <c r="C63" s="322">
        <f>VLOOKUP($A63,All!A$3:RC$87,163,FALSE)</f>
        <v>22468</v>
      </c>
      <c r="D63" s="322">
        <f>VLOOKUP($A63,All!A$3:RC$87,164,FALSE)</f>
        <v>0</v>
      </c>
      <c r="E63" s="322">
        <f>VLOOKUP($A63,All!A$3:RC$87,165,FALSE)</f>
        <v>-2</v>
      </c>
      <c r="F63" s="322">
        <f>VLOOKUP($A63,All!A$3:RC$87,166,FALSE)</f>
        <v>22466</v>
      </c>
      <c r="G63" s="322">
        <f>VLOOKUP($A63,All!A$3:RC$87,168,FALSE)</f>
        <v>132</v>
      </c>
      <c r="H63" s="322">
        <f>VLOOKUP($A63,All!A$3:RC$87,176,FALSE)</f>
        <v>74</v>
      </c>
      <c r="I63" s="322">
        <f>VLOOKUP($A63,All!A$3:RC$87,171,FALSE)+VLOOKUP($A63,All!A$3:RC$87,198,FALSE)</f>
        <v>3382</v>
      </c>
      <c r="J63" s="322">
        <f>VLOOKUP($A63,All!A$3:RC$87,172,FALSE)+VLOOKUP($A63,All!A$3:RC$87,199,FALSE)</f>
        <v>2922</v>
      </c>
      <c r="K63" s="322">
        <f>VLOOKUP($A63,All!A$3:RC$87,197,FALSE)</f>
        <v>26725</v>
      </c>
      <c r="L63" s="324">
        <f>VLOOKUP($A63,All!A$3:RC$87,200,FALSE)</f>
        <v>0</v>
      </c>
      <c r="M63"/>
    </row>
    <row r="64" spans="1:14" x14ac:dyDescent="0.25">
      <c r="A64" s="36" t="s">
        <v>1420</v>
      </c>
      <c r="B64" s="36" t="s">
        <v>1559</v>
      </c>
      <c r="C64" s="322">
        <f>VLOOKUP($A64,All!A$3:RC$87,163,FALSE)</f>
        <v>78997</v>
      </c>
      <c r="D64" s="322">
        <f>VLOOKUP($A64,All!A$3:RC$87,164,FALSE)</f>
        <v>7103</v>
      </c>
      <c r="E64" s="322">
        <f>VLOOKUP($A64,All!A$3:RC$87,165,FALSE)</f>
        <v>51362</v>
      </c>
      <c r="F64" s="322">
        <f>VLOOKUP($A64,All!A$3:RC$87,166,FALSE)</f>
        <v>137462</v>
      </c>
      <c r="G64" s="322">
        <f>VLOOKUP($A64,All!A$3:RC$87,168,FALSE)</f>
        <v>288</v>
      </c>
      <c r="H64" s="322">
        <f>VLOOKUP($A64,All!A$3:RC$87,176,FALSE)</f>
        <v>86</v>
      </c>
      <c r="I64" s="322">
        <f>VLOOKUP($A64,All!A$3:RC$87,171,FALSE)+VLOOKUP($A64,All!A$3:RC$87,198,FALSE)</f>
        <v>8114</v>
      </c>
      <c r="J64" s="322">
        <f>VLOOKUP($A64,All!A$3:RC$87,172,FALSE)+VLOOKUP($A64,All!A$3:RC$87,199,FALSE)</f>
        <v>5755</v>
      </c>
      <c r="K64" s="322">
        <f>VLOOKUP($A64,All!A$3:RC$87,197,FALSE)</f>
        <v>50570</v>
      </c>
      <c r="L64" s="324">
        <f>VLOOKUP($A64,All!A$3:RC$87,200,FALSE)</f>
        <v>40</v>
      </c>
      <c r="M64"/>
    </row>
    <row r="65" spans="1:13" x14ac:dyDescent="0.25">
      <c r="A65" s="36" t="s">
        <v>1432</v>
      </c>
      <c r="B65" s="36" t="s">
        <v>1560</v>
      </c>
      <c r="C65" s="322">
        <f>VLOOKUP($A65,All!A$3:RC$87,163,FALSE)</f>
        <v>115489</v>
      </c>
      <c r="D65" s="322">
        <f>VLOOKUP($A65,All!A$3:RC$87,164,FALSE)</f>
        <v>9608</v>
      </c>
      <c r="E65" s="322">
        <f>VLOOKUP($A65,All!A$3:RC$87,165,FALSE)</f>
        <v>72062</v>
      </c>
      <c r="F65" s="322">
        <f>VLOOKUP($A65,All!A$3:RC$87,166,FALSE)</f>
        <v>197159</v>
      </c>
      <c r="G65" s="322">
        <f>VLOOKUP($A65,All!A$3:RC$87,168,FALSE)</f>
        <v>155</v>
      </c>
      <c r="H65" s="322">
        <f>VLOOKUP($A65,All!A$3:RC$87,176,FALSE)</f>
        <v>76</v>
      </c>
      <c r="I65" s="322">
        <f>VLOOKUP($A65,All!A$3:RC$87,171,FALSE)+VLOOKUP($A65,All!A$3:RC$87,198,FALSE)</f>
        <v>4637</v>
      </c>
      <c r="J65" s="322">
        <f>VLOOKUP($A65,All!A$3:RC$87,172,FALSE)+VLOOKUP($A65,All!A$3:RC$87,199,FALSE)</f>
        <v>5099</v>
      </c>
      <c r="K65" s="322">
        <f>VLOOKUP($A65,All!A$3:RC$87,197,FALSE)</f>
        <v>27651</v>
      </c>
      <c r="L65" s="324">
        <f>VLOOKUP($A65,All!A$3:RC$87,200,FALSE)</f>
        <v>0</v>
      </c>
      <c r="M65"/>
    </row>
    <row r="66" spans="1:13" ht="15.75" thickBot="1" x14ac:dyDescent="0.3">
      <c r="A66" s="624" t="s">
        <v>1471</v>
      </c>
      <c r="B66" s="626"/>
      <c r="C66" s="568">
        <f t="shared" ref="C66:L66" si="0">AVERAGE(C8:C65)</f>
        <v>122894.29310344828</v>
      </c>
      <c r="D66" s="568">
        <f t="shared" si="0"/>
        <v>10776.931034482759</v>
      </c>
      <c r="E66" s="568">
        <f t="shared" si="0"/>
        <v>75433.275862068971</v>
      </c>
      <c r="F66" s="568">
        <f t="shared" si="0"/>
        <v>209104.5</v>
      </c>
      <c r="G66" s="568">
        <f t="shared" si="0"/>
        <v>283.9655172413793</v>
      </c>
      <c r="H66" s="568">
        <f t="shared" si="0"/>
        <v>80.879310344827587</v>
      </c>
      <c r="I66" s="568">
        <f t="shared" si="0"/>
        <v>17808.137931034482</v>
      </c>
      <c r="J66" s="568">
        <f t="shared" si="0"/>
        <v>11024.051724137931</v>
      </c>
      <c r="K66" s="568">
        <f t="shared" si="0"/>
        <v>48818.827586206899</v>
      </c>
      <c r="L66" s="568">
        <f t="shared" si="0"/>
        <v>75.431034482758619</v>
      </c>
      <c r="M66"/>
    </row>
    <row r="67" spans="1:13" ht="16.5" thickTop="1" thickBot="1" x14ac:dyDescent="0.3">
      <c r="A67" s="602" t="s">
        <v>1455</v>
      </c>
      <c r="B67" s="602"/>
      <c r="C67" s="154"/>
      <c r="D67" s="154"/>
      <c r="E67" s="154"/>
      <c r="F67" s="154"/>
      <c r="G67" s="154"/>
      <c r="H67" s="154"/>
      <c r="I67" s="154"/>
      <c r="J67" s="154"/>
      <c r="K67" s="154"/>
      <c r="L67" s="326"/>
      <c r="M67"/>
    </row>
    <row r="68" spans="1:13" ht="15.75" thickTop="1" x14ac:dyDescent="0.25">
      <c r="A68" s="36" t="s">
        <v>364</v>
      </c>
      <c r="B68" s="36" t="s">
        <v>1561</v>
      </c>
      <c r="C68" s="322">
        <f>VLOOKUP($A68,[0]!Data,163,FALSE)</f>
        <v>99478</v>
      </c>
      <c r="D68" s="322">
        <f>VLOOKUP($A68,[0]!Data,164,FALSE)</f>
        <v>6202</v>
      </c>
      <c r="E68" s="322">
        <f>VLOOKUP($A68,[0]!Data,165,FALSE)</f>
        <v>61921</v>
      </c>
      <c r="F68" s="322">
        <f>VLOOKUP($A68,[0]!Data,166,FALSE)</f>
        <v>167601</v>
      </c>
      <c r="G68" s="322">
        <f>VLOOKUP($A68,[0]!Data,168,FALSE)</f>
        <v>119</v>
      </c>
      <c r="H68" s="322">
        <f>VLOOKUP($A68,[0]!Data,176,FALSE)</f>
        <v>78</v>
      </c>
      <c r="I68" s="322">
        <f>VLOOKUP($A68,[0]!Data,171,FALSE)+VLOOKUP($A68,[0]!Data,198,FALSE)</f>
        <v>9163</v>
      </c>
      <c r="J68" s="322">
        <f>VLOOKUP($A68,[0]!Data,172,FALSE)+VLOOKUP($A68,[0]!Data,199,FALSE)</f>
        <v>12460</v>
      </c>
      <c r="K68" s="322">
        <f>VLOOKUP($A68,[0]!Data,197,FALSE)</f>
        <v>26726</v>
      </c>
      <c r="L68" s="324">
        <f>VLOOKUP($A68,[0]!Data,200,FALSE)</f>
        <v>0</v>
      </c>
      <c r="M68"/>
    </row>
    <row r="69" spans="1:13" x14ac:dyDescent="0.25">
      <c r="A69" s="36" t="s">
        <v>409</v>
      </c>
      <c r="B69" s="36" t="s">
        <v>1562</v>
      </c>
      <c r="C69" s="322">
        <f>VLOOKUP($A69,[0]!Data,163,FALSE)</f>
        <v>123815</v>
      </c>
      <c r="D69" s="322">
        <f>VLOOKUP($A69,[0]!Data,164,FALSE)</f>
        <v>2079</v>
      </c>
      <c r="E69" s="322">
        <f>VLOOKUP($A69,[0]!Data,165,FALSE)</f>
        <v>32205</v>
      </c>
      <c r="F69" s="322">
        <f>VLOOKUP($A69,[0]!Data,166,FALSE)</f>
        <v>158099</v>
      </c>
      <c r="G69" s="322">
        <f>VLOOKUP($A69,[0]!Data,168,FALSE)</f>
        <v>115</v>
      </c>
      <c r="H69" s="322">
        <f>VLOOKUP($A69,[0]!Data,176,FALSE)</f>
        <v>74</v>
      </c>
      <c r="I69" s="322">
        <f>VLOOKUP($A69,[0]!Data,171,FALSE)+VLOOKUP($A69,[0]!Data,198,FALSE)</f>
        <v>5478</v>
      </c>
      <c r="J69" s="322">
        <f>VLOOKUP($A69,[0]!Data,172,FALSE)+VLOOKUP($A69,[0]!Data,199,FALSE)</f>
        <v>3623</v>
      </c>
      <c r="K69" s="322">
        <f>VLOOKUP($A69,[0]!Data,197,FALSE)</f>
        <v>26725</v>
      </c>
      <c r="L69" s="324">
        <f>VLOOKUP($A69,[0]!Data,200,FALSE)</f>
        <v>0</v>
      </c>
      <c r="M69"/>
    </row>
    <row r="70" spans="1:13" x14ac:dyDescent="0.25">
      <c r="A70" s="36" t="s">
        <v>393</v>
      </c>
      <c r="B70" s="36" t="s">
        <v>1563</v>
      </c>
      <c r="C70" s="322">
        <f>VLOOKUP($A70,[0]!Data,163,FALSE)</f>
        <v>128448</v>
      </c>
      <c r="D70" s="322">
        <f>VLOOKUP($A70,[0]!Data,164,FALSE)</f>
        <v>10922</v>
      </c>
      <c r="E70" s="322">
        <f>VLOOKUP($A70,[0]!Data,165,FALSE)</f>
        <v>64214</v>
      </c>
      <c r="F70" s="322">
        <f>VLOOKUP($A70,[0]!Data,166,FALSE)</f>
        <v>203584</v>
      </c>
      <c r="G70" s="322">
        <f>VLOOKUP($A70,[0]!Data,168,FALSE)</f>
        <v>194</v>
      </c>
      <c r="H70" s="322">
        <f>VLOOKUP($A70,[0]!Data,176,FALSE)</f>
        <v>75</v>
      </c>
      <c r="I70" s="322">
        <f>VLOOKUP($A70,[0]!Data,171,FALSE)+VLOOKUP($A70,[0]!Data,198,FALSE)</f>
        <v>11160</v>
      </c>
      <c r="J70" s="322">
        <f>VLOOKUP($A70,[0]!Data,172,FALSE)+VLOOKUP($A70,[0]!Data,199,FALSE)</f>
        <v>10624</v>
      </c>
      <c r="K70" s="322">
        <f>VLOOKUP($A70,[0]!Data,197,FALSE)</f>
        <v>30491</v>
      </c>
      <c r="L70" s="324">
        <f>VLOOKUP($A70,[0]!Data,200,FALSE)</f>
        <v>0</v>
      </c>
      <c r="M70"/>
    </row>
    <row r="71" spans="1:13" x14ac:dyDescent="0.25">
      <c r="A71" s="36" t="s">
        <v>428</v>
      </c>
      <c r="B71" s="36" t="s">
        <v>1564</v>
      </c>
      <c r="C71" s="322">
        <f>VLOOKUP($A71,[0]!Data,163,FALSE)</f>
        <v>80317</v>
      </c>
      <c r="D71" s="322">
        <f>VLOOKUP($A71,[0]!Data,164,FALSE)</f>
        <v>1009</v>
      </c>
      <c r="E71" s="322">
        <f>VLOOKUP($A71,[0]!Data,165,FALSE)</f>
        <v>46598</v>
      </c>
      <c r="F71" s="322">
        <f>VLOOKUP($A71,[0]!Data,166,FALSE)</f>
        <v>127924</v>
      </c>
      <c r="G71" s="322">
        <f>VLOOKUP($A71,[0]!Data,168,FALSE)</f>
        <v>66</v>
      </c>
      <c r="H71" s="322">
        <f>VLOOKUP($A71,[0]!Data,176,FALSE)</f>
        <v>74</v>
      </c>
      <c r="I71" s="322">
        <f>VLOOKUP($A71,[0]!Data,171,FALSE)+VLOOKUP($A71,[0]!Data,198,FALSE)</f>
        <v>4323</v>
      </c>
      <c r="J71" s="322">
        <f>VLOOKUP($A71,[0]!Data,172,FALSE)+VLOOKUP($A71,[0]!Data,199,FALSE)</f>
        <v>6705</v>
      </c>
      <c r="K71" s="322">
        <f>VLOOKUP($A71,[0]!Data,197,FALSE)</f>
        <v>49720</v>
      </c>
      <c r="L71" s="324">
        <f>VLOOKUP($A71,[0]!Data,200,FALSE)</f>
        <v>50</v>
      </c>
      <c r="M71"/>
    </row>
    <row r="72" spans="1:13" x14ac:dyDescent="0.25">
      <c r="A72" s="36" t="s">
        <v>629</v>
      </c>
      <c r="B72" s="36" t="s">
        <v>1565</v>
      </c>
      <c r="C72" s="322">
        <f>VLOOKUP($A72,[0]!Data,163,FALSE)</f>
        <v>199262</v>
      </c>
      <c r="D72" s="322">
        <f>VLOOKUP($A72,[0]!Data,164,FALSE)</f>
        <v>13409</v>
      </c>
      <c r="E72" s="322">
        <f>VLOOKUP($A72,[0]!Data,165,FALSE)</f>
        <v>96631</v>
      </c>
      <c r="F72" s="322">
        <f>VLOOKUP($A72,[0]!Data,166,FALSE)</f>
        <v>309302</v>
      </c>
      <c r="G72" s="322">
        <f>VLOOKUP($A72,[0]!Data,168,FALSE)</f>
        <v>429</v>
      </c>
      <c r="H72" s="322">
        <f>VLOOKUP($A72,[0]!Data,176,FALSE)</f>
        <v>87</v>
      </c>
      <c r="I72" s="322">
        <f>VLOOKUP($A72,[0]!Data,171,FALSE)+VLOOKUP($A72,[0]!Data,198,FALSE)</f>
        <v>22597</v>
      </c>
      <c r="J72" s="322">
        <f>VLOOKUP($A72,[0]!Data,172,FALSE)+VLOOKUP($A72,[0]!Data,199,FALSE)</f>
        <v>13833</v>
      </c>
      <c r="K72" s="322">
        <f>VLOOKUP($A72,[0]!Data,197,FALSE)</f>
        <v>27229</v>
      </c>
      <c r="L72" s="324">
        <f>VLOOKUP($A72,[0]!Data,200,FALSE)</f>
        <v>2</v>
      </c>
      <c r="M72"/>
    </row>
    <row r="73" spans="1:13" x14ac:dyDescent="0.25">
      <c r="A73" s="36" t="s">
        <v>715</v>
      </c>
      <c r="B73" s="36" t="s">
        <v>1566</v>
      </c>
      <c r="C73" s="322">
        <f>VLOOKUP($A73,[0]!Data,163,FALSE)</f>
        <v>144418</v>
      </c>
      <c r="D73" s="322">
        <f>VLOOKUP($A73,[0]!Data,164,FALSE)</f>
        <v>8588</v>
      </c>
      <c r="E73" s="322">
        <f>VLOOKUP($A73,[0]!Data,165,FALSE)</f>
        <v>71020</v>
      </c>
      <c r="F73" s="322">
        <f>VLOOKUP($A73,[0]!Data,166,FALSE)</f>
        <v>224026</v>
      </c>
      <c r="G73" s="322">
        <f>VLOOKUP($A73,[0]!Data,168,FALSE)</f>
        <v>121</v>
      </c>
      <c r="H73" s="322">
        <f>VLOOKUP($A73,[0]!Data,176,FALSE)</f>
        <v>82</v>
      </c>
      <c r="I73" s="322">
        <f>VLOOKUP($A73,[0]!Data,171,FALSE)+VLOOKUP($A73,[0]!Data,198,FALSE)</f>
        <v>10016</v>
      </c>
      <c r="J73" s="322">
        <f>VLOOKUP($A73,[0]!Data,172,FALSE)+VLOOKUP($A73,[0]!Data,199,FALSE)</f>
        <v>17595</v>
      </c>
      <c r="K73" s="322">
        <f>VLOOKUP($A73,[0]!Data,197,FALSE)</f>
        <v>28588</v>
      </c>
      <c r="L73" s="324">
        <f>VLOOKUP($A73,[0]!Data,200,FALSE)</f>
        <v>29</v>
      </c>
      <c r="M73"/>
    </row>
    <row r="74" spans="1:13" x14ac:dyDescent="0.25">
      <c r="A74" s="36" t="s">
        <v>754</v>
      </c>
      <c r="B74" s="36" t="s">
        <v>1567</v>
      </c>
      <c r="C74" s="322">
        <f>VLOOKUP($A74,[0]!Data,163,FALSE)</f>
        <v>141622</v>
      </c>
      <c r="D74" s="322">
        <f>VLOOKUP($A74,[0]!Data,164,FALSE)</f>
        <v>6052</v>
      </c>
      <c r="E74" s="322">
        <f>VLOOKUP($A74,[0]!Data,165,FALSE)</f>
        <v>73339</v>
      </c>
      <c r="F74" s="322">
        <f>VLOOKUP($A74,[0]!Data,166,FALSE)</f>
        <v>221013</v>
      </c>
      <c r="G74" s="322">
        <f>VLOOKUP($A74,[0]!Data,168,FALSE)</f>
        <v>457</v>
      </c>
      <c r="H74" s="322">
        <f>VLOOKUP($A74,[0]!Data,176,FALSE)</f>
        <v>74</v>
      </c>
      <c r="I74" s="322">
        <f>VLOOKUP($A74,[0]!Data,171,FALSE)+VLOOKUP($A74,[0]!Data,198,FALSE)</f>
        <v>20717</v>
      </c>
      <c r="J74" s="322">
        <f>VLOOKUP($A74,[0]!Data,172,FALSE)+VLOOKUP($A74,[0]!Data,199,FALSE)</f>
        <v>16186</v>
      </c>
      <c r="K74" s="322">
        <f>VLOOKUP($A74,[0]!Data,197,FALSE)</f>
        <v>51152</v>
      </c>
      <c r="L74" s="324">
        <f>VLOOKUP($A74,[0]!Data,200,FALSE)</f>
        <v>454</v>
      </c>
      <c r="M74"/>
    </row>
    <row r="75" spans="1:13" x14ac:dyDescent="0.25">
      <c r="A75" s="36" t="s">
        <v>1048</v>
      </c>
      <c r="B75" s="36" t="s">
        <v>1568</v>
      </c>
      <c r="C75" s="322">
        <f>VLOOKUP($A75,[0]!Data,163,FALSE)</f>
        <v>105851</v>
      </c>
      <c r="D75" s="322">
        <f>VLOOKUP($A75,[0]!Data,164,FALSE)</f>
        <v>5637</v>
      </c>
      <c r="E75" s="322">
        <f>VLOOKUP($A75,[0]!Data,165,FALSE)</f>
        <v>41172</v>
      </c>
      <c r="F75" s="322">
        <f>VLOOKUP($A75,[0]!Data,166,FALSE)</f>
        <v>152660</v>
      </c>
      <c r="G75" s="322">
        <f>VLOOKUP($A75,[0]!Data,168,FALSE)</f>
        <v>236</v>
      </c>
      <c r="H75" s="322">
        <f>VLOOKUP($A75,[0]!Data,176,FALSE)</f>
        <v>76</v>
      </c>
      <c r="I75" s="322">
        <f>VLOOKUP($A75,[0]!Data,171,FALSE)+VLOOKUP($A75,[0]!Data,198,FALSE)</f>
        <v>9412</v>
      </c>
      <c r="J75" s="322">
        <f>VLOOKUP($A75,[0]!Data,172,FALSE)+VLOOKUP($A75,[0]!Data,199,FALSE)</f>
        <v>12167</v>
      </c>
      <c r="K75" s="322">
        <f>VLOOKUP($A75,[0]!Data,197,FALSE)</f>
        <v>26740</v>
      </c>
      <c r="L75" s="324">
        <f>VLOOKUP($A75,[0]!Data,200,FALSE)</f>
        <v>0</v>
      </c>
      <c r="M75"/>
    </row>
    <row r="76" spans="1:13" x14ac:dyDescent="0.25">
      <c r="A76" s="36" t="s">
        <v>1064</v>
      </c>
      <c r="B76" s="36" t="s">
        <v>1569</v>
      </c>
      <c r="C76" s="322">
        <f>VLOOKUP($A76,[0]!Data,163,FALSE)</f>
        <v>91119</v>
      </c>
      <c r="D76" s="322">
        <f>VLOOKUP($A76,[0]!Data,164,FALSE)</f>
        <v>6943</v>
      </c>
      <c r="E76" s="322">
        <f>VLOOKUP($A76,[0]!Data,165,FALSE)</f>
        <v>48210</v>
      </c>
      <c r="F76" s="322">
        <f>VLOOKUP($A76,[0]!Data,166,FALSE)</f>
        <v>146272</v>
      </c>
      <c r="G76" s="322">
        <f>VLOOKUP($A76,[0]!Data,168,FALSE)</f>
        <v>333</v>
      </c>
      <c r="H76" s="322">
        <f>VLOOKUP($A76,[0]!Data,176,FALSE)</f>
        <v>78</v>
      </c>
      <c r="I76" s="322">
        <f>VLOOKUP($A76,[0]!Data,171,FALSE)+VLOOKUP($A76,[0]!Data,198,FALSE)</f>
        <v>12023</v>
      </c>
      <c r="J76" s="322">
        <f>VLOOKUP($A76,[0]!Data,172,FALSE)+VLOOKUP($A76,[0]!Data,199,FALSE)</f>
        <v>9866</v>
      </c>
      <c r="K76" s="322">
        <f>VLOOKUP($A76,[0]!Data,197,FALSE)</f>
        <v>27614</v>
      </c>
      <c r="L76" s="324">
        <f>VLOOKUP($A76,[0]!Data,200,FALSE)</f>
        <v>50</v>
      </c>
      <c r="M76"/>
    </row>
    <row r="77" spans="1:13" x14ac:dyDescent="0.25">
      <c r="A77" s="36" t="s">
        <v>1093</v>
      </c>
      <c r="B77" s="36" t="s">
        <v>1570</v>
      </c>
      <c r="C77" s="322">
        <f>VLOOKUP($A77,[0]!Data,163,FALSE)</f>
        <v>200574</v>
      </c>
      <c r="D77" s="322">
        <f>VLOOKUP($A77,[0]!Data,164,FALSE)</f>
        <v>12761</v>
      </c>
      <c r="E77" s="322">
        <f>VLOOKUP($A77,[0]!Data,165,FALSE)</f>
        <v>131077</v>
      </c>
      <c r="F77" s="322">
        <f>VLOOKUP($A77,[0]!Data,166,FALSE)</f>
        <v>344412</v>
      </c>
      <c r="G77" s="322">
        <f>VLOOKUP($A77,[0]!Data,168,FALSE)</f>
        <v>166</v>
      </c>
      <c r="H77" s="322">
        <f>VLOOKUP($A77,[0]!Data,176,FALSE)</f>
        <v>76</v>
      </c>
      <c r="I77" s="322">
        <f>VLOOKUP($A77,[0]!Data,171,FALSE)+VLOOKUP($A77,[0]!Data,198,FALSE)</f>
        <v>8162</v>
      </c>
      <c r="J77" s="322">
        <f>VLOOKUP($A77,[0]!Data,172,FALSE)+VLOOKUP($A77,[0]!Data,199,FALSE)</f>
        <v>11852</v>
      </c>
      <c r="K77" s="322">
        <f>VLOOKUP($A77,[0]!Data,197,FALSE)</f>
        <v>27670</v>
      </c>
      <c r="L77" s="324">
        <f>VLOOKUP($A77,[0]!Data,200,FALSE)</f>
        <v>0</v>
      </c>
      <c r="M77"/>
    </row>
    <row r="78" spans="1:13" x14ac:dyDescent="0.25">
      <c r="A78" s="36" t="s">
        <v>1172</v>
      </c>
      <c r="B78" s="36" t="s">
        <v>1571</v>
      </c>
      <c r="C78" s="322">
        <f>VLOOKUP($A78,[0]!Data,163,FALSE)</f>
        <v>82725</v>
      </c>
      <c r="D78" s="322">
        <f>VLOOKUP($A78,[0]!Data,164,FALSE)</f>
        <v>4312</v>
      </c>
      <c r="E78" s="322">
        <f>VLOOKUP($A78,[0]!Data,165,FALSE)</f>
        <v>35244</v>
      </c>
      <c r="F78" s="322">
        <f>VLOOKUP($A78,[0]!Data,166,FALSE)</f>
        <v>122281</v>
      </c>
      <c r="G78" s="322">
        <f>VLOOKUP($A78,[0]!Data,168,FALSE)</f>
        <v>141</v>
      </c>
      <c r="H78" s="322">
        <f>VLOOKUP($A78,[0]!Data,176,FALSE)</f>
        <v>76</v>
      </c>
      <c r="I78" s="322">
        <f>VLOOKUP($A78,[0]!Data,171,FALSE)+VLOOKUP($A78,[0]!Data,198,FALSE)</f>
        <v>7330</v>
      </c>
      <c r="J78" s="322">
        <f>VLOOKUP($A78,[0]!Data,172,FALSE)+VLOOKUP($A78,[0]!Data,199,FALSE)</f>
        <v>7246</v>
      </c>
      <c r="K78" s="322">
        <f>VLOOKUP($A78,[0]!Data,197,FALSE)</f>
        <v>50523</v>
      </c>
      <c r="L78" s="324">
        <f>VLOOKUP($A78,[0]!Data,200,FALSE)</f>
        <v>0</v>
      </c>
      <c r="M78"/>
    </row>
    <row r="79" spans="1:13" x14ac:dyDescent="0.25">
      <c r="A79" s="36" t="s">
        <v>1305</v>
      </c>
      <c r="B79" s="36" t="s">
        <v>1572</v>
      </c>
      <c r="C79" s="322">
        <f>VLOOKUP($A79,[0]!Data,163,FALSE)</f>
        <v>188652</v>
      </c>
      <c r="D79" s="322">
        <f>VLOOKUP($A79,[0]!Data,164,FALSE)</f>
        <v>16198</v>
      </c>
      <c r="E79" s="322">
        <f>VLOOKUP($A79,[0]!Data,165,FALSE)</f>
        <v>103568</v>
      </c>
      <c r="F79" s="322">
        <f>VLOOKUP($A79,[0]!Data,166,FALSE)</f>
        <v>308418</v>
      </c>
      <c r="G79" s="322">
        <f>VLOOKUP($A79,[0]!Data,168,FALSE)</f>
        <v>350</v>
      </c>
      <c r="H79" s="322">
        <f>VLOOKUP($A79,[0]!Data,176,FALSE)</f>
        <v>79</v>
      </c>
      <c r="I79" s="322">
        <f>VLOOKUP($A79,[0]!Data,171,FALSE)+VLOOKUP($A79,[0]!Data,198,FALSE)</f>
        <v>11372</v>
      </c>
      <c r="J79" s="322">
        <f>VLOOKUP($A79,[0]!Data,172,FALSE)+VLOOKUP($A79,[0]!Data,199,FALSE)</f>
        <v>16728</v>
      </c>
      <c r="K79" s="322">
        <f>VLOOKUP($A79,[0]!Data,197,FALSE)</f>
        <v>28253</v>
      </c>
      <c r="L79" s="324">
        <f>VLOOKUP($A79,[0]!Data,200,FALSE)</f>
        <v>58</v>
      </c>
      <c r="M79"/>
    </row>
    <row r="80" spans="1:13" ht="15.75" thickBot="1" x14ac:dyDescent="0.3">
      <c r="A80" s="624" t="s">
        <v>1471</v>
      </c>
      <c r="B80" s="626"/>
      <c r="C80" s="325">
        <f t="shared" ref="C80:L80" si="1">AVERAGE(C68:C79)</f>
        <v>132190.08333333334</v>
      </c>
      <c r="D80" s="325">
        <f t="shared" si="1"/>
        <v>7842.666666666667</v>
      </c>
      <c r="E80" s="325">
        <f t="shared" si="1"/>
        <v>67099.916666666672</v>
      </c>
      <c r="F80" s="325">
        <f t="shared" si="1"/>
        <v>207132.66666666666</v>
      </c>
      <c r="G80" s="325">
        <f t="shared" si="1"/>
        <v>227.25</v>
      </c>
      <c r="H80" s="325"/>
      <c r="I80" s="325">
        <f t="shared" si="1"/>
        <v>10979.416666666666</v>
      </c>
      <c r="J80" s="325">
        <f t="shared" si="1"/>
        <v>11573.75</v>
      </c>
      <c r="K80" s="325">
        <f t="shared" si="1"/>
        <v>33452.583333333336</v>
      </c>
      <c r="L80" s="44">
        <f t="shared" si="1"/>
        <v>53.583333333333336</v>
      </c>
      <c r="M80"/>
    </row>
    <row r="81" spans="1:13" ht="16.5" thickTop="1" thickBot="1" x14ac:dyDescent="0.3">
      <c r="A81" s="54"/>
      <c r="B81" s="45" t="s">
        <v>1456</v>
      </c>
      <c r="C81" s="154"/>
      <c r="D81" s="154"/>
      <c r="E81" s="154"/>
      <c r="F81" s="154"/>
      <c r="G81" s="154"/>
      <c r="H81" s="154"/>
      <c r="I81" s="154"/>
      <c r="J81" s="154"/>
      <c r="K81" s="154"/>
      <c r="L81" s="326"/>
      <c r="M81"/>
    </row>
    <row r="82" spans="1:13" ht="15.75" thickTop="1" x14ac:dyDescent="0.25">
      <c r="A82" s="51" t="s">
        <v>557</v>
      </c>
      <c r="B82" s="36" t="s">
        <v>1573</v>
      </c>
      <c r="C82" s="322">
        <f>VLOOKUP($A82,[0]!Data,163,FALSE)</f>
        <v>88615</v>
      </c>
      <c r="D82" s="322">
        <f>VLOOKUP($A82,[0]!Data,164,FALSE)</f>
        <v>9196</v>
      </c>
      <c r="E82" s="322">
        <f>VLOOKUP($A82,[0]!Data,165,FALSE)</f>
        <v>78732</v>
      </c>
      <c r="F82" s="322">
        <f>VLOOKUP($A82,[0]!Data,166,FALSE)</f>
        <v>176543</v>
      </c>
      <c r="G82" s="322">
        <f>VLOOKUP($A82,[0]!Data,168,FALSE)</f>
        <v>163</v>
      </c>
      <c r="H82" s="322">
        <f>VLOOKUP($A82,[0]!Data,176,FALSE)</f>
        <v>81</v>
      </c>
      <c r="I82" s="322">
        <f>VLOOKUP($A82,[0]!Data,171,FALSE)+VLOOKUP($A82,[0]!Data,198,FALSE)</f>
        <v>29025</v>
      </c>
      <c r="J82" s="322">
        <f>VLOOKUP($A82,[0]!Data,172,FALSE)+VLOOKUP($A82,[0]!Data,199,FALSE)</f>
        <v>10617</v>
      </c>
      <c r="K82" s="322">
        <f>VLOOKUP($A82,[0]!Data,197,FALSE)</f>
        <v>61647</v>
      </c>
      <c r="L82" s="324">
        <f>VLOOKUP($A82,[0]!Data,200,FALSE)</f>
        <v>150</v>
      </c>
      <c r="M82"/>
    </row>
    <row r="83" spans="1:13" x14ac:dyDescent="0.25">
      <c r="A83" s="51" t="s">
        <v>946</v>
      </c>
      <c r="B83" s="36" t="s">
        <v>1457</v>
      </c>
      <c r="C83" s="322">
        <f>VLOOKUP($A83,[0]!Data,163,FALSE)</f>
        <v>40973</v>
      </c>
      <c r="D83" s="322">
        <f>VLOOKUP($A83,[0]!Data,164,FALSE)</f>
        <v>2918</v>
      </c>
      <c r="E83" s="322">
        <f>VLOOKUP($A83,[0]!Data,165,FALSE)</f>
        <v>14780</v>
      </c>
      <c r="F83" s="322">
        <f>VLOOKUP($A83,[0]!Data,166,FALSE)</f>
        <v>58671</v>
      </c>
      <c r="G83" s="322">
        <f>VLOOKUP($A83,[0]!Data,168,FALSE)</f>
        <v>18</v>
      </c>
      <c r="H83" s="322">
        <f>VLOOKUP($A83,[0]!Data,176,FALSE)</f>
        <v>74</v>
      </c>
      <c r="I83" s="322">
        <f>VLOOKUP($A83,[0]!Data,171,FALSE)+VLOOKUP($A83,[0]!Data,198,FALSE)</f>
        <v>8153</v>
      </c>
      <c r="J83" s="322">
        <f>VLOOKUP($A83,[0]!Data,172,FALSE)+VLOOKUP($A83,[0]!Data,199,FALSE)</f>
        <v>0</v>
      </c>
      <c r="K83" s="322">
        <f>VLOOKUP($A83,[0]!Data,197,FALSE)</f>
        <v>28865</v>
      </c>
      <c r="L83" s="324">
        <f>VLOOKUP($A83,[0]!Data,200,FALSE)</f>
        <v>0</v>
      </c>
      <c r="M83"/>
    </row>
    <row r="84" spans="1:13" x14ac:dyDescent="0.25">
      <c r="A84" s="51" t="s">
        <v>743</v>
      </c>
      <c r="B84" s="36" t="s">
        <v>1574</v>
      </c>
      <c r="C84" s="322">
        <f>VLOOKUP($A84,[0]!Data,163,FALSE)</f>
        <v>16020</v>
      </c>
      <c r="D84" s="322">
        <f>VLOOKUP($A84,[0]!Data,164,FALSE)</f>
        <v>2808</v>
      </c>
      <c r="E84" s="322">
        <f>VLOOKUP($A84,[0]!Data,165,FALSE)</f>
        <v>12641</v>
      </c>
      <c r="F84" s="322">
        <f>VLOOKUP($A84,[0]!Data,166,FALSE)</f>
        <v>31469</v>
      </c>
      <c r="G84" s="322">
        <f>VLOOKUP($A84,[0]!Data,168,FALSE)</f>
        <v>90</v>
      </c>
      <c r="H84" s="322">
        <f>VLOOKUP($A84,[0]!Data,176,FALSE)</f>
        <v>76</v>
      </c>
      <c r="I84" s="322">
        <f>VLOOKUP($A84,[0]!Data,171,FALSE)+VLOOKUP($A84,[0]!Data,198,FALSE)</f>
        <v>11664</v>
      </c>
      <c r="J84" s="322">
        <f>VLOOKUP($A84,[0]!Data,172,FALSE)+VLOOKUP($A84,[0]!Data,199,FALSE)</f>
        <v>1097</v>
      </c>
      <c r="K84" s="322">
        <f>VLOOKUP($A84,[0]!Data,197,FALSE)</f>
        <v>50613</v>
      </c>
      <c r="L84" s="324">
        <f>VLOOKUP($A84,[0]!Data,200,FALSE)</f>
        <v>50</v>
      </c>
      <c r="M84"/>
    </row>
    <row r="85" spans="1:13" x14ac:dyDescent="0.25">
      <c r="A85" s="51" t="s">
        <v>917</v>
      </c>
      <c r="B85" s="36" t="s">
        <v>1575</v>
      </c>
      <c r="C85" s="322">
        <f>VLOOKUP($A85,[0]!Data,163,FALSE)</f>
        <v>70229</v>
      </c>
      <c r="D85" s="322">
        <f>VLOOKUP($A85,[0]!Data,164,FALSE)</f>
        <v>7332</v>
      </c>
      <c r="E85" s="322">
        <f>VLOOKUP($A85,[0]!Data,165,FALSE)</f>
        <v>38555</v>
      </c>
      <c r="F85" s="322">
        <f>VLOOKUP($A85,[0]!Data,166,FALSE)</f>
        <v>116116</v>
      </c>
      <c r="G85" s="322">
        <f>VLOOKUP($A85,[0]!Data,168,FALSE)</f>
        <v>269</v>
      </c>
      <c r="H85" s="322">
        <f>VLOOKUP($A85,[0]!Data,176,FALSE)</f>
        <v>80</v>
      </c>
      <c r="I85" s="322">
        <f>VLOOKUP($A85,[0]!Data,171,FALSE)+VLOOKUP($A85,[0]!Data,198,FALSE)</f>
        <v>338792</v>
      </c>
      <c r="J85" s="322">
        <f>VLOOKUP($A85,[0]!Data,172,FALSE)+VLOOKUP($A85,[0]!Data,199,FALSE)</f>
        <v>25642</v>
      </c>
      <c r="K85" s="322">
        <f>VLOOKUP($A85,[0]!Data,197,FALSE)</f>
        <v>175370</v>
      </c>
      <c r="L85" s="324">
        <f>VLOOKUP($A85,[0]!Data,200,FALSE)</f>
        <v>87</v>
      </c>
      <c r="M85"/>
    </row>
    <row r="86" spans="1:13" x14ac:dyDescent="0.25">
      <c r="A86" s="51" t="s">
        <v>932</v>
      </c>
      <c r="B86" s="36" t="s">
        <v>1576</v>
      </c>
      <c r="C86" s="322">
        <f>VLOOKUP($A86,[0]!Data,163,FALSE)</f>
        <v>168498</v>
      </c>
      <c r="D86" s="322">
        <f>VLOOKUP($A86,[0]!Data,164,FALSE)</f>
        <v>5327</v>
      </c>
      <c r="E86" s="322">
        <f>VLOOKUP($A86,[0]!Data,165,FALSE)</f>
        <v>77508</v>
      </c>
      <c r="F86" s="322">
        <f>VLOOKUP($A86,[0]!Data,166,FALSE)</f>
        <v>251333</v>
      </c>
      <c r="G86" s="322">
        <f>VLOOKUP($A86,[0]!Data,168,FALSE)</f>
        <v>752</v>
      </c>
      <c r="H86" s="322">
        <f>VLOOKUP($A86,[0]!Data,176,FALSE)</f>
        <v>96</v>
      </c>
      <c r="I86" s="322">
        <f>VLOOKUP($A86,[0]!Data,171,FALSE)+VLOOKUP($A86,[0]!Data,198,FALSE)</f>
        <v>24862</v>
      </c>
      <c r="J86" s="322">
        <f>VLOOKUP($A86,[0]!Data,172,FALSE)+VLOOKUP($A86,[0]!Data,199,FALSE)</f>
        <v>211870</v>
      </c>
      <c r="K86" s="322">
        <f>VLOOKUP($A86,[0]!Data,197,FALSE)</f>
        <v>355023</v>
      </c>
      <c r="L86" s="324">
        <f>VLOOKUP($A86,[0]!Data,200,FALSE)</f>
        <v>175</v>
      </c>
      <c r="M86"/>
    </row>
    <row r="87" spans="1:13" x14ac:dyDescent="0.25">
      <c r="A87" s="51" t="s">
        <v>970</v>
      </c>
      <c r="B87" s="36" t="s">
        <v>1577</v>
      </c>
      <c r="C87" s="322">
        <f>VLOOKUP($A87,[0]!Data,163,FALSE)</f>
        <v>21917</v>
      </c>
      <c r="D87" s="322">
        <f>VLOOKUP($A87,[0]!Data,164,FALSE)</f>
        <v>1541</v>
      </c>
      <c r="E87" s="322">
        <f>VLOOKUP($A87,[0]!Data,165,FALSE)</f>
        <v>17984</v>
      </c>
      <c r="F87" s="322">
        <f>VLOOKUP($A87,[0]!Data,166,FALSE)</f>
        <v>41442</v>
      </c>
      <c r="G87" s="322">
        <f>VLOOKUP($A87,[0]!Data,168,FALSE)</f>
        <v>86</v>
      </c>
      <c r="H87" s="322">
        <f>VLOOKUP($A87,[0]!Data,176,FALSE)</f>
        <v>87</v>
      </c>
      <c r="I87" s="322">
        <f>VLOOKUP($A87,[0]!Data,171,FALSE)+VLOOKUP($A87,[0]!Data,198,FALSE)</f>
        <v>10388</v>
      </c>
      <c r="J87" s="322">
        <f>VLOOKUP($A87,[0]!Data,172,FALSE)+VLOOKUP($A87,[0]!Data,199,FALSE)</f>
        <v>2581</v>
      </c>
      <c r="K87" s="322">
        <f>VLOOKUP($A87,[0]!Data,197,FALSE)</f>
        <v>50523</v>
      </c>
      <c r="L87" s="324">
        <f>VLOOKUP($A87,[0]!Data,200,FALSE)</f>
        <v>50</v>
      </c>
      <c r="M87"/>
    </row>
    <row r="88" spans="1:13" x14ac:dyDescent="0.25">
      <c r="A88" s="51" t="s">
        <v>1033</v>
      </c>
      <c r="B88" s="36" t="s">
        <v>1578</v>
      </c>
      <c r="C88" s="322">
        <f>VLOOKUP($A88,[0]!Data,163,FALSE)</f>
        <v>58352</v>
      </c>
      <c r="D88" s="322">
        <f>VLOOKUP($A88,[0]!Data,164,FALSE)</f>
        <v>9754</v>
      </c>
      <c r="E88" s="322">
        <f>VLOOKUP($A88,[0]!Data,165,FALSE)</f>
        <v>49371</v>
      </c>
      <c r="F88" s="322">
        <f>VLOOKUP($A88,[0]!Data,166,FALSE)</f>
        <v>117477</v>
      </c>
      <c r="G88" s="322">
        <f>VLOOKUP($A88,[0]!Data,168,FALSE)</f>
        <v>123</v>
      </c>
      <c r="H88" s="322">
        <f>VLOOKUP($A88,[0]!Data,176,FALSE)</f>
        <v>79</v>
      </c>
      <c r="I88" s="322">
        <f>VLOOKUP($A88,[0]!Data,171,FALSE)+VLOOKUP($A88,[0]!Data,198,FALSE)</f>
        <v>22941</v>
      </c>
      <c r="J88" s="322">
        <f>VLOOKUP($A88,[0]!Data,172,FALSE)+VLOOKUP($A88,[0]!Data,199,FALSE)</f>
        <v>11385</v>
      </c>
      <c r="K88" s="322">
        <f>VLOOKUP($A88,[0]!Data,197,FALSE)</f>
        <v>61406</v>
      </c>
      <c r="L88" s="324">
        <f>VLOOKUP($A88,[0]!Data,200,FALSE)</f>
        <v>165</v>
      </c>
      <c r="M88"/>
    </row>
    <row r="89" spans="1:13" x14ac:dyDescent="0.25">
      <c r="A89" s="51" t="s">
        <v>884</v>
      </c>
      <c r="B89" s="36" t="s">
        <v>1579</v>
      </c>
      <c r="C89" s="322">
        <f>VLOOKUP($A89,[0]!Data,163,FALSE)</f>
        <v>10073</v>
      </c>
      <c r="D89" s="322">
        <f>VLOOKUP($A89,[0]!Data,164,FALSE)</f>
        <v>1025</v>
      </c>
      <c r="E89" s="322">
        <f>VLOOKUP($A89,[0]!Data,165,FALSE)</f>
        <v>8360</v>
      </c>
      <c r="F89" s="322">
        <f>VLOOKUP($A89,[0]!Data,166,FALSE)</f>
        <v>19458</v>
      </c>
      <c r="G89" s="322">
        <f>VLOOKUP($A89,[0]!Data,168,FALSE)</f>
        <v>29</v>
      </c>
      <c r="H89" s="322">
        <f>VLOOKUP($A89,[0]!Data,176,FALSE)</f>
        <v>74</v>
      </c>
      <c r="I89" s="322">
        <f>VLOOKUP($A89,[0]!Data,171,FALSE)+VLOOKUP($A89,[0]!Data,198,FALSE)</f>
        <v>2381</v>
      </c>
      <c r="J89" s="322">
        <f>VLOOKUP($A89,[0]!Data,172,FALSE)+VLOOKUP($A89,[0]!Data,199,FALSE)</f>
        <v>1522</v>
      </c>
      <c r="K89" s="322">
        <f>VLOOKUP($A89,[0]!Data,197,FALSE)</f>
        <v>26725</v>
      </c>
      <c r="L89" s="324">
        <f>VLOOKUP($A89,[0]!Data,200,FALSE)</f>
        <v>-1</v>
      </c>
      <c r="M89"/>
    </row>
    <row r="90" spans="1:13" x14ac:dyDescent="0.25">
      <c r="A90" s="51" t="s">
        <v>1224</v>
      </c>
      <c r="B90" s="36" t="s">
        <v>1580</v>
      </c>
      <c r="C90" s="322">
        <f>VLOOKUP($A90,[0]!Data,163,FALSE)</f>
        <v>19863</v>
      </c>
      <c r="D90" s="322">
        <f>VLOOKUP($A90,[0]!Data,164,FALSE)</f>
        <v>3194</v>
      </c>
      <c r="E90" s="322">
        <f>VLOOKUP($A90,[0]!Data,165,FALSE)</f>
        <v>13212</v>
      </c>
      <c r="F90" s="322">
        <f>VLOOKUP($A90,[0]!Data,166,FALSE)</f>
        <v>36269</v>
      </c>
      <c r="G90" s="322">
        <f>VLOOKUP($A90,[0]!Data,168,FALSE)</f>
        <v>43</v>
      </c>
      <c r="H90" s="322">
        <f>VLOOKUP($A90,[0]!Data,176,FALSE)</f>
        <v>74</v>
      </c>
      <c r="I90" s="322">
        <f>VLOOKUP($A90,[0]!Data,171,FALSE)+VLOOKUP($A90,[0]!Data,198,FALSE)</f>
        <v>2972</v>
      </c>
      <c r="J90" s="322">
        <f>VLOOKUP($A90,[0]!Data,172,FALSE)+VLOOKUP($A90,[0]!Data,199,FALSE)</f>
        <v>2167</v>
      </c>
      <c r="K90" s="322">
        <f>VLOOKUP($A90,[0]!Data,197,FALSE)</f>
        <v>27105</v>
      </c>
      <c r="L90" s="324">
        <f>VLOOKUP($A90,[0]!Data,200,FALSE)</f>
        <v>0</v>
      </c>
      <c r="M90"/>
    </row>
    <row r="91" spans="1:13" x14ac:dyDescent="0.25">
      <c r="A91" s="51" t="s">
        <v>1346</v>
      </c>
      <c r="B91" s="36" t="s">
        <v>1581</v>
      </c>
      <c r="C91" s="322">
        <f>VLOOKUP($A91,[0]!Data,163,FALSE)</f>
        <v>44306</v>
      </c>
      <c r="D91" s="322">
        <f>VLOOKUP($A91,[0]!Data,164,FALSE)</f>
        <v>2922</v>
      </c>
      <c r="E91" s="322">
        <f>VLOOKUP($A91,[0]!Data,165,FALSE)</f>
        <v>20046</v>
      </c>
      <c r="F91" s="322">
        <f>VLOOKUP($A91,[0]!Data,166,FALSE)</f>
        <v>67274</v>
      </c>
      <c r="G91" s="322">
        <f>VLOOKUP($A91,[0]!Data,168,FALSE)</f>
        <v>124</v>
      </c>
      <c r="H91" s="322">
        <f>VLOOKUP($A91,[0]!Data,176,FALSE)</f>
        <v>94</v>
      </c>
      <c r="I91" s="322">
        <f>VLOOKUP($A91,[0]!Data,171,FALSE)+VLOOKUP($A91,[0]!Data,198,FALSE)</f>
        <v>19427</v>
      </c>
      <c r="J91" s="322">
        <f>VLOOKUP($A91,[0]!Data,172,FALSE)+VLOOKUP($A91,[0]!Data,199,FALSE)</f>
        <v>2274</v>
      </c>
      <c r="K91" s="322">
        <f>VLOOKUP($A91,[0]!Data,197,FALSE)</f>
        <v>61213</v>
      </c>
      <c r="L91" s="324">
        <f>VLOOKUP($A91,[0]!Data,200,FALSE)</f>
        <v>106</v>
      </c>
      <c r="M91"/>
    </row>
    <row r="92" spans="1:13" x14ac:dyDescent="0.25">
      <c r="A92" s="51" t="s">
        <v>819</v>
      </c>
      <c r="B92" s="36" t="s">
        <v>1582</v>
      </c>
      <c r="C92" s="322">
        <f>VLOOKUP($A92,[0]!Data,163,FALSE)</f>
        <v>36019</v>
      </c>
      <c r="D92" s="322">
        <f>VLOOKUP($A92,[0]!Data,164,FALSE)</f>
        <v>2824</v>
      </c>
      <c r="E92" s="322">
        <f>VLOOKUP($A92,[0]!Data,165,FALSE)</f>
        <v>15429</v>
      </c>
      <c r="F92" s="322">
        <f>VLOOKUP($A92,[0]!Data,166,FALSE)</f>
        <v>54272</v>
      </c>
      <c r="G92" s="322">
        <f>VLOOKUP($A92,[0]!Data,168,FALSE)</f>
        <v>26</v>
      </c>
      <c r="H92" s="322">
        <f>VLOOKUP($A92,[0]!Data,176,FALSE)</f>
        <v>75</v>
      </c>
      <c r="I92" s="322">
        <f>VLOOKUP($A92,[0]!Data,171,FALSE)+VLOOKUP($A92,[0]!Data,198,FALSE)</f>
        <v>6322</v>
      </c>
      <c r="J92" s="322">
        <f>VLOOKUP($A92,[0]!Data,172,FALSE)+VLOOKUP($A92,[0]!Data,199,FALSE)</f>
        <v>4307</v>
      </c>
      <c r="K92" s="322">
        <f>VLOOKUP($A92,[0]!Data,197,FALSE)</f>
        <v>51143</v>
      </c>
      <c r="L92" s="324">
        <f>VLOOKUP($A92,[0]!Data,200,FALSE)</f>
        <v>0</v>
      </c>
      <c r="M92"/>
    </row>
    <row r="93" spans="1:13" x14ac:dyDescent="0.25">
      <c r="A93" s="627" t="s">
        <v>1471</v>
      </c>
      <c r="B93" s="628"/>
      <c r="C93" s="57">
        <f t="shared" ref="C93:L93" si="2">AVERAGE(C82:C92)</f>
        <v>52260.454545454544</v>
      </c>
      <c r="D93" s="57">
        <f t="shared" si="2"/>
        <v>4440.090909090909</v>
      </c>
      <c r="E93" s="57">
        <f t="shared" si="2"/>
        <v>31510.727272727272</v>
      </c>
      <c r="F93" s="57">
        <f t="shared" si="2"/>
        <v>88211.272727272721</v>
      </c>
      <c r="G93" s="57">
        <f t="shared" si="2"/>
        <v>156.63636363636363</v>
      </c>
      <c r="H93" s="57"/>
      <c r="I93" s="57">
        <f t="shared" si="2"/>
        <v>43357</v>
      </c>
      <c r="J93" s="57">
        <f t="shared" si="2"/>
        <v>24860.18181818182</v>
      </c>
      <c r="K93" s="57">
        <f t="shared" si="2"/>
        <v>86330.272727272721</v>
      </c>
      <c r="L93" s="60">
        <f t="shared" si="2"/>
        <v>71.090909090909093</v>
      </c>
      <c r="M93"/>
    </row>
    <row r="94" spans="1:13" ht="15.75" thickBot="1" x14ac:dyDescent="0.3">
      <c r="A94" s="90"/>
      <c r="B94" s="115"/>
      <c r="C94" s="106"/>
      <c r="D94" s="308"/>
      <c r="E94" s="308"/>
      <c r="F94" s="308"/>
      <c r="G94" s="308"/>
      <c r="H94" s="308"/>
      <c r="I94" s="327"/>
      <c r="J94" s="327"/>
      <c r="K94" s="327"/>
      <c r="L94" s="328"/>
      <c r="M94"/>
    </row>
    <row r="95" spans="1:13" ht="15.75" thickTop="1" x14ac:dyDescent="0.25">
      <c r="A95" s="605" t="s">
        <v>1472</v>
      </c>
      <c r="B95" s="606"/>
      <c r="C95" s="329">
        <f>AVERAGE(C82:C92,C68:C79,C8:C65)</f>
        <v>114679.1975308642</v>
      </c>
      <c r="D95" s="329">
        <f t="shared" ref="D95:K95" si="3">AVERAGE(D82:D92,D68:D79,D8:D65)</f>
        <v>9481.6666666666661</v>
      </c>
      <c r="E95" s="329">
        <f t="shared" si="3"/>
        <v>68233.91358024691</v>
      </c>
      <c r="F95" s="329">
        <f t="shared" si="3"/>
        <v>192394.77777777778</v>
      </c>
      <c r="G95" s="329">
        <f t="shared" si="3"/>
        <v>258.27160493827159</v>
      </c>
      <c r="H95" s="329"/>
      <c r="I95" s="329">
        <f t="shared" si="3"/>
        <v>20266.074074074073</v>
      </c>
      <c r="J95" s="329">
        <f t="shared" si="3"/>
        <v>12984.469135802468</v>
      </c>
      <c r="K95" s="329">
        <f t="shared" si="3"/>
        <v>51636.493827160491</v>
      </c>
      <c r="L95" s="330">
        <f>AVERAGE(L82:L92,L68:L79,L8:L65)</f>
        <v>71.604938271604937</v>
      </c>
      <c r="M95"/>
    </row>
  </sheetData>
  <mergeCells count="8">
    <mergeCell ref="A93:B93"/>
    <mergeCell ref="A95:B95"/>
    <mergeCell ref="B4:B6"/>
    <mergeCell ref="C4:G4"/>
    <mergeCell ref="I4:L4"/>
    <mergeCell ref="A66:B66"/>
    <mergeCell ref="A67:B67"/>
    <mergeCell ref="A80:B8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95"/>
  <sheetViews>
    <sheetView topLeftCell="A46" workbookViewId="0">
      <selection activeCell="C68" sqref="C68"/>
    </sheetView>
  </sheetViews>
  <sheetFormatPr defaultColWidth="8.85546875" defaultRowHeight="15" x14ac:dyDescent="0.25"/>
  <cols>
    <col min="1" max="1" width="8.28515625" customWidth="1"/>
    <col min="2" max="2" width="18.42578125" customWidth="1"/>
    <col min="3" max="4" width="14.140625" style="250" customWidth="1"/>
    <col min="5" max="5" width="17" style="250" customWidth="1"/>
    <col min="6" max="6" width="15.85546875" style="368" customWidth="1"/>
    <col min="7" max="7" width="11.140625" style="368" customWidth="1"/>
    <col min="8" max="8" width="12.85546875" style="368" customWidth="1"/>
  </cols>
  <sheetData>
    <row r="1" spans="1:8" x14ac:dyDescent="0.25">
      <c r="A1" s="12"/>
      <c r="B1" s="12"/>
      <c r="C1" s="247"/>
      <c r="D1" s="247"/>
      <c r="E1" s="247"/>
      <c r="F1" s="334"/>
      <c r="G1" s="334"/>
      <c r="H1" s="11" t="s">
        <v>1758</v>
      </c>
    </row>
    <row r="2" spans="1:8" ht="15.75" x14ac:dyDescent="0.25">
      <c r="A2" s="171" t="s">
        <v>1616</v>
      </c>
      <c r="B2" s="335"/>
      <c r="C2" s="336"/>
      <c r="D2" s="336"/>
      <c r="E2" s="336"/>
      <c r="F2" s="337"/>
      <c r="G2" s="337"/>
      <c r="H2" s="18" t="s">
        <v>1759</v>
      </c>
    </row>
    <row r="3" spans="1:8" ht="15.75" thickBot="1" x14ac:dyDescent="0.3">
      <c r="A3" s="335"/>
      <c r="B3" s="335"/>
      <c r="C3" s="336"/>
      <c r="D3" s="336"/>
      <c r="E3" s="336"/>
      <c r="F3" s="337"/>
      <c r="G3" s="337"/>
      <c r="H3" s="337"/>
    </row>
    <row r="4" spans="1:8" ht="15.75" thickTop="1" x14ac:dyDescent="0.25">
      <c r="A4" s="92"/>
      <c r="B4" s="612"/>
      <c r="C4" s="338" t="s">
        <v>1617</v>
      </c>
      <c r="D4" s="94" t="s">
        <v>1617</v>
      </c>
      <c r="E4" s="94" t="s">
        <v>1617</v>
      </c>
      <c r="F4" s="339" t="s">
        <v>1462</v>
      </c>
      <c r="G4" s="340" t="s">
        <v>1615</v>
      </c>
      <c r="H4" s="341" t="s">
        <v>1612</v>
      </c>
    </row>
    <row r="5" spans="1:8" x14ac:dyDescent="0.25">
      <c r="A5" s="95"/>
      <c r="B5" s="647"/>
      <c r="C5" s="342" t="s">
        <v>1610</v>
      </c>
      <c r="D5" s="98" t="s">
        <v>1618</v>
      </c>
      <c r="E5" s="98" t="s">
        <v>1610</v>
      </c>
      <c r="F5" s="343" t="s">
        <v>1619</v>
      </c>
      <c r="G5" s="344" t="s">
        <v>1620</v>
      </c>
      <c r="H5" s="345" t="s">
        <v>1621</v>
      </c>
    </row>
    <row r="6" spans="1:8" ht="15.75" thickBot="1" x14ac:dyDescent="0.3">
      <c r="A6" s="99"/>
      <c r="B6" s="648"/>
      <c r="C6" s="346" t="s">
        <v>1622</v>
      </c>
      <c r="D6" s="101" t="s">
        <v>1622</v>
      </c>
      <c r="E6" s="101" t="s">
        <v>1623</v>
      </c>
      <c r="F6" s="347" t="s">
        <v>1624</v>
      </c>
      <c r="G6" s="348" t="s">
        <v>1625</v>
      </c>
      <c r="H6" s="349" t="s">
        <v>1470</v>
      </c>
    </row>
    <row r="7" spans="1:8" ht="16.5" thickTop="1" thickBot="1" x14ac:dyDescent="0.3">
      <c r="A7" s="30"/>
      <c r="B7" s="45" t="s">
        <v>1452</v>
      </c>
      <c r="C7" s="189"/>
      <c r="D7" s="189"/>
      <c r="E7" s="189"/>
      <c r="F7" s="350"/>
      <c r="G7" s="351"/>
      <c r="H7" s="352"/>
    </row>
    <row r="8" spans="1:8" ht="15.75" thickTop="1" x14ac:dyDescent="0.25">
      <c r="A8" s="36" t="s">
        <v>340</v>
      </c>
      <c r="B8" s="36" t="s">
        <v>1506</v>
      </c>
      <c r="C8" s="91">
        <f>'Table 7'!C8/'Table 7'!$F8</f>
        <v>0.58158016970850468</v>
      </c>
      <c r="D8" s="91">
        <f>'Table 7'!D8/'Table 7'!$F8</f>
        <v>4.9133897517814863E-2</v>
      </c>
      <c r="E8" s="91">
        <f>'Table 7'!E8/'Table 7'!$F8</f>
        <v>0.36928593277368044</v>
      </c>
      <c r="F8" s="353">
        <f>'Table 7'!F8/'Table 1'!D8</f>
        <v>1.1099249311554567</v>
      </c>
      <c r="G8" s="111">
        <f>'Table 7'!K8/'Table 1'!D8</f>
        <v>0.1794359148465301</v>
      </c>
      <c r="H8" s="354">
        <f>'Table 7'!G8/('Table 1'!D8/1000)</f>
        <v>2.074767060243691</v>
      </c>
    </row>
    <row r="9" spans="1:8" x14ac:dyDescent="0.25">
      <c r="A9" s="36" t="s">
        <v>381</v>
      </c>
      <c r="B9" s="36" t="s">
        <v>1507</v>
      </c>
      <c r="C9" s="91">
        <f>'Table 7'!C9/'Table 7'!$F9</f>
        <v>0.52998123269598829</v>
      </c>
      <c r="D9" s="91">
        <f>'Table 7'!D9/'Table 7'!$F9</f>
        <v>6.927179144136611E-2</v>
      </c>
      <c r="E9" s="91">
        <f>'Table 7'!E9/'Table 7'!$F9</f>
        <v>0.40074697586264563</v>
      </c>
      <c r="F9" s="353">
        <f>'Table 7'!F9/'Table 1'!D9</f>
        <v>1.4057308536203112</v>
      </c>
      <c r="G9" s="111">
        <f>'Table 7'!K9/'Table 1'!D9</f>
        <v>0.70622192038449483</v>
      </c>
      <c r="H9" s="354">
        <f>'Table 7'!G9/('Table 1'!D9/1000)</f>
        <v>1.6717166440288371</v>
      </c>
    </row>
    <row r="10" spans="1:8" x14ac:dyDescent="0.25">
      <c r="A10" s="36" t="s">
        <v>442</v>
      </c>
      <c r="B10" s="36" t="s">
        <v>1508</v>
      </c>
      <c r="C10" s="91">
        <f>'Table 7'!C10/'Table 7'!$F10</f>
        <v>0.71508081867809448</v>
      </c>
      <c r="D10" s="91">
        <f>'Table 7'!D10/'Table 7'!$F10</f>
        <v>0</v>
      </c>
      <c r="E10" s="91">
        <f>'Table 7'!E10/'Table 7'!$F10</f>
        <v>0.28491918132190552</v>
      </c>
      <c r="F10" s="353">
        <f>'Table 7'!F10/'Table 1'!D10</f>
        <v>1.6222055557158104</v>
      </c>
      <c r="G10" s="111">
        <f>'Table 7'!K10/'Table 1'!D10</f>
        <v>0.77647330314131591</v>
      </c>
      <c r="H10" s="354">
        <f>'Table 7'!G10/('Table 1'!D10/1000)</f>
        <v>1.1249891827963192</v>
      </c>
    </row>
    <row r="11" spans="1:8" x14ac:dyDescent="0.25">
      <c r="A11" s="36" t="s">
        <v>470</v>
      </c>
      <c r="B11" s="36" t="s">
        <v>1509</v>
      </c>
      <c r="C11" s="91">
        <f>'Table 7'!C11/'Table 7'!$F11</f>
        <v>0.56100271352887965</v>
      </c>
      <c r="D11" s="91">
        <f>'Table 7'!D11/'Table 7'!$F11</f>
        <v>0.16156480165396045</v>
      </c>
      <c r="E11" s="91">
        <f>'Table 7'!E11/'Table 7'!$F11</f>
        <v>0.27743248481715982</v>
      </c>
      <c r="F11" s="353">
        <f>'Table 7'!F11/'Table 1'!D11</f>
        <v>1.2115851272015656</v>
      </c>
      <c r="G11" s="111">
        <f>'Table 7'!K11/'Table 1'!D11</f>
        <v>0.2309197651663405</v>
      </c>
      <c r="H11" s="354">
        <f>'Table 7'!G11/('Table 1'!D11/1000)</f>
        <v>1.0332681017612524</v>
      </c>
    </row>
    <row r="12" spans="1:8" x14ac:dyDescent="0.25">
      <c r="A12" s="36" t="s">
        <v>484</v>
      </c>
      <c r="B12" s="36" t="s">
        <v>1510</v>
      </c>
      <c r="C12" s="91">
        <f>'Table 7'!C12/'Table 7'!$F12</f>
        <v>0.59356366854474762</v>
      </c>
      <c r="D12" s="91">
        <f>'Table 7'!D12/'Table 7'!$F12</f>
        <v>5.137892785206008E-2</v>
      </c>
      <c r="E12" s="91">
        <f>'Table 7'!E12/'Table 7'!$F12</f>
        <v>0.35505740360319232</v>
      </c>
      <c r="F12" s="353">
        <f>'Table 7'!F12/'Table 1'!D12</f>
        <v>1.9327956781189291</v>
      </c>
      <c r="G12" s="111">
        <f>'Table 7'!K12/'Table 1'!D12</f>
        <v>0.23952617199291037</v>
      </c>
      <c r="H12" s="354">
        <f>'Table 7'!G12/('Table 1'!D12/1000)</f>
        <v>2.3761058179763626</v>
      </c>
    </row>
    <row r="13" spans="1:8" x14ac:dyDescent="0.25">
      <c r="A13" s="36" t="s">
        <v>497</v>
      </c>
      <c r="B13" s="36" t="s">
        <v>1511</v>
      </c>
      <c r="C13" s="91">
        <f>'Table 7'!C13/'Table 7'!$F13</f>
        <v>0.58801879470209728</v>
      </c>
      <c r="D13" s="91">
        <f>'Table 7'!D13/'Table 7'!$F13</f>
        <v>7.1247944851069514E-2</v>
      </c>
      <c r="E13" s="91">
        <f>'Table 7'!E13/'Table 7'!$F13</f>
        <v>0.34073326044683322</v>
      </c>
      <c r="F13" s="353">
        <f>'Table 7'!F13/'Table 1'!D13</f>
        <v>1.3350975520073094</v>
      </c>
      <c r="G13" s="111">
        <f>'Table 7'!K13/'Table 1'!D13</f>
        <v>0.56872096003209016</v>
      </c>
      <c r="H13" s="354">
        <f>'Table 7'!G13/('Table 1'!D13/1000)</f>
        <v>1.0028190357337849</v>
      </c>
    </row>
    <row r="14" spans="1:8" x14ac:dyDescent="0.25">
      <c r="A14" s="36" t="s">
        <v>509</v>
      </c>
      <c r="B14" s="36" t="s">
        <v>1512</v>
      </c>
      <c r="C14" s="91">
        <f>'Table 7'!C14/'Table 7'!$F14</f>
        <v>0.54074420295499992</v>
      </c>
      <c r="D14" s="91">
        <f>'Table 7'!D14/'Table 7'!$F14</f>
        <v>4.8588714912622365E-2</v>
      </c>
      <c r="E14" s="91">
        <f>'Table 7'!E14/'Table 7'!$F14</f>
        <v>0.41066708213237774</v>
      </c>
      <c r="F14" s="353">
        <f>'Table 7'!F14/'Table 1'!D14</f>
        <v>0.95959394606878201</v>
      </c>
      <c r="G14" s="111">
        <f>'Table 7'!K14/'Table 1'!D14</f>
        <v>0.15141306568724677</v>
      </c>
      <c r="H14" s="354">
        <f>'Table 7'!G14/('Table 1'!D14/1000)</f>
        <v>0.74752196468706233</v>
      </c>
    </row>
    <row r="15" spans="1:8" x14ac:dyDescent="0.25">
      <c r="A15" s="36" t="s">
        <v>521</v>
      </c>
      <c r="B15" s="36" t="s">
        <v>1513</v>
      </c>
      <c r="C15" s="91">
        <f>'Table 7'!C15/'Table 7'!$F15</f>
        <v>0.66291936904475934</v>
      </c>
      <c r="D15" s="91">
        <f>'Table 7'!D15/'Table 7'!$F15</f>
        <v>5.5328689246536951E-2</v>
      </c>
      <c r="E15" s="91">
        <f>'Table 7'!E15/'Table 7'!$F15</f>
        <v>0.28175194170870366</v>
      </c>
      <c r="F15" s="353">
        <f>'Table 7'!F15/'Table 1'!D15</f>
        <v>1.5088435702894698</v>
      </c>
      <c r="G15" s="111">
        <f>'Table 7'!K15/'Table 1'!D15</f>
        <v>0.73724206253322377</v>
      </c>
      <c r="H15" s="354">
        <f>'Table 7'!G15/('Table 1'!D15/1000)</f>
        <v>2.476682936258638</v>
      </c>
    </row>
    <row r="16" spans="1:8" x14ac:dyDescent="0.25">
      <c r="A16" s="36" t="s">
        <v>531</v>
      </c>
      <c r="B16" s="36" t="s">
        <v>1514</v>
      </c>
      <c r="C16" s="91">
        <f>'Table 7'!C16/'Table 7'!$F16</f>
        <v>0.59277825644239057</v>
      </c>
      <c r="D16" s="91">
        <f>'Table 7'!D16/'Table 7'!$F16</f>
        <v>5.0285893318712305E-2</v>
      </c>
      <c r="E16" s="91">
        <f>'Table 7'!E16/'Table 7'!$F16</f>
        <v>0.35693585023889718</v>
      </c>
      <c r="F16" s="353">
        <f>'Table 7'!F16/'Table 1'!D16</f>
        <v>1.616826375110811</v>
      </c>
      <c r="G16" s="111">
        <f>'Table 7'!K16/'Table 1'!D16</f>
        <v>2.1327198277681623</v>
      </c>
      <c r="H16" s="354">
        <f>'Table 7'!G16/('Table 1'!D16/1000)</f>
        <v>1.30862425598379</v>
      </c>
    </row>
    <row r="17" spans="1:8" x14ac:dyDescent="0.25">
      <c r="A17" s="36" t="s">
        <v>544</v>
      </c>
      <c r="B17" s="36" t="s">
        <v>1515</v>
      </c>
      <c r="C17" s="91">
        <f>'Table 7'!C17/'Table 7'!$F17</f>
        <v>0.52558972749620791</v>
      </c>
      <c r="D17" s="91">
        <f>'Table 7'!D17/'Table 7'!$F17</f>
        <v>7.3650557037501965E-2</v>
      </c>
      <c r="E17" s="91">
        <f>'Table 7'!E17/'Table 7'!$F17</f>
        <v>0.40075971546629008</v>
      </c>
      <c r="F17" s="353">
        <f>'Table 7'!F17/'Table 1'!D17</f>
        <v>1.3173252489061908</v>
      </c>
      <c r="G17" s="111">
        <f>'Table 7'!K17/'Table 1'!D17</f>
        <v>0.52574327350397909</v>
      </c>
      <c r="H17" s="354">
        <f>'Table 7'!G17/('Table 1'!D17/1000)</f>
        <v>2.3857098563406485</v>
      </c>
    </row>
    <row r="18" spans="1:8" x14ac:dyDescent="0.25">
      <c r="A18" s="36" t="s">
        <v>590</v>
      </c>
      <c r="B18" s="36" t="s">
        <v>1516</v>
      </c>
      <c r="C18" s="91">
        <f>'Table 7'!C18/'Table 7'!$F18</f>
        <v>0.59884188685636852</v>
      </c>
      <c r="D18" s="91">
        <f>'Table 7'!D18/'Table 7'!$F18</f>
        <v>6.754954268292683E-2</v>
      </c>
      <c r="E18" s="91">
        <f>'Table 7'!E18/'Table 7'!$F18</f>
        <v>0.33360857046070463</v>
      </c>
      <c r="F18" s="353">
        <f>'Table 7'!F18/'Table 1'!D18</f>
        <v>1.2889774308872091</v>
      </c>
      <c r="G18" s="111">
        <f>'Table 7'!K18/'Table 1'!D18</f>
        <v>0.68939497311901321</v>
      </c>
      <c r="H18" s="354">
        <f>'Table 7'!G18/('Table 1'!D18/1000)</f>
        <v>2.4834211172665994</v>
      </c>
    </row>
    <row r="19" spans="1:8" x14ac:dyDescent="0.25">
      <c r="A19" s="36" t="s">
        <v>604</v>
      </c>
      <c r="B19" s="36" t="s">
        <v>1517</v>
      </c>
      <c r="C19" s="91">
        <f>'Table 7'!C19/'Table 7'!$F19</f>
        <v>0.59117759510609824</v>
      </c>
      <c r="D19" s="91">
        <f>'Table 7'!D19/'Table 7'!$F19</f>
        <v>3.4419805008602561E-2</v>
      </c>
      <c r="E19" s="91">
        <f>'Table 7'!E19/'Table 7'!$F19</f>
        <v>0.37440259988529917</v>
      </c>
      <c r="F19" s="353">
        <f>'Table 7'!F19/'Table 1'!D19</f>
        <v>1.1807993137774968</v>
      </c>
      <c r="G19" s="111">
        <f>'Table 7'!K19/'Table 1'!D19</f>
        <v>0.57021929775058977</v>
      </c>
      <c r="H19" s="354">
        <f>'Table 7'!G19/('Table 1'!D19/1000)</f>
        <v>1.0270764438324624</v>
      </c>
    </row>
    <row r="20" spans="1:8" x14ac:dyDescent="0.25">
      <c r="A20" s="36" t="s">
        <v>617</v>
      </c>
      <c r="B20" s="36" t="s">
        <v>1518</v>
      </c>
      <c r="C20" s="91">
        <f>'Table 7'!C20/'Table 7'!$F20</f>
        <v>0.68941225704454567</v>
      </c>
      <c r="D20" s="91">
        <f>'Table 7'!D20/'Table 7'!$F20</f>
        <v>0</v>
      </c>
      <c r="E20" s="91">
        <f>'Table 7'!E20/'Table 7'!$F20</f>
        <v>0.31058774295545427</v>
      </c>
      <c r="F20" s="353">
        <f>'Table 7'!F20/'Table 1'!D20</f>
        <v>3.00877898639432</v>
      </c>
      <c r="G20" s="111">
        <f>'Table 7'!K20/'Table 1'!D20</f>
        <v>0.88354727011996781</v>
      </c>
      <c r="H20" s="354">
        <f>'Table 7'!G20/('Table 1'!D20/1000)</f>
        <v>6.1382952677415972</v>
      </c>
    </row>
    <row r="21" spans="1:8" x14ac:dyDescent="0.25">
      <c r="A21" s="36" t="s">
        <v>645</v>
      </c>
      <c r="B21" s="36" t="s">
        <v>1519</v>
      </c>
      <c r="C21" s="91">
        <f>'Table 7'!C21/'Table 7'!$F21</f>
        <v>0.52228700036239029</v>
      </c>
      <c r="D21" s="91">
        <f>'Table 7'!D21/'Table 7'!$F21</f>
        <v>7.4624841321813143E-2</v>
      </c>
      <c r="E21" s="91">
        <f>'Table 7'!E21/'Table 7'!$F21</f>
        <v>0.40308815831579659</v>
      </c>
      <c r="F21" s="353">
        <f>'Table 7'!F21/'Table 1'!D21</f>
        <v>1.4306630202774813</v>
      </c>
      <c r="G21" s="111">
        <f>'Table 7'!K21/'Table 1'!D21</f>
        <v>0.18523515571941399</v>
      </c>
      <c r="H21" s="354">
        <f>'Table 7'!G21/('Table 1'!D21/1000)</f>
        <v>2.1223440380324052</v>
      </c>
    </row>
    <row r="22" spans="1:8" x14ac:dyDescent="0.25">
      <c r="A22" s="36" t="s">
        <v>658</v>
      </c>
      <c r="B22" s="36" t="s">
        <v>1520</v>
      </c>
      <c r="C22" s="91">
        <f>'Table 7'!C22/'Table 7'!$F22</f>
        <v>0.66670962669880074</v>
      </c>
      <c r="D22" s="91">
        <f>'Table 7'!D22/'Table 7'!$F22</f>
        <v>6.4591482314428766E-2</v>
      </c>
      <c r="E22" s="91">
        <f>'Table 7'!E22/'Table 7'!$F22</f>
        <v>0.26869889098677047</v>
      </c>
      <c r="F22" s="353">
        <f>'Table 7'!F22/'Table 1'!D22</f>
        <v>1.9382369104716226</v>
      </c>
      <c r="G22" s="111">
        <f>'Table 7'!K22/'Table 1'!D22</f>
        <v>0.38543540167865709</v>
      </c>
      <c r="H22" s="354">
        <f>'Table 7'!G22/('Table 1'!D22/1000)</f>
        <v>10.104416466826539</v>
      </c>
    </row>
    <row r="23" spans="1:8" x14ac:dyDescent="0.25">
      <c r="A23" s="36" t="s">
        <v>674</v>
      </c>
      <c r="B23" s="36" t="s">
        <v>1521</v>
      </c>
      <c r="C23" s="91">
        <f>'Table 7'!C23/'Table 7'!$F23</f>
        <v>0.5916810573406035</v>
      </c>
      <c r="D23" s="91">
        <f>'Table 7'!D23/'Table 7'!$F23</f>
        <v>4.6625783555199002E-2</v>
      </c>
      <c r="E23" s="91">
        <f>'Table 7'!E23/'Table 7'!$F23</f>
        <v>0.36169315910419753</v>
      </c>
      <c r="F23" s="353">
        <f>'Table 7'!F23/'Table 1'!D23</f>
        <v>1.742270972021511</v>
      </c>
      <c r="G23" s="111">
        <f>'Table 7'!K23/'Table 1'!D23</f>
        <v>1.2035488379806212</v>
      </c>
      <c r="H23" s="354">
        <f>'Table 7'!G23/('Table 1'!D23/1000)</f>
        <v>1.8952405771007559</v>
      </c>
    </row>
    <row r="24" spans="1:8" x14ac:dyDescent="0.25">
      <c r="A24" s="36" t="s">
        <v>686</v>
      </c>
      <c r="B24" s="36" t="s">
        <v>1522</v>
      </c>
      <c r="C24" s="91">
        <f>'Table 7'!C24/'Table 7'!$F24</f>
        <v>0.5874391608755628</v>
      </c>
      <c r="D24" s="91">
        <f>'Table 7'!D24/'Table 7'!$F24</f>
        <v>9.9164519403451244E-3</v>
      </c>
      <c r="E24" s="91">
        <f>'Table 7'!E24/'Table 7'!$F24</f>
        <v>0.40264438718409201</v>
      </c>
      <c r="F24" s="353">
        <f>'Table 7'!F24/'Table 1'!D24</f>
        <v>1.2893602026947666</v>
      </c>
      <c r="G24" s="111">
        <f>'Table 7'!K24/'Table 1'!D24</f>
        <v>0.8477440139604342</v>
      </c>
      <c r="H24" s="354">
        <f>'Table 7'!G24/('Table 1'!D24/1000)</f>
        <v>0.75507156400489961</v>
      </c>
    </row>
    <row r="25" spans="1:8" x14ac:dyDescent="0.25">
      <c r="A25" s="36" t="s">
        <v>699</v>
      </c>
      <c r="B25" s="36" t="s">
        <v>1523</v>
      </c>
      <c r="C25" s="91">
        <f>'Table 7'!C25/'Table 7'!$F25</f>
        <v>0.56640024806892975</v>
      </c>
      <c r="D25" s="91">
        <f>'Table 7'!D25/'Table 7'!$F25</f>
        <v>4.6316071870307333E-2</v>
      </c>
      <c r="E25" s="91">
        <f>'Table 7'!E25/'Table 7'!$F25</f>
        <v>0.38728368006076297</v>
      </c>
      <c r="F25" s="353">
        <f>'Table 7'!F25/'Table 1'!D25</f>
        <v>1.9239643383831613</v>
      </c>
      <c r="G25" s="111">
        <f>'Table 7'!K25/'Table 1'!D25</f>
        <v>0.13056374849175492</v>
      </c>
      <c r="H25" s="354">
        <f>'Table 7'!G25/('Table 1'!D25/1000)</f>
        <v>1.6423113017830808</v>
      </c>
    </row>
    <row r="26" spans="1:8" x14ac:dyDescent="0.25">
      <c r="A26" s="36" t="s">
        <v>729</v>
      </c>
      <c r="B26" s="36" t="s">
        <v>1524</v>
      </c>
      <c r="C26" s="91">
        <f>'Table 7'!C26/'Table 7'!$F26</f>
        <v>0.67631983598154788</v>
      </c>
      <c r="D26" s="91">
        <f>'Table 7'!D26/'Table 7'!$F26</f>
        <v>2.1574880877802457E-2</v>
      </c>
      <c r="E26" s="91">
        <f>'Table 7'!E26/'Table 7'!$F26</f>
        <v>0.30210528314064961</v>
      </c>
      <c r="F26" s="353">
        <f>'Table 7'!F26/'Table 1'!D26</f>
        <v>1.9691600314006954</v>
      </c>
      <c r="G26" s="111">
        <f>'Table 7'!K26/'Table 1'!D26</f>
        <v>0.50252327015812492</v>
      </c>
      <c r="H26" s="354">
        <f>'Table 7'!G26/('Table 1'!D26/1000)</f>
        <v>1.8503981159582819</v>
      </c>
    </row>
    <row r="27" spans="1:8" x14ac:dyDescent="0.25">
      <c r="A27" s="36" t="s">
        <v>774</v>
      </c>
      <c r="B27" s="36" t="s">
        <v>1525</v>
      </c>
      <c r="C27" s="91">
        <f>'Table 7'!C27/'Table 7'!$F27</f>
        <v>0.61521229259165133</v>
      </c>
      <c r="D27" s="91">
        <f>'Table 7'!D27/'Table 7'!$F27</f>
        <v>3.2264330215295164E-2</v>
      </c>
      <c r="E27" s="91">
        <f>'Table 7'!E27/'Table 7'!$F27</f>
        <v>0.35252337719305343</v>
      </c>
      <c r="F27" s="353">
        <f>'Table 7'!F27/'Table 1'!D27</f>
        <v>1.6737503149442041</v>
      </c>
      <c r="G27" s="111">
        <f>'Table 7'!K27/'Table 1'!D27</f>
        <v>0.26909374635951594</v>
      </c>
      <c r="H27" s="354">
        <f>'Table 7'!G27/('Table 1'!D27/1000)</f>
        <v>4.1396537103813733</v>
      </c>
    </row>
    <row r="28" spans="1:8" x14ac:dyDescent="0.25">
      <c r="A28" s="36" t="s">
        <v>788</v>
      </c>
      <c r="B28" s="36" t="s">
        <v>1526</v>
      </c>
      <c r="C28" s="91">
        <f>'Table 7'!C28/'Table 7'!$F28</f>
        <v>0.60230327468230693</v>
      </c>
      <c r="D28" s="91">
        <f>'Table 7'!D28/'Table 7'!$F28</f>
        <v>3.4742587161942E-2</v>
      </c>
      <c r="E28" s="91">
        <f>'Table 7'!E28/'Table 7'!$F28</f>
        <v>0.36295413815575106</v>
      </c>
      <c r="F28" s="353">
        <f>'Table 7'!F28/'Table 1'!D28</f>
        <v>1.500618840247536</v>
      </c>
      <c r="G28" s="111">
        <f>'Table 7'!K28/'Table 1'!D28</f>
        <v>0.77199174879669952</v>
      </c>
      <c r="H28" s="354">
        <f>'Table 7'!G28/('Table 1'!D28/1000)</f>
        <v>1.6349606539842618</v>
      </c>
    </row>
    <row r="29" spans="1:8" x14ac:dyDescent="0.25">
      <c r="A29" s="36" t="s">
        <v>802</v>
      </c>
      <c r="B29" s="36" t="s">
        <v>817</v>
      </c>
      <c r="C29" s="91">
        <f>'Table 7'!C29/'Table 7'!$F29</f>
        <v>0.62693212914268981</v>
      </c>
      <c r="D29" s="91">
        <f>'Table 7'!D29/'Table 7'!$F29</f>
        <v>4.6767491357079312E-2</v>
      </c>
      <c r="E29" s="91">
        <f>'Table 7'!E29/'Table 7'!$F29</f>
        <v>0.32630037950023083</v>
      </c>
      <c r="F29" s="353">
        <f>'Table 7'!F29/'Table 1'!D29</f>
        <v>2.070793282123752</v>
      </c>
      <c r="G29" s="111">
        <f>'Table 7'!K29/'Table 1'!D29</f>
        <v>0.28776240246626839</v>
      </c>
      <c r="H29" s="354">
        <f>'Table 7'!G29/('Table 1'!D29/1000)</f>
        <v>1.2872353821829832</v>
      </c>
    </row>
    <row r="30" spans="1:8" x14ac:dyDescent="0.25">
      <c r="A30" s="36" t="s">
        <v>828</v>
      </c>
      <c r="B30" s="36" t="s">
        <v>1527</v>
      </c>
      <c r="C30" s="91">
        <f>'Table 7'!C30/'Table 7'!$F30</f>
        <v>0.64227619196320851</v>
      </c>
      <c r="D30" s="91">
        <f>'Table 7'!D30/'Table 7'!$F30</f>
        <v>7.0580971171452497E-2</v>
      </c>
      <c r="E30" s="91">
        <f>'Table 7'!E30/'Table 7'!$F30</f>
        <v>0.28714283686533904</v>
      </c>
      <c r="F30" s="353">
        <f>'Table 7'!F30/'Table 1'!D30</f>
        <v>2.3707704473945452</v>
      </c>
      <c r="G30" s="111">
        <f>'Table 7'!K30/'Table 1'!D30</f>
        <v>0.85008328706274294</v>
      </c>
      <c r="H30" s="354">
        <f>'Table 7'!G30/('Table 1'!D30/1000)</f>
        <v>2.8940151094509785</v>
      </c>
    </row>
    <row r="31" spans="1:8" x14ac:dyDescent="0.25">
      <c r="A31" s="36" t="s">
        <v>842</v>
      </c>
      <c r="B31" s="36" t="s">
        <v>1528</v>
      </c>
      <c r="C31" s="91">
        <f>'Table 7'!C31/'Table 7'!$F31</f>
        <v>0.55608992069631757</v>
      </c>
      <c r="D31" s="91">
        <f>'Table 7'!D31/'Table 7'!$F31</f>
        <v>5.7061686146435524E-2</v>
      </c>
      <c r="E31" s="91">
        <f>'Table 7'!E31/'Table 7'!$F31</f>
        <v>0.38684839315724689</v>
      </c>
      <c r="F31" s="353">
        <f>'Table 7'!F31/'Table 1'!D31</f>
        <v>1.2614725648741936</v>
      </c>
      <c r="G31" s="111">
        <f>'Table 7'!K31/'Table 1'!D31</f>
        <v>0.23738570700612446</v>
      </c>
      <c r="H31" s="354">
        <f>'Table 7'!G31/('Table 1'!D31/1000)</f>
        <v>1.6512994067821054</v>
      </c>
    </row>
    <row r="32" spans="1:8" x14ac:dyDescent="0.25">
      <c r="A32" s="36" t="s">
        <v>857</v>
      </c>
      <c r="B32" s="36" t="s">
        <v>1529</v>
      </c>
      <c r="C32" s="91">
        <f>'Table 7'!C32/'Table 7'!$F32</f>
        <v>0.716887771205164</v>
      </c>
      <c r="D32" s="91">
        <f>'Table 7'!D32/'Table 7'!$F32</f>
        <v>6.1189790162799462E-3</v>
      </c>
      <c r="E32" s="91">
        <f>'Table 7'!E32/'Table 7'!$F32</f>
        <v>0.27699324977855611</v>
      </c>
      <c r="F32" s="353">
        <f>'Table 7'!F32/'Table 1'!D32</f>
        <v>2.6503413475808846</v>
      </c>
      <c r="G32" s="111">
        <f>'Table 7'!K32/'Table 1'!D32</f>
        <v>0.72114735961574783</v>
      </c>
      <c r="H32" s="354">
        <f>'Table 7'!G32/('Table 1'!D32/1000)</f>
        <v>0.40475997733344132</v>
      </c>
    </row>
    <row r="33" spans="1:8" x14ac:dyDescent="0.25">
      <c r="A33" s="36" t="s">
        <v>871</v>
      </c>
      <c r="B33" s="36" t="s">
        <v>1530</v>
      </c>
      <c r="C33" s="91">
        <f>'Table 7'!C33/'Table 7'!$F33</f>
        <v>0.52209133956873943</v>
      </c>
      <c r="D33" s="91">
        <f>'Table 7'!D33/'Table 7'!$F33</f>
        <v>2.8679886622202593E-2</v>
      </c>
      <c r="E33" s="91">
        <f>'Table 7'!E33/'Table 7'!$F33</f>
        <v>0.4492287738090579</v>
      </c>
      <c r="F33" s="353">
        <f>'Table 7'!F33/'Table 1'!D33</f>
        <v>1.3889333219446667</v>
      </c>
      <c r="G33" s="111">
        <f>'Table 7'!K33/'Table 1'!D33</f>
        <v>0.39318077696590387</v>
      </c>
      <c r="H33" s="354">
        <f>'Table 7'!G33/('Table 1'!D33/1000)</f>
        <v>0.83862000419310012</v>
      </c>
    </row>
    <row r="34" spans="1:8" x14ac:dyDescent="0.25">
      <c r="A34" s="36" t="s">
        <v>893</v>
      </c>
      <c r="B34" s="36" t="s">
        <v>1531</v>
      </c>
      <c r="C34" s="91">
        <f>'Table 7'!C34/'Table 7'!$F34</f>
        <v>0.68842734566180341</v>
      </c>
      <c r="D34" s="91">
        <f>'Table 7'!D34/'Table 7'!$F34</f>
        <v>3.528947123873246E-2</v>
      </c>
      <c r="E34" s="91">
        <f>'Table 7'!E34/'Table 7'!$F34</f>
        <v>0.27628318309946409</v>
      </c>
      <c r="F34" s="353">
        <f>'Table 7'!F34/'Table 1'!D34</f>
        <v>2.0904955399783072</v>
      </c>
      <c r="G34" s="111">
        <f>'Table 7'!K34/'Table 1'!D34</f>
        <v>0.99035145942270641</v>
      </c>
      <c r="H34" s="354">
        <f>'Table 7'!G34/('Table 1'!D34/1000)</f>
        <v>3.9176960062165094</v>
      </c>
    </row>
    <row r="35" spans="1:8" x14ac:dyDescent="0.25">
      <c r="A35" s="36" t="s">
        <v>905</v>
      </c>
      <c r="B35" s="36" t="s">
        <v>1532</v>
      </c>
      <c r="C35" s="91">
        <f>'Table 7'!C35/'Table 7'!$F35</f>
        <v>0.63963372660764883</v>
      </c>
      <c r="D35" s="91">
        <f>'Table 7'!D35/'Table 7'!$F35</f>
        <v>5.6317735764483651E-2</v>
      </c>
      <c r="E35" s="91">
        <f>'Table 7'!E35/'Table 7'!$F35</f>
        <v>0.30404853762786749</v>
      </c>
      <c r="F35" s="353">
        <f>'Table 7'!F35/'Table 1'!D35</f>
        <v>2.1844472614416226</v>
      </c>
      <c r="G35" s="111">
        <f>'Table 7'!K35/'Table 1'!D35</f>
        <v>0.54902303623726889</v>
      </c>
      <c r="H35" s="354">
        <f>'Table 7'!G35/('Table 1'!D35/1000)</f>
        <v>2.7625999912575949</v>
      </c>
    </row>
    <row r="36" spans="1:8" x14ac:dyDescent="0.25">
      <c r="A36" s="36" t="s">
        <v>957</v>
      </c>
      <c r="B36" s="36" t="s">
        <v>1533</v>
      </c>
      <c r="C36" s="91">
        <f>'Table 7'!C36/'Table 7'!$F36</f>
        <v>0.63614286932672581</v>
      </c>
      <c r="D36" s="91">
        <f>'Table 7'!D36/'Table 7'!$F36</f>
        <v>5.9193722870852915E-2</v>
      </c>
      <c r="E36" s="91">
        <f>'Table 7'!E36/'Table 7'!$F36</f>
        <v>0.30466340780242124</v>
      </c>
      <c r="F36" s="353">
        <f>'Table 7'!F36/'Table 1'!D36</f>
        <v>1.6585171564065722</v>
      </c>
      <c r="G36" s="111">
        <f>'Table 7'!K36/'Table 1'!D36</f>
        <v>0.24943606083842679</v>
      </c>
      <c r="H36" s="354">
        <f>'Table 7'!G36/('Table 1'!D36/1000)</f>
        <v>0.67747146802855795</v>
      </c>
    </row>
    <row r="37" spans="1:8" x14ac:dyDescent="0.25">
      <c r="A37" s="36" t="s">
        <v>1198</v>
      </c>
      <c r="B37" s="36" t="s">
        <v>950</v>
      </c>
      <c r="C37" s="91">
        <f>'Table 7'!C37/'Table 7'!$F37</f>
        <v>0.61457423947350753</v>
      </c>
      <c r="D37" s="91">
        <f>'Table 7'!D37/'Table 7'!$F37</f>
        <v>4.6924316701363239E-2</v>
      </c>
      <c r="E37" s="91">
        <f>'Table 7'!E37/'Table 7'!$F37</f>
        <v>0.33850144382512926</v>
      </c>
      <c r="F37" s="353">
        <f>'Table 7'!F37/'Table 1'!D37</f>
        <v>1.4012338781295395</v>
      </c>
      <c r="G37" s="111">
        <f>'Table 7'!K37/'Table 1'!D37</f>
        <v>0.16056294954508832</v>
      </c>
      <c r="H37" s="354">
        <f>'Table 7'!G37/('Table 1'!D37/1000)</f>
        <v>0.38227873412808105</v>
      </c>
    </row>
    <row r="38" spans="1:8" x14ac:dyDescent="0.25">
      <c r="A38" s="36" t="s">
        <v>981</v>
      </c>
      <c r="B38" s="36" t="s">
        <v>1534</v>
      </c>
      <c r="C38" s="91">
        <f>'Table 7'!C38/'Table 7'!$F38</f>
        <v>0.65303934950635167</v>
      </c>
      <c r="D38" s="91">
        <f>'Table 7'!D38/'Table 7'!$F38</f>
        <v>1.2460537444417462E-2</v>
      </c>
      <c r="E38" s="91">
        <f>'Table 7'!E38/'Table 7'!$F38</f>
        <v>0.33450011304923083</v>
      </c>
      <c r="F38" s="353">
        <f>'Table 7'!F38/'Table 1'!D38</f>
        <v>2.0156809128350552</v>
      </c>
      <c r="G38" s="111">
        <f>'Table 7'!K38/'Table 1'!D38</f>
        <v>0.85709945310917557</v>
      </c>
      <c r="H38" s="354">
        <f>'Table 7'!G38/('Table 1'!D38/1000)</f>
        <v>1.6035379110120855</v>
      </c>
    </row>
    <row r="39" spans="1:8" x14ac:dyDescent="0.25">
      <c r="A39" s="36" t="s">
        <v>992</v>
      </c>
      <c r="B39" s="36" t="s">
        <v>1535</v>
      </c>
      <c r="C39" s="91">
        <f>'Table 7'!C39/'Table 7'!$F39</f>
        <v>0.60337387210670856</v>
      </c>
      <c r="D39" s="91">
        <f>'Table 7'!D39/'Table 7'!$F39</f>
        <v>3.7073362102785404E-2</v>
      </c>
      <c r="E39" s="91">
        <f>'Table 7'!E39/'Table 7'!$F39</f>
        <v>0.3595527657905061</v>
      </c>
      <c r="F39" s="353">
        <f>'Table 7'!F39/'Table 1'!D39</f>
        <v>1.6779344897785038</v>
      </c>
      <c r="G39" s="111">
        <f>'Table 7'!K39/'Table 1'!D39</f>
        <v>0.78379432667341187</v>
      </c>
      <c r="H39" s="354">
        <f>'Table 7'!G39/('Table 1'!D39/1000)</f>
        <v>2.0479563102653811</v>
      </c>
    </row>
    <row r="40" spans="1:8" x14ac:dyDescent="0.25">
      <c r="A40" s="36" t="s">
        <v>1009</v>
      </c>
      <c r="B40" s="36" t="s">
        <v>1536</v>
      </c>
      <c r="C40" s="91">
        <f>'Table 7'!C40/'Table 7'!$F40</f>
        <v>0.67672555870525408</v>
      </c>
      <c r="D40" s="91">
        <f>'Table 7'!D40/'Table 7'!$F40</f>
        <v>3.9883973894126179E-2</v>
      </c>
      <c r="E40" s="91">
        <f>'Table 7'!E40/'Table 7'!$F40</f>
        <v>0.28339046740061968</v>
      </c>
      <c r="F40" s="353">
        <f>'Table 7'!F40/'Table 1'!D40</f>
        <v>2.7606351517357477</v>
      </c>
      <c r="G40" s="111">
        <f>'Table 7'!K40/'Table 1'!D40</f>
        <v>2.3016970744801855</v>
      </c>
      <c r="H40" s="354">
        <f>'Table 7'!G40/('Table 1'!D40/1000)</f>
        <v>4.8227853860503211</v>
      </c>
    </row>
    <row r="41" spans="1:8" x14ac:dyDescent="0.25">
      <c r="A41" s="36" t="s">
        <v>1021</v>
      </c>
      <c r="B41" s="36" t="s">
        <v>1537</v>
      </c>
      <c r="C41" s="91">
        <f>'Table 7'!C41/'Table 7'!$F41</f>
        <v>0.70107378670994425</v>
      </c>
      <c r="D41" s="91">
        <f>'Table 7'!D41/'Table 7'!$F41</f>
        <v>4.3329405749094059E-2</v>
      </c>
      <c r="E41" s="91">
        <f>'Table 7'!E41/'Table 7'!$F41</f>
        <v>0.25559680754096176</v>
      </c>
      <c r="F41" s="353">
        <f>'Table 7'!F41/'Table 1'!D41</f>
        <v>1.9767523621182157</v>
      </c>
      <c r="G41" s="111">
        <f>'Table 7'!K41/'Table 1'!D41</f>
        <v>1.1101516150296638</v>
      </c>
      <c r="H41" s="354">
        <f>'Table 7'!G41/('Table 1'!D41/1000)</f>
        <v>1.9995605361459021</v>
      </c>
    </row>
    <row r="42" spans="1:8" x14ac:dyDescent="0.25">
      <c r="A42" s="36" t="s">
        <v>574</v>
      </c>
      <c r="B42" s="36" t="s">
        <v>1538</v>
      </c>
      <c r="C42" s="91">
        <f>'Table 7'!C42/'Table 7'!$F42</f>
        <v>0.52722191304850108</v>
      </c>
      <c r="D42" s="91">
        <f>'Table 7'!D42/'Table 7'!$F42</f>
        <v>7.5228075787920901E-2</v>
      </c>
      <c r="E42" s="91">
        <f>'Table 7'!E42/'Table 7'!$F42</f>
        <v>0.39755001116357808</v>
      </c>
      <c r="F42" s="353">
        <f>'Table 7'!F42/'Table 1'!D42</f>
        <v>0.85449506191002755</v>
      </c>
      <c r="G42" s="111">
        <f>'Table 7'!K42/'Table 1'!D42</f>
        <v>5.1978795400291398E-2</v>
      </c>
      <c r="H42" s="354">
        <f>'Table 7'!G42/('Table 1'!D42/1000)</f>
        <v>1.7702138968909726</v>
      </c>
    </row>
    <row r="43" spans="1:8" x14ac:dyDescent="0.25">
      <c r="A43" s="36" t="s">
        <v>455</v>
      </c>
      <c r="B43" s="36" t="s">
        <v>1539</v>
      </c>
      <c r="C43" s="91">
        <f>'Table 7'!C43/'Table 7'!$F43</f>
        <v>0.49142536429209888</v>
      </c>
      <c r="D43" s="91">
        <f>'Table 7'!D43/'Table 7'!$F43</f>
        <v>5.6000166295965242E-2</v>
      </c>
      <c r="E43" s="91">
        <f>'Table 7'!E43/'Table 7'!$F43</f>
        <v>0.45257446941193591</v>
      </c>
      <c r="F43" s="353">
        <f>'Table 7'!F43/'Table 1'!D43</f>
        <v>1.0787532234555444</v>
      </c>
      <c r="G43" s="111">
        <f>'Table 7'!K43/'Table 1'!D43</f>
        <v>0.56646485031954252</v>
      </c>
      <c r="H43" s="354">
        <f>'Table 7'!G43/('Table 1'!D43/1000)</f>
        <v>1.1884740441753561</v>
      </c>
    </row>
    <row r="44" spans="1:8" x14ac:dyDescent="0.25">
      <c r="A44" s="36" t="s">
        <v>1078</v>
      </c>
      <c r="B44" s="36" t="s">
        <v>1540</v>
      </c>
      <c r="C44" s="91">
        <f>'Table 7'!C44/'Table 7'!$F44</f>
        <v>0.64814016232114824</v>
      </c>
      <c r="D44" s="91">
        <f>'Table 7'!D44/'Table 7'!$F44</f>
        <v>3.5856056082620137E-2</v>
      </c>
      <c r="E44" s="91">
        <f>'Table 7'!E44/'Table 7'!$F44</f>
        <v>0.31600378159623166</v>
      </c>
      <c r="F44" s="353">
        <f>'Table 7'!F44/'Table 1'!D44</f>
        <v>1.6177954277127831</v>
      </c>
      <c r="G44" s="111">
        <f>'Table 7'!K44/'Table 1'!D44</f>
        <v>0.29118815069228293</v>
      </c>
      <c r="H44" s="354">
        <f>'Table 7'!G44/('Table 1'!D44/1000)</f>
        <v>1.9990340238274122</v>
      </c>
    </row>
    <row r="45" spans="1:8" x14ac:dyDescent="0.25">
      <c r="A45" s="36" t="s">
        <v>1108</v>
      </c>
      <c r="B45" s="36" t="s">
        <v>1541</v>
      </c>
      <c r="C45" s="91">
        <f>'Table 7'!C45/'Table 7'!$F45</f>
        <v>0.56471767761928637</v>
      </c>
      <c r="D45" s="91">
        <f>'Table 7'!D45/'Table 7'!$F45</f>
        <v>6.8632365674702642E-2</v>
      </c>
      <c r="E45" s="91">
        <f>'Table 7'!E45/'Table 7'!$F45</f>
        <v>0.36664995670601103</v>
      </c>
      <c r="F45" s="353">
        <f>'Table 7'!F45/'Table 1'!D45</f>
        <v>0.56579205214682793</v>
      </c>
      <c r="G45" s="111">
        <f>'Table 7'!K45/'Table 1'!D45</f>
        <v>0.31870313644192788</v>
      </c>
      <c r="H45" s="354">
        <f>'Table 7'!G45/('Table 1'!D45/1000)</f>
        <v>0.39708324308714177</v>
      </c>
    </row>
    <row r="46" spans="1:8" x14ac:dyDescent="0.25">
      <c r="A46" s="36" t="s">
        <v>1117</v>
      </c>
      <c r="B46" s="36" t="s">
        <v>1131</v>
      </c>
      <c r="C46" s="91">
        <f>'Table 7'!C46/'Table 7'!$F46</f>
        <v>0.51499368843741611</v>
      </c>
      <c r="D46" s="91">
        <f>'Table 7'!D46/'Table 7'!$F46</f>
        <v>5.5134232523929273E-2</v>
      </c>
      <c r="E46" s="91">
        <f>'Table 7'!E46/'Table 7'!$F46</f>
        <v>0.4298720790386546</v>
      </c>
      <c r="F46" s="353">
        <f>'Table 7'!F46/'Table 1'!D46</f>
        <v>1.1954349401741899</v>
      </c>
      <c r="G46" s="111">
        <f>'Table 7'!K46/'Table 1'!D46</f>
        <v>0.33995556136452754</v>
      </c>
      <c r="H46" s="354">
        <f>'Table 7'!G46/('Table 1'!D46/1000)</f>
        <v>2.4120435831323297</v>
      </c>
    </row>
    <row r="47" spans="1:8" x14ac:dyDescent="0.25">
      <c r="A47" s="36" t="s">
        <v>1133</v>
      </c>
      <c r="B47" s="36" t="s">
        <v>1542</v>
      </c>
      <c r="C47" s="91">
        <f>'Table 7'!C47/'Table 7'!$F47</f>
        <v>0.62757922949262945</v>
      </c>
      <c r="D47" s="91">
        <f>'Table 7'!D47/'Table 7'!$F47</f>
        <v>2.9774847132118674E-2</v>
      </c>
      <c r="E47" s="91">
        <f>'Table 7'!E47/'Table 7'!$F47</f>
        <v>0.34264592337525185</v>
      </c>
      <c r="F47" s="353">
        <f>'Table 7'!F47/'Table 1'!D47</f>
        <v>1.8950705528179081</v>
      </c>
      <c r="G47" s="111">
        <f>'Table 7'!K47/'Table 1'!D47</f>
        <v>0.84989656738256614</v>
      </c>
      <c r="H47" s="354">
        <f>'Table 7'!G47/('Table 1'!D47/1000)</f>
        <v>2.0686523486772397</v>
      </c>
    </row>
    <row r="48" spans="1:8" x14ac:dyDescent="0.25">
      <c r="A48" s="36" t="s">
        <v>1159</v>
      </c>
      <c r="B48" s="36" t="s">
        <v>1543</v>
      </c>
      <c r="C48" s="91">
        <f>'Table 7'!C48/'Table 7'!$F48</f>
        <v>0.55380428096936896</v>
      </c>
      <c r="D48" s="91">
        <f>'Table 7'!D48/'Table 7'!$F48</f>
        <v>4.6038873170131625E-2</v>
      </c>
      <c r="E48" s="91">
        <f>'Table 7'!E48/'Table 7'!$F48</f>
        <v>0.40015684586049943</v>
      </c>
      <c r="F48" s="353">
        <f>'Table 7'!F48/'Table 1'!D48</f>
        <v>1.6369311316955295</v>
      </c>
      <c r="G48" s="111">
        <f>'Table 7'!K48/'Table 1'!D48</f>
        <v>1.2737867498993154</v>
      </c>
      <c r="H48" s="354">
        <f>'Table 7'!G48/('Table 1'!D48/1000)</f>
        <v>2.5926298832057992</v>
      </c>
    </row>
    <row r="49" spans="1:8" x14ac:dyDescent="0.25">
      <c r="A49" s="36" t="s">
        <v>1335</v>
      </c>
      <c r="B49" s="36" t="s">
        <v>1544</v>
      </c>
      <c r="C49" s="91">
        <f>'Table 7'!C49/'Table 7'!$F49</f>
        <v>0.6172116887329343</v>
      </c>
      <c r="D49" s="91">
        <f>'Table 7'!D49/'Table 7'!$F49</f>
        <v>5.0835962610208472E-2</v>
      </c>
      <c r="E49" s="91">
        <f>'Table 7'!E49/'Table 7'!$F49</f>
        <v>0.33195234865685724</v>
      </c>
      <c r="F49" s="353">
        <f>'Table 7'!F49/'Table 1'!D49</f>
        <v>1.1884355926758754</v>
      </c>
      <c r="G49" s="111">
        <f>'Table 7'!K49/'Table 1'!D49</f>
        <v>0.1701953683964606</v>
      </c>
      <c r="H49" s="354">
        <f>'Table 7'!G49/('Table 1'!D49/1000)</f>
        <v>1.7580235376573314</v>
      </c>
    </row>
    <row r="50" spans="1:8" x14ac:dyDescent="0.25">
      <c r="A50" s="36" t="s">
        <v>1187</v>
      </c>
      <c r="B50" s="36" t="s">
        <v>1545</v>
      </c>
      <c r="C50" s="91">
        <f>'Table 7'!C50/'Table 7'!$F50</f>
        <v>0.68422384831331395</v>
      </c>
      <c r="D50" s="91">
        <f>'Table 7'!D50/'Table 7'!$F50</f>
        <v>5.5041649408624417E-2</v>
      </c>
      <c r="E50" s="91">
        <f>'Table 7'!E50/'Table 7'!$F50</f>
        <v>0.26073450227806155</v>
      </c>
      <c r="F50" s="353">
        <f>'Table 7'!F50/'Table 1'!D50</f>
        <v>2.0664764621968614</v>
      </c>
      <c r="G50" s="111">
        <f>'Table 7'!K50/'Table 1'!D50</f>
        <v>2.9017118402282454</v>
      </c>
      <c r="H50" s="354">
        <f>'Table 7'!G50/('Table 1'!D50/1000)</f>
        <v>6.6096053257251546</v>
      </c>
    </row>
    <row r="51" spans="1:8" x14ac:dyDescent="0.25">
      <c r="A51" s="36" t="s">
        <v>1210</v>
      </c>
      <c r="B51" s="36" t="s">
        <v>1546</v>
      </c>
      <c r="C51" s="91">
        <f>'Table 7'!C51/'Table 7'!$F51</f>
        <v>0.60581093842534051</v>
      </c>
      <c r="D51" s="91">
        <f>'Table 7'!D51/'Table 7'!$F51</f>
        <v>5.9217792147510287E-2</v>
      </c>
      <c r="E51" s="91">
        <f>'Table 7'!E51/'Table 7'!$F51</f>
        <v>0.33497126942714917</v>
      </c>
      <c r="F51" s="353">
        <f>'Table 7'!F51/'Table 1'!D51</f>
        <v>1.7390832353289121</v>
      </c>
      <c r="G51" s="111">
        <f>'Table 7'!K51/'Table 1'!D51</f>
        <v>0.21410428598270018</v>
      </c>
      <c r="H51" s="354">
        <f>'Table 7'!G51/('Table 1'!D51/1000)</f>
        <v>2.0528736752005901</v>
      </c>
    </row>
    <row r="52" spans="1:8" x14ac:dyDescent="0.25">
      <c r="A52" s="36" t="s">
        <v>1236</v>
      </c>
      <c r="B52" s="36" t="s">
        <v>1547</v>
      </c>
      <c r="C52" s="91">
        <f>'Table 7'!C52/'Table 7'!$F52</f>
        <v>0.69388850306206196</v>
      </c>
      <c r="D52" s="91">
        <f>'Table 7'!D52/'Table 7'!$F52</f>
        <v>3.8725613990782247E-2</v>
      </c>
      <c r="E52" s="91">
        <f>'Table 7'!E52/'Table 7'!$F52</f>
        <v>0.26738588294715576</v>
      </c>
      <c r="F52" s="353">
        <f>'Table 7'!F52/'Table 1'!D52</f>
        <v>0.95518517680936554</v>
      </c>
      <c r="G52" s="111">
        <f>'Table 7'!K52/'Table 1'!D52</f>
        <v>0.20145940282080854</v>
      </c>
      <c r="H52" s="354">
        <f>'Table 7'!G52/('Table 1'!D52/1000)</f>
        <v>0.43721778722570231</v>
      </c>
    </row>
    <row r="53" spans="1:8" x14ac:dyDescent="0.25">
      <c r="A53" s="36" t="s">
        <v>1249</v>
      </c>
      <c r="B53" s="36" t="s">
        <v>1548</v>
      </c>
      <c r="C53" s="91">
        <f>'Table 7'!C53/'Table 7'!$F53</f>
        <v>0.6916290758860969</v>
      </c>
      <c r="D53" s="91">
        <f>'Table 7'!D53/'Table 7'!$F53</f>
        <v>3.4552886132897559E-2</v>
      </c>
      <c r="E53" s="91">
        <f>'Table 7'!E53/'Table 7'!$F53</f>
        <v>0.27381803798100551</v>
      </c>
      <c r="F53" s="353">
        <f>'Table 7'!F53/'Table 1'!D53</f>
        <v>2.7236943770336595</v>
      </c>
      <c r="G53" s="111">
        <f>'Table 7'!K53/'Table 1'!D53</f>
        <v>0.29850583843902012</v>
      </c>
      <c r="H53" s="354">
        <f>'Table 7'!G53/('Table 1'!D53/1000)</f>
        <v>2.1656092544427636</v>
      </c>
    </row>
    <row r="54" spans="1:8" x14ac:dyDescent="0.25">
      <c r="A54" s="36" t="s">
        <v>1265</v>
      </c>
      <c r="B54" s="36" t="s">
        <v>1549</v>
      </c>
      <c r="C54" s="91">
        <f>'Table 7'!C54/'Table 7'!$F54</f>
        <v>0.58707397697480912</v>
      </c>
      <c r="D54" s="91">
        <f>'Table 7'!D54/'Table 7'!$F54</f>
        <v>6.2327596033283937E-2</v>
      </c>
      <c r="E54" s="91">
        <f>'Table 7'!E54/'Table 7'!$F54</f>
        <v>0.35059842699190696</v>
      </c>
      <c r="F54" s="353">
        <f>'Table 7'!F54/'Table 1'!D54</f>
        <v>1.5558274810243313</v>
      </c>
      <c r="G54" s="111">
        <f>'Table 7'!K54/'Table 1'!D54</f>
        <v>0.43421295311059088</v>
      </c>
      <c r="H54" s="354">
        <f>'Table 7'!G54/('Table 1'!D54/1000)</f>
        <v>1.4683975313896573</v>
      </c>
    </row>
    <row r="55" spans="1:8" x14ac:dyDescent="0.25">
      <c r="A55" s="36" t="s">
        <v>1280</v>
      </c>
      <c r="B55" s="36" t="s">
        <v>1550</v>
      </c>
      <c r="C55" s="91">
        <f>'Table 7'!C55/'Table 7'!$F55</f>
        <v>0.66196889667765535</v>
      </c>
      <c r="D55" s="91">
        <f>'Table 7'!D55/'Table 7'!$F55</f>
        <v>2.9412125148592507E-2</v>
      </c>
      <c r="E55" s="91">
        <f>'Table 7'!E55/'Table 7'!$F55</f>
        <v>0.30861897817375211</v>
      </c>
      <c r="F55" s="353">
        <f>'Table 7'!F55/'Table 1'!D55</f>
        <v>1.2052493981064354</v>
      </c>
      <c r="G55" s="111">
        <f>'Table 7'!K55/'Table 1'!D55</f>
        <v>0.9013337665982305</v>
      </c>
      <c r="H55" s="354">
        <f>'Table 7'!G55/('Table 1'!D55/1000)</f>
        <v>0.81237168220019784</v>
      </c>
    </row>
    <row r="56" spans="1:8" x14ac:dyDescent="0.25">
      <c r="A56" s="36" t="s">
        <v>1292</v>
      </c>
      <c r="B56" s="36" t="s">
        <v>1551</v>
      </c>
      <c r="C56" s="91">
        <f>'Table 7'!C56/'Table 7'!$F56</f>
        <v>0.58584261768543611</v>
      </c>
      <c r="D56" s="91">
        <f>'Table 7'!D56/'Table 7'!$F56</f>
        <v>3.556910569105691E-2</v>
      </c>
      <c r="E56" s="91">
        <f>'Table 7'!E56/'Table 7'!$F56</f>
        <v>0.37858827662350697</v>
      </c>
      <c r="F56" s="353">
        <f>'Table 7'!F56/'Table 1'!D56</f>
        <v>1.2552008693050285</v>
      </c>
      <c r="G56" s="111">
        <f>'Table 7'!K56/'Table 1'!D56</f>
        <v>0.79574481487897453</v>
      </c>
      <c r="H56" s="354">
        <f>'Table 7'!G56/('Table 1'!D56/1000)</f>
        <v>1.5433313910455282</v>
      </c>
    </row>
    <row r="57" spans="1:8" x14ac:dyDescent="0.25">
      <c r="A57" s="36" t="s">
        <v>1323</v>
      </c>
      <c r="B57" s="36" t="s">
        <v>1552</v>
      </c>
      <c r="C57" s="91">
        <f>'Table 7'!C57/'Table 7'!$F57</f>
        <v>0.61295503211991431</v>
      </c>
      <c r="D57" s="91">
        <f>'Table 7'!D57/'Table 7'!$F57</f>
        <v>6.0469230053067688E-2</v>
      </c>
      <c r="E57" s="91">
        <f>'Table 7'!E57/'Table 7'!$F57</f>
        <v>0.32657573782701799</v>
      </c>
      <c r="F57" s="353">
        <f>'Table 7'!F57/'Table 1'!D57</f>
        <v>1.200480594596105</v>
      </c>
      <c r="G57" s="111">
        <f>'Table 7'!K57/'Table 1'!D57</f>
        <v>1.4116907429657157</v>
      </c>
      <c r="H57" s="354">
        <f>'Table 7'!G57/('Table 1'!D57/1000)</f>
        <v>1.3970773142585711</v>
      </c>
    </row>
    <row r="58" spans="1:8" x14ac:dyDescent="0.25">
      <c r="A58" s="36" t="s">
        <v>1360</v>
      </c>
      <c r="B58" s="36" t="s">
        <v>1553</v>
      </c>
      <c r="C58" s="91">
        <f>'Table 7'!C58/'Table 7'!$F58</f>
        <v>0.65380861831316084</v>
      </c>
      <c r="D58" s="91">
        <f>'Table 7'!D58/'Table 7'!$F58</f>
        <v>3.1823166621391848E-2</v>
      </c>
      <c r="E58" s="91">
        <f>'Table 7'!E58/'Table 7'!$F58</f>
        <v>0.31436821506544727</v>
      </c>
      <c r="F58" s="353">
        <f>'Table 7'!F58/'Table 1'!D58</f>
        <v>1.6095771728393062</v>
      </c>
      <c r="G58" s="111">
        <f>'Table 7'!K58/'Table 1'!D58</f>
        <v>0.81817298505287361</v>
      </c>
      <c r="H58" s="354">
        <f>'Table 7'!G58/('Table 1'!D58/1000)</f>
        <v>4.048517432916066</v>
      </c>
    </row>
    <row r="59" spans="1:8" x14ac:dyDescent="0.25">
      <c r="A59" s="36" t="s">
        <v>1371</v>
      </c>
      <c r="B59" s="36" t="s">
        <v>1554</v>
      </c>
      <c r="C59" s="91">
        <f>'Table 7'!C59/'Table 7'!$F59</f>
        <v>0.63722340002650057</v>
      </c>
      <c r="D59" s="91">
        <f>'Table 7'!D59/'Table 7'!$F59</f>
        <v>5.9916191864316945E-2</v>
      </c>
      <c r="E59" s="91">
        <f>'Table 7'!E59/'Table 7'!$F59</f>
        <v>0.30286040810918247</v>
      </c>
      <c r="F59" s="353">
        <f>'Table 7'!F59/'Table 1'!D59</f>
        <v>3.5370690412724448</v>
      </c>
      <c r="G59" s="111">
        <f>'Table 7'!K59/'Table 1'!D59</f>
        <v>1.8615366589531035</v>
      </c>
      <c r="H59" s="354">
        <f>'Table 7'!G59/('Table 1'!D59/1000)</f>
        <v>3.7786695568118569</v>
      </c>
    </row>
    <row r="60" spans="1:8" x14ac:dyDescent="0.25">
      <c r="A60" s="36" t="s">
        <v>1383</v>
      </c>
      <c r="B60" s="36" t="s">
        <v>1555</v>
      </c>
      <c r="C60" s="91">
        <f>'Table 7'!C60/'Table 7'!$F60</f>
        <v>0.54818696774690767</v>
      </c>
      <c r="D60" s="91">
        <f>'Table 7'!D60/'Table 7'!$F60</f>
        <v>6.3581364879966087E-2</v>
      </c>
      <c r="E60" s="91">
        <f>'Table 7'!E60/'Table 7'!$F60</f>
        <v>0.38823166737312625</v>
      </c>
      <c r="F60" s="353">
        <f>'Table 7'!F60/'Table 1'!D60</f>
        <v>0.81127660049572381</v>
      </c>
      <c r="G60" s="111">
        <f>'Table 7'!K60/'Table 1'!D60</f>
        <v>0.14368398722729608</v>
      </c>
      <c r="H60" s="354">
        <f>'Table 7'!G60/('Table 1'!D60/1000)</f>
        <v>1.0227095103052497</v>
      </c>
    </row>
    <row r="61" spans="1:8" x14ac:dyDescent="0.25">
      <c r="A61" s="36" t="s">
        <v>1146</v>
      </c>
      <c r="B61" s="36" t="s">
        <v>1556</v>
      </c>
      <c r="C61" s="91">
        <f>'Table 7'!C61/'Table 7'!$F61</f>
        <v>0.63609154578286808</v>
      </c>
      <c r="D61" s="91">
        <f>'Table 7'!D61/'Table 7'!$F61</f>
        <v>4.1143723686573416E-2</v>
      </c>
      <c r="E61" s="91">
        <f>'Table 7'!E61/'Table 7'!$F61</f>
        <v>0.32276473053055849</v>
      </c>
      <c r="F61" s="353">
        <f>'Table 7'!F61/'Table 1'!D61</f>
        <v>2.2301479586160862</v>
      </c>
      <c r="G61" s="111">
        <f>'Table 7'!K61/'Table 1'!D61</f>
        <v>1.1251529647346756</v>
      </c>
      <c r="H61" s="354">
        <f>'Table 7'!G61/('Table 1'!D61/1000)</f>
        <v>2.2026921793302927</v>
      </c>
    </row>
    <row r="62" spans="1:8" x14ac:dyDescent="0.25">
      <c r="A62" s="36" t="s">
        <v>1394</v>
      </c>
      <c r="B62" s="36" t="s">
        <v>1557</v>
      </c>
      <c r="C62" s="91">
        <f>'Table 7'!C62/'Table 7'!$F62</f>
        <v>0.4907209228102391</v>
      </c>
      <c r="D62" s="91">
        <f>'Table 7'!D62/'Table 7'!$F62</f>
        <v>5.2322529802105847E-2</v>
      </c>
      <c r="E62" s="91">
        <f>'Table 7'!E62/'Table 7'!$F62</f>
        <v>0.45695654738765501</v>
      </c>
      <c r="F62" s="353">
        <f>'Table 7'!F62/'Table 1'!D62</f>
        <v>1.287776552766599</v>
      </c>
      <c r="G62" s="111">
        <f>'Table 7'!K62/'Table 1'!D62</f>
        <v>5.9214140178505341E-2</v>
      </c>
      <c r="H62" s="354">
        <f>'Table 7'!G62/('Table 1'!D62/1000)</f>
        <v>1.1755562221694125</v>
      </c>
    </row>
    <row r="63" spans="1:8" x14ac:dyDescent="0.25">
      <c r="A63" s="36" t="s">
        <v>1408</v>
      </c>
      <c r="B63" s="36" t="s">
        <v>1558</v>
      </c>
      <c r="C63" s="91">
        <f>'Table 7'!C63/'Table 7'!$F63</f>
        <v>1.0000890234131576</v>
      </c>
      <c r="D63" s="91">
        <f>'Table 7'!D63/'Table 7'!$F63</f>
        <v>0</v>
      </c>
      <c r="E63" s="91">
        <f>'Table 7'!E63/'Table 7'!$F63</f>
        <v>-8.9023413157660459E-5</v>
      </c>
      <c r="F63" s="353">
        <f>'Table 7'!F63/'Table 1'!D63</f>
        <v>1.1165449033348243</v>
      </c>
      <c r="G63" s="111">
        <f>'Table 7'!K63/'Table 1'!D63</f>
        <v>1.3282143034640426</v>
      </c>
      <c r="H63" s="354">
        <f>'Table 7'!G63/('Table 1'!D63/1000)</f>
        <v>6.5603101237513046</v>
      </c>
    </row>
    <row r="64" spans="1:8" x14ac:dyDescent="0.25">
      <c r="A64" s="36" t="s">
        <v>1420</v>
      </c>
      <c r="B64" s="36" t="s">
        <v>1559</v>
      </c>
      <c r="C64" s="91">
        <f>'Table 7'!C64/'Table 7'!$F64</f>
        <v>0.57468245769740001</v>
      </c>
      <c r="D64" s="91">
        <f>'Table 7'!D64/'Table 7'!$F64</f>
        <v>5.1672462207737413E-2</v>
      </c>
      <c r="E64" s="91">
        <f>'Table 7'!E64/'Table 7'!$F64</f>
        <v>0.37364508009486258</v>
      </c>
      <c r="F64" s="353">
        <f>'Table 7'!F64/'Table 1'!D64</f>
        <v>1.1013877315556695</v>
      </c>
      <c r="G64" s="111">
        <f>'Table 7'!K64/'Table 1'!D64</f>
        <v>0.40518236010512149</v>
      </c>
      <c r="H64" s="354">
        <f>'Table 7'!G64/('Table 1'!D64/1000)</f>
        <v>2.3075443881802449</v>
      </c>
    </row>
    <row r="65" spans="1:8" x14ac:dyDescent="0.25">
      <c r="A65" s="36" t="s">
        <v>1432</v>
      </c>
      <c r="B65" s="36" t="s">
        <v>1560</v>
      </c>
      <c r="C65" s="91">
        <f>'Table 7'!C65/'Table 7'!$F65</f>
        <v>0.58576580323495253</v>
      </c>
      <c r="D65" s="91">
        <f>'Table 7'!D65/'Table 7'!$F65</f>
        <v>4.8732241490370719E-2</v>
      </c>
      <c r="E65" s="91">
        <f>'Table 7'!E65/'Table 7'!$F65</f>
        <v>0.36550195527467677</v>
      </c>
      <c r="F65" s="353">
        <f>'Table 7'!F65/'Table 1'!D65</f>
        <v>2.4114948995816925</v>
      </c>
      <c r="G65" s="111">
        <f>'Table 7'!K65/'Table 1'!D65</f>
        <v>0.3382054355537073</v>
      </c>
      <c r="H65" s="354">
        <f>'Table 7'!G65/('Table 1'!D65/1000)</f>
        <v>1.8958389393086916</v>
      </c>
    </row>
    <row r="66" spans="1:8" ht="15.75" customHeight="1" thickBot="1" x14ac:dyDescent="0.3">
      <c r="A66" s="624" t="s">
        <v>1471</v>
      </c>
      <c r="B66" s="626"/>
      <c r="C66" s="288">
        <f t="shared" ref="C66:H66" si="0">AVERAGE(C8:C65)</f>
        <v>0.61502356764073673</v>
      </c>
      <c r="D66" s="288">
        <f t="shared" si="0"/>
        <v>4.7323565401646311E-2</v>
      </c>
      <c r="E66" s="288">
        <f t="shared" si="0"/>
        <v>0.33765286695761676</v>
      </c>
      <c r="F66" s="356">
        <f t="shared" si="0"/>
        <v>1.6433396095428967</v>
      </c>
      <c r="G66" s="356">
        <f t="shared" si="0"/>
        <v>0.67723594651438512</v>
      </c>
      <c r="H66" s="356">
        <f t="shared" si="0"/>
        <v>2.2232704691497345</v>
      </c>
    </row>
    <row r="67" spans="1:8" ht="16.5" thickTop="1" thickBot="1" x14ac:dyDescent="0.3">
      <c r="A67" s="602" t="s">
        <v>1455</v>
      </c>
      <c r="B67" s="602"/>
      <c r="C67" s="233"/>
      <c r="D67" s="233"/>
      <c r="E67" s="233"/>
      <c r="F67" s="358"/>
      <c r="G67" s="359"/>
      <c r="H67" s="360"/>
    </row>
    <row r="68" spans="1:8" ht="15.75" thickTop="1" x14ac:dyDescent="0.25">
      <c r="A68" s="36" t="s">
        <v>364</v>
      </c>
      <c r="B68" s="36" t="s">
        <v>1561</v>
      </c>
      <c r="C68" s="91">
        <f>'Table 7'!C68/'Table 7'!$F68</f>
        <v>0.59354061133286795</v>
      </c>
      <c r="D68" s="91">
        <f>'Table 7'!D68/'Table 7'!$F68</f>
        <v>3.7004552478803826E-2</v>
      </c>
      <c r="E68" s="91">
        <f>'Table 7'!E68/'Table 7'!$F68</f>
        <v>0.36945483618832825</v>
      </c>
      <c r="F68" s="353">
        <f>'Table 7'!F68/'Table 1'!D68</f>
        <v>2.1890313985685177</v>
      </c>
      <c r="G68" s="111">
        <f>'Table 7'!K68/'Table 1'!D68</f>
        <v>0.34906744684185781</v>
      </c>
      <c r="H68" s="354">
        <f>'Table 7'!G68/('Table 1'!D68/1000)</f>
        <v>1.5542552635703466</v>
      </c>
    </row>
    <row r="69" spans="1:8" x14ac:dyDescent="0.25">
      <c r="A69" s="36" t="s">
        <v>409</v>
      </c>
      <c r="B69" s="36" t="s">
        <v>1562</v>
      </c>
      <c r="C69" s="91">
        <f>'Table 7'!C69/'Table 7'!$F69</f>
        <v>0.78314853351381097</v>
      </c>
      <c r="D69" s="91">
        <f>'Table 7'!D69/'Table 7'!$F69</f>
        <v>1.3149988298471211E-2</v>
      </c>
      <c r="E69" s="91">
        <f>'Table 7'!E69/'Table 7'!$F69</f>
        <v>0.20370147818771783</v>
      </c>
      <c r="F69" s="353">
        <f>'Table 7'!F69/'Table 1'!D69</f>
        <v>3.0695258804799441</v>
      </c>
      <c r="G69" s="111">
        <f>'Table 7'!K69/'Table 1'!D69</f>
        <v>0.51887158777618136</v>
      </c>
      <c r="H69" s="354">
        <f>'Table 7'!G69/('Table 1'!D69/1000)</f>
        <v>2.2327495825729042</v>
      </c>
    </row>
    <row r="70" spans="1:8" x14ac:dyDescent="0.25">
      <c r="A70" s="36" t="s">
        <v>393</v>
      </c>
      <c r="B70" s="36" t="s">
        <v>1563</v>
      </c>
      <c r="C70" s="91">
        <f>'Table 7'!C70/'Table 7'!$F70</f>
        <v>0.63093366865765488</v>
      </c>
      <c r="D70" s="91">
        <f>'Table 7'!D70/'Table 7'!$F70</f>
        <v>5.3648616787173843E-2</v>
      </c>
      <c r="E70" s="91">
        <f>'Table 7'!E70/'Table 7'!$F70</f>
        <v>0.31541771455517131</v>
      </c>
      <c r="F70" s="353">
        <f>'Table 7'!F70/'Table 1'!D70</f>
        <v>1.3361774184021056</v>
      </c>
      <c r="G70" s="111">
        <f>'Table 7'!K70/'Table 1'!D70</f>
        <v>0.20012076422753555</v>
      </c>
      <c r="H70" s="354">
        <f>'Table 7'!G70/('Table 1'!D70/1000)</f>
        <v>1.273275007711846</v>
      </c>
    </row>
    <row r="71" spans="1:8" x14ac:dyDescent="0.25">
      <c r="A71" s="36" t="s">
        <v>428</v>
      </c>
      <c r="B71" s="36" t="s">
        <v>1564</v>
      </c>
      <c r="C71" s="91">
        <f>'Table 7'!C71/'Table 7'!$F71</f>
        <v>0.62784934805040493</v>
      </c>
      <c r="D71" s="91">
        <f>'Table 7'!D71/'Table 7'!$F71</f>
        <v>7.8874957005722144E-3</v>
      </c>
      <c r="E71" s="91">
        <f>'Table 7'!E71/'Table 7'!$F71</f>
        <v>0.36426315624902283</v>
      </c>
      <c r="F71" s="353">
        <f>'Table 7'!F71/'Table 1'!D71</f>
        <v>1.9014804685177478</v>
      </c>
      <c r="G71" s="111">
        <f>'Table 7'!K71/'Table 1'!D71</f>
        <v>0.73904512753433615</v>
      </c>
      <c r="H71" s="354">
        <f>'Table 7'!G71/('Table 1'!D71/1000)</f>
        <v>0.98103335513407464</v>
      </c>
    </row>
    <row r="72" spans="1:8" x14ac:dyDescent="0.25">
      <c r="A72" s="36" t="s">
        <v>629</v>
      </c>
      <c r="B72" s="36" t="s">
        <v>1565</v>
      </c>
      <c r="C72" s="91">
        <f>'Table 7'!C72/'Table 7'!$F72</f>
        <v>0.64423120445389948</v>
      </c>
      <c r="D72" s="91">
        <f>'Table 7'!D72/'Table 7'!$F72</f>
        <v>4.3352451649197224E-2</v>
      </c>
      <c r="E72" s="91">
        <f>'Table 7'!E72/'Table 7'!$F72</f>
        <v>0.31241634389690337</v>
      </c>
      <c r="F72" s="353">
        <f>'Table 7'!F72/'Table 1'!D72</f>
        <v>1.6544283620569766</v>
      </c>
      <c r="G72" s="111">
        <f>'Table 7'!K72/'Table 1'!D72</f>
        <v>0.1456454528921553</v>
      </c>
      <c r="H72" s="354">
        <f>'Table 7'!G72/('Table 1'!D72/1000)</f>
        <v>2.2946821143168905</v>
      </c>
    </row>
    <row r="73" spans="1:8" x14ac:dyDescent="0.25">
      <c r="A73" s="36" t="s">
        <v>715</v>
      </c>
      <c r="B73" s="36" t="s">
        <v>1566</v>
      </c>
      <c r="C73" s="91">
        <f>'Table 7'!C73/'Table 7'!$F73</f>
        <v>0.64464838902627375</v>
      </c>
      <c r="D73" s="91">
        <f>'Table 7'!D73/'Table 7'!$F73</f>
        <v>3.8334836135091463E-2</v>
      </c>
      <c r="E73" s="91">
        <f>'Table 7'!E73/'Table 7'!$F73</f>
        <v>0.31701677483863477</v>
      </c>
      <c r="F73" s="353">
        <f>'Table 7'!F73/'Table 1'!D73</f>
        <v>1.9814963868422681</v>
      </c>
      <c r="G73" s="111">
        <f>'Table 7'!K73/'Table 1'!D73</f>
        <v>0.25285912665068683</v>
      </c>
      <c r="H73" s="354">
        <f>'Table 7'!G73/('Table 1'!D73/1000)</f>
        <v>1.0702376635208166</v>
      </c>
    </row>
    <row r="74" spans="1:8" x14ac:dyDescent="0.25">
      <c r="A74" s="36" t="s">
        <v>754</v>
      </c>
      <c r="B74" s="36" t="s">
        <v>1567</v>
      </c>
      <c r="C74" s="91">
        <f>'Table 7'!C74/'Table 7'!$F74</f>
        <v>0.64078583612728668</v>
      </c>
      <c r="D74" s="91">
        <f>'Table 7'!D74/'Table 7'!$F74</f>
        <v>2.738300461963776E-2</v>
      </c>
      <c r="E74" s="91">
        <f>'Table 7'!E74/'Table 7'!$F74</f>
        <v>0.3318311592530756</v>
      </c>
      <c r="F74" s="353">
        <f>'Table 7'!F74/'Table 1'!D74</f>
        <v>1.3114864022881421</v>
      </c>
      <c r="G74" s="111">
        <f>'Table 7'!K74/'Table 1'!D74</f>
        <v>0.30353487102497612</v>
      </c>
      <c r="H74" s="354">
        <f>'Table 7'!G74/('Table 1'!D74/1000)</f>
        <v>2.7118281994528872</v>
      </c>
    </row>
    <row r="75" spans="1:8" x14ac:dyDescent="0.25">
      <c r="A75" s="36" t="s">
        <v>1048</v>
      </c>
      <c r="B75" s="36" t="s">
        <v>1568</v>
      </c>
      <c r="C75" s="91">
        <f>'Table 7'!C75/'Table 7'!$F75</f>
        <v>0.69337744006288482</v>
      </c>
      <c r="D75" s="91">
        <f>'Table 7'!D75/'Table 7'!$F75</f>
        <v>3.6925193239879472E-2</v>
      </c>
      <c r="E75" s="91">
        <f>'Table 7'!E75/'Table 7'!$F75</f>
        <v>0.26969736669723571</v>
      </c>
      <c r="F75" s="353">
        <f>'Table 7'!F75/'Table 1'!D75</f>
        <v>3.1317441431091781</v>
      </c>
      <c r="G75" s="111">
        <f>'Table 7'!K75/'Table 1'!D75</f>
        <v>0.54855783038608297</v>
      </c>
      <c r="H75" s="354">
        <f>'Table 7'!G75/('Table 1'!D75/1000)</f>
        <v>4.8414228859803883</v>
      </c>
    </row>
    <row r="76" spans="1:8" x14ac:dyDescent="0.25">
      <c r="A76" s="36" t="s">
        <v>1064</v>
      </c>
      <c r="B76" s="36" t="s">
        <v>1569</v>
      </c>
      <c r="C76" s="91">
        <f>'Table 7'!C76/'Table 7'!$F76</f>
        <v>0.62294218989280248</v>
      </c>
      <c r="D76" s="91">
        <f>'Table 7'!D76/'Table 7'!$F76</f>
        <v>4.7466364034128197E-2</v>
      </c>
      <c r="E76" s="91">
        <f>'Table 7'!E76/'Table 7'!$F76</f>
        <v>0.32959144607306934</v>
      </c>
      <c r="F76" s="353">
        <f>'Table 7'!F76/'Table 1'!D76</f>
        <v>1.6368478771737427</v>
      </c>
      <c r="G76" s="111">
        <f>'Table 7'!K76/'Table 1'!D76</f>
        <v>0.30901277948121125</v>
      </c>
      <c r="H76" s="354">
        <f>'Table 7'!G76/('Table 1'!D76/1000)</f>
        <v>3.726416150041405</v>
      </c>
    </row>
    <row r="77" spans="1:8" x14ac:dyDescent="0.25">
      <c r="A77" s="36" t="s">
        <v>1093</v>
      </c>
      <c r="B77" s="36" t="s">
        <v>1570</v>
      </c>
      <c r="C77" s="91">
        <f>'Table 7'!C77/'Table 7'!$F77</f>
        <v>0.58236646806731474</v>
      </c>
      <c r="D77" s="91">
        <f>'Table 7'!D77/'Table 7'!$F77</f>
        <v>3.7051554533523802E-2</v>
      </c>
      <c r="E77" s="91">
        <f>'Table 7'!E77/'Table 7'!$F77</f>
        <v>0.38058197739916144</v>
      </c>
      <c r="F77" s="353">
        <f>'Table 7'!F77/'Table 1'!D77</f>
        <v>2.043733421947413</v>
      </c>
      <c r="G77" s="111">
        <f>'Table 7'!K77/'Table 1'!D77</f>
        <v>0.1641931866058236</v>
      </c>
      <c r="H77" s="354">
        <f>'Table 7'!G77/('Table 1'!D77/1000)</f>
        <v>0.98504044006384972</v>
      </c>
    </row>
    <row r="78" spans="1:8" x14ac:dyDescent="0.25">
      <c r="A78" s="36" t="s">
        <v>1172</v>
      </c>
      <c r="B78" s="36" t="s">
        <v>1571</v>
      </c>
      <c r="C78" s="91">
        <f>'Table 7'!C78/'Table 7'!$F78</f>
        <v>0.67651556660478729</v>
      </c>
      <c r="D78" s="91">
        <f>'Table 7'!D78/'Table 7'!$F78</f>
        <v>3.5263041682681691E-2</v>
      </c>
      <c r="E78" s="91">
        <f>'Table 7'!E78/'Table 7'!$F78</f>
        <v>0.28822139171253097</v>
      </c>
      <c r="F78" s="353">
        <f>'Table 7'!F78/'Table 1'!D78</f>
        <v>2.7459130512889609</v>
      </c>
      <c r="G78" s="111">
        <f>'Table 7'!K78/'Table 1'!D78</f>
        <v>1.1345324710320668</v>
      </c>
      <c r="H78" s="354">
        <f>'Table 7'!G78/('Table 1'!D78/1000)</f>
        <v>3.1662624629479925</v>
      </c>
    </row>
    <row r="79" spans="1:8" x14ac:dyDescent="0.25">
      <c r="A79" s="36" t="s">
        <v>1305</v>
      </c>
      <c r="B79" s="36" t="s">
        <v>1572</v>
      </c>
      <c r="C79" s="91">
        <f>'Table 7'!C79/'Table 7'!$F79</f>
        <v>0.61167636130186953</v>
      </c>
      <c r="D79" s="91">
        <f>'Table 7'!D79/'Table 7'!$F79</f>
        <v>5.2519632446874048E-2</v>
      </c>
      <c r="E79" s="91">
        <f>'Table 7'!E79/'Table 7'!$F79</f>
        <v>0.33580400625125639</v>
      </c>
      <c r="F79" s="353">
        <f>'Table 7'!F79/'Table 1'!D79</f>
        <v>1.3244327258360959</v>
      </c>
      <c r="G79" s="111">
        <f>'Table 7'!K79/'Table 1'!D79</f>
        <v>0.1213262449112802</v>
      </c>
      <c r="H79" s="354">
        <f>'Table 7'!G79/('Table 1'!D79/1000)</f>
        <v>1.5029974062559046</v>
      </c>
    </row>
    <row r="80" spans="1:8" ht="16.5" customHeight="1" thickBot="1" x14ac:dyDescent="0.3">
      <c r="A80" s="624" t="s">
        <v>1471</v>
      </c>
      <c r="B80" s="626"/>
      <c r="C80" s="355">
        <f t="shared" ref="C80:H80" si="1">AVERAGE(C68:C79)</f>
        <v>0.64600130142432144</v>
      </c>
      <c r="D80" s="229">
        <f t="shared" si="1"/>
        <v>3.5832227633836228E-2</v>
      </c>
      <c r="E80" s="229">
        <f t="shared" si="1"/>
        <v>0.31816647094184231</v>
      </c>
      <c r="F80" s="356">
        <f t="shared" si="1"/>
        <v>2.0271914613759248</v>
      </c>
      <c r="G80" s="356">
        <f t="shared" si="1"/>
        <v>0.39889724078034955</v>
      </c>
      <c r="H80" s="357">
        <f t="shared" si="1"/>
        <v>2.1950167109641088</v>
      </c>
    </row>
    <row r="81" spans="1:11" ht="16.5" thickTop="1" thickBot="1" x14ac:dyDescent="0.3">
      <c r="A81" s="54"/>
      <c r="B81" s="45" t="s">
        <v>1456</v>
      </c>
      <c r="C81" s="233"/>
      <c r="D81" s="233"/>
      <c r="E81" s="233"/>
      <c r="F81" s="358"/>
      <c r="G81" s="359"/>
      <c r="H81" s="360"/>
    </row>
    <row r="82" spans="1:11" ht="15.75" thickTop="1" x14ac:dyDescent="0.25">
      <c r="A82" s="51" t="s">
        <v>557</v>
      </c>
      <c r="B82" s="36" t="s">
        <v>1573</v>
      </c>
      <c r="C82" s="91">
        <f>'Table 7'!C82/'Table 7'!$F82</f>
        <v>0.50194570161377117</v>
      </c>
      <c r="D82" s="91">
        <f>'Table 7'!D82/'Table 7'!$F82</f>
        <v>5.2089292693564743E-2</v>
      </c>
      <c r="E82" s="91">
        <f>'Table 7'!E82/'Table 7'!$F82</f>
        <v>0.44596500569266412</v>
      </c>
      <c r="F82" s="353">
        <f>'Table 7'!F82/'Table 1'!D82</f>
        <v>2.9496591592595069</v>
      </c>
      <c r="G82" s="111">
        <f>'Table 7'!K82/'Table 1'!D82</f>
        <v>1.0299906435875159</v>
      </c>
      <c r="H82" s="354">
        <f>'Table 7'!G82/('Table 1'!D82/1000)</f>
        <v>2.7233843480585445</v>
      </c>
      <c r="K82" t="s">
        <v>1626</v>
      </c>
    </row>
    <row r="83" spans="1:11" x14ac:dyDescent="0.25">
      <c r="A83" s="51" t="s">
        <v>946</v>
      </c>
      <c r="B83" s="36" t="s">
        <v>1457</v>
      </c>
      <c r="C83" s="91">
        <f>'Table 7'!C83/'Table 7'!$F83</f>
        <v>0.69835182628555847</v>
      </c>
      <c r="D83" s="91">
        <f>'Table 7'!D83/'Table 7'!$F83</f>
        <v>4.9734962758432616E-2</v>
      </c>
      <c r="E83" s="91">
        <f>'Table 7'!E83/'Table 7'!$F83</f>
        <v>0.25191321095600894</v>
      </c>
      <c r="F83" s="353">
        <f>'Table 7'!F83/'Table 1'!D83</f>
        <v>3.0200751531373862</v>
      </c>
      <c r="G83" s="111">
        <f>'Table 7'!K83/'Table 1'!D83</f>
        <v>1.4858187059247439</v>
      </c>
      <c r="H83" s="354">
        <f>'Table 7'!G83/('Table 1'!D83/1000)</f>
        <v>0.92654552941782053</v>
      </c>
    </row>
    <row r="84" spans="1:11" x14ac:dyDescent="0.25">
      <c r="A84" s="51" t="s">
        <v>743</v>
      </c>
      <c r="B84" s="36" t="s">
        <v>1574</v>
      </c>
      <c r="C84" s="91">
        <f>'Table 7'!C84/'Table 7'!$F84</f>
        <v>0.50907242047729506</v>
      </c>
      <c r="D84" s="91">
        <f>'Table 7'!D84/'Table 7'!$F84</f>
        <v>8.9230671454447227E-2</v>
      </c>
      <c r="E84" s="91">
        <f>'Table 7'!E84/'Table 7'!$F84</f>
        <v>0.40169690806825764</v>
      </c>
      <c r="F84" s="353">
        <f>'Table 7'!F84/'Table 1'!D84</f>
        <v>6.7385438972162737</v>
      </c>
      <c r="G84" s="111">
        <f>'Table 7'!K84/'Table 1'!D84</f>
        <v>10.837901498929336</v>
      </c>
      <c r="H84" s="354">
        <f>'Table 7'!G84/('Table 1'!D84/1000)</f>
        <v>19.271948608137045</v>
      </c>
    </row>
    <row r="85" spans="1:11" x14ac:dyDescent="0.25">
      <c r="A85" s="51" t="s">
        <v>917</v>
      </c>
      <c r="B85" s="36" t="s">
        <v>1575</v>
      </c>
      <c r="C85" s="91">
        <f>'Table 7'!C85/'Table 7'!$F85</f>
        <v>0.60481759619690656</v>
      </c>
      <c r="D85" s="91">
        <f>'Table 7'!D85/'Table 7'!$F85</f>
        <v>6.3143752798925215E-2</v>
      </c>
      <c r="E85" s="91">
        <f>'Table 7'!E85/'Table 7'!$F85</f>
        <v>0.33203865100416824</v>
      </c>
      <c r="F85" s="353">
        <f>'Table 7'!F85/'Table 1'!D85</f>
        <v>2.8703928015227547</v>
      </c>
      <c r="G85" s="111">
        <f>'Table 7'!K85/'Table 1'!D85</f>
        <v>4.335154376684053</v>
      </c>
      <c r="H85" s="354">
        <f>'Table 7'!G85/('Table 1'!D85/1000)</f>
        <v>6.6496922354337125</v>
      </c>
    </row>
    <row r="86" spans="1:11" x14ac:dyDescent="0.25">
      <c r="A86" s="51" t="s">
        <v>932</v>
      </c>
      <c r="B86" s="36" t="s">
        <v>1576</v>
      </c>
      <c r="C86" s="91">
        <f>'Table 7'!C86/'Table 7'!$F86</f>
        <v>0.67041733477100107</v>
      </c>
      <c r="D86" s="91">
        <f>'Table 7'!D86/'Table 7'!$F86</f>
        <v>2.1194988322265681E-2</v>
      </c>
      <c r="E86" s="91">
        <f>'Table 7'!E86/'Table 7'!$F86</f>
        <v>0.3083876769067333</v>
      </c>
      <c r="F86" s="353">
        <f>'Table 7'!F86/'Table 1'!D86</f>
        <v>2.2797884692137442</v>
      </c>
      <c r="G86" s="111">
        <f>'Table 7'!K86/'Table 1'!D86</f>
        <v>3.220338521824317</v>
      </c>
      <c r="H86" s="354">
        <f>'Table 7'!G86/('Table 1'!D86/1000)</f>
        <v>6.8212329015638042</v>
      </c>
    </row>
    <row r="87" spans="1:11" x14ac:dyDescent="0.25">
      <c r="A87" s="51" t="s">
        <v>970</v>
      </c>
      <c r="B87" s="36" t="s">
        <v>1577</v>
      </c>
      <c r="C87" s="91">
        <f>'Table 7'!C87/'Table 7'!$F87</f>
        <v>0.52885961102263401</v>
      </c>
      <c r="D87" s="91">
        <f>'Table 7'!D87/'Table 7'!$F87</f>
        <v>3.7184498817624631E-2</v>
      </c>
      <c r="E87" s="91">
        <f>'Table 7'!E87/'Table 7'!$F87</f>
        <v>0.43395589015974134</v>
      </c>
      <c r="F87" s="353">
        <f>'Table 7'!F87/'Table 1'!D87</f>
        <v>3.8662188636999719</v>
      </c>
      <c r="G87" s="111">
        <f>'Table 7'!K87/'Table 1'!D87</f>
        <v>4.7134061013154209</v>
      </c>
      <c r="H87" s="354">
        <f>'Table 7'!G87/('Table 1'!D87/1000)</f>
        <v>8.0231364866125574</v>
      </c>
    </row>
    <row r="88" spans="1:11" x14ac:dyDescent="0.25">
      <c r="A88" s="51" t="s">
        <v>1033</v>
      </c>
      <c r="B88" s="36" t="s">
        <v>1578</v>
      </c>
      <c r="C88" s="91">
        <f>'Table 7'!C88/'Table 7'!$F88</f>
        <v>0.49670999429675594</v>
      </c>
      <c r="D88" s="91">
        <f>'Table 7'!D88/'Table 7'!$F88</f>
        <v>8.3029018446163935E-2</v>
      </c>
      <c r="E88" s="91">
        <f>'Table 7'!E88/'Table 7'!$F88</f>
        <v>0.42026098725708011</v>
      </c>
      <c r="F88" s="353">
        <f>'Table 7'!F88/'Table 1'!D88</f>
        <v>3.0069878161154908</v>
      </c>
      <c r="G88" s="111">
        <f>'Table 7'!K88/'Table 1'!D88</f>
        <v>1.5717722944609398</v>
      </c>
      <c r="H88" s="354">
        <f>'Table 7'!G88/('Table 1'!D88/1000)</f>
        <v>3.1483567113750386</v>
      </c>
    </row>
    <row r="89" spans="1:11" x14ac:dyDescent="0.25">
      <c r="A89" s="51" t="s">
        <v>884</v>
      </c>
      <c r="B89" s="36" t="s">
        <v>1579</v>
      </c>
      <c r="C89" s="91">
        <f>'Table 7'!C89/'Table 7'!$F89</f>
        <v>0.51767910371055603</v>
      </c>
      <c r="D89" s="91">
        <f>'Table 7'!D89/'Table 7'!$F89</f>
        <v>5.2677561928255727E-2</v>
      </c>
      <c r="E89" s="91">
        <f>'Table 7'!E89/'Table 7'!$F89</f>
        <v>0.42964333436118818</v>
      </c>
      <c r="F89" s="353">
        <f>'Table 7'!F89/'Table 1'!D89</f>
        <v>3.7197476581915505</v>
      </c>
      <c r="G89" s="111">
        <f>'Table 7'!K89/'Table 1'!D89</f>
        <v>5.1089657809214302</v>
      </c>
      <c r="H89" s="354">
        <f>'Table 7'!G89/('Table 1'!D89/1000)</f>
        <v>5.5438730644236287</v>
      </c>
    </row>
    <row r="90" spans="1:11" x14ac:dyDescent="0.25">
      <c r="A90" s="51" t="s">
        <v>1224</v>
      </c>
      <c r="B90" s="36" t="s">
        <v>1580</v>
      </c>
      <c r="C90" s="91">
        <f>'Table 7'!C90/'Table 7'!$F90</f>
        <v>0.5476577793708125</v>
      </c>
      <c r="D90" s="91">
        <f>'Table 7'!D90/'Table 7'!$F90</f>
        <v>8.8064187046789269E-2</v>
      </c>
      <c r="E90" s="91">
        <f>'Table 7'!E90/'Table 7'!$F90</f>
        <v>0.36427803358239819</v>
      </c>
      <c r="F90" s="353">
        <f>'Table 7'!F90/'Table 1'!D90</f>
        <v>2.4017614727501488</v>
      </c>
      <c r="G90" s="111">
        <f>'Table 7'!K90/'Table 1'!D90</f>
        <v>1.7949142440897954</v>
      </c>
      <c r="H90" s="354">
        <f>'Table 7'!G90/('Table 1'!D90/1000)</f>
        <v>2.8474935434739419</v>
      </c>
    </row>
    <row r="91" spans="1:11" x14ac:dyDescent="0.25">
      <c r="A91" s="51" t="s">
        <v>1346</v>
      </c>
      <c r="B91" s="36" t="s">
        <v>1581</v>
      </c>
      <c r="C91" s="91">
        <f>'Table 7'!C91/'Table 7'!$F91</f>
        <v>0.65859024288729673</v>
      </c>
      <c r="D91" s="91">
        <f>'Table 7'!D91/'Table 7'!$F91</f>
        <v>4.3434313404881526E-2</v>
      </c>
      <c r="E91" s="91">
        <f>'Table 7'!E91/'Table 7'!$F91</f>
        <v>0.29797544370782175</v>
      </c>
      <c r="F91" s="353">
        <f>'Table 7'!F91/'Table 1'!D91</f>
        <v>4.8905205001453913</v>
      </c>
      <c r="G91" s="111">
        <f>'Table 7'!K91/'Table 1'!D91</f>
        <v>4.4499127653387616</v>
      </c>
      <c r="H91" s="354">
        <f>'Table 7'!G91/('Table 1'!D91/1000)</f>
        <v>9.014248328002326</v>
      </c>
    </row>
    <row r="92" spans="1:11" x14ac:dyDescent="0.25">
      <c r="A92" s="51" t="s">
        <v>819</v>
      </c>
      <c r="B92" s="36" t="s">
        <v>1582</v>
      </c>
      <c r="C92" s="91">
        <f>'Table 7'!C92/'Table 7'!$F92</f>
        <v>0.66367556014150941</v>
      </c>
      <c r="D92" s="91">
        <f>'Table 7'!D92/'Table 7'!$F92</f>
        <v>5.2034198113207544E-2</v>
      </c>
      <c r="E92" s="91">
        <f>'Table 7'!E92/'Table 7'!$F92</f>
        <v>0.284290241745283</v>
      </c>
      <c r="F92" s="353">
        <f>'Table 7'!F92/'Table 1'!D92</f>
        <v>5.6763936826691772</v>
      </c>
      <c r="G92" s="111">
        <f>'Table 7'!K92/'Table 1'!D92</f>
        <v>5.3491266603911729</v>
      </c>
      <c r="H92" s="354">
        <f>'Table 7'!G92/('Table 1'!D92/1000)</f>
        <v>2.7193808179060768</v>
      </c>
    </row>
    <row r="93" spans="1:11" ht="17.25" customHeight="1" thickBot="1" x14ac:dyDescent="0.3">
      <c r="A93" s="599" t="s">
        <v>1471</v>
      </c>
      <c r="B93" s="600"/>
      <c r="C93" s="355">
        <f t="shared" ref="C93:H93" si="2">AVERAGE(C82:C92)</f>
        <v>0.58161610643400874</v>
      </c>
      <c r="D93" s="229">
        <f t="shared" si="2"/>
        <v>5.743794961677802E-2</v>
      </c>
      <c r="E93" s="229">
        <f t="shared" si="2"/>
        <v>0.36094594394921314</v>
      </c>
      <c r="F93" s="356">
        <f t="shared" si="2"/>
        <v>3.7654626794473995</v>
      </c>
      <c r="G93" s="356">
        <f t="shared" si="2"/>
        <v>3.9906637812243164</v>
      </c>
      <c r="H93" s="357">
        <f t="shared" si="2"/>
        <v>6.1535720522185899</v>
      </c>
    </row>
    <row r="94" spans="1:11" ht="17.25" thickTop="1" thickBot="1" x14ac:dyDescent="0.3">
      <c r="A94" s="134"/>
      <c r="B94" s="14"/>
      <c r="C94" s="361"/>
      <c r="D94" s="361"/>
      <c r="E94" s="361"/>
      <c r="F94" s="362"/>
      <c r="G94" s="363"/>
      <c r="H94" s="364"/>
    </row>
    <row r="95" spans="1:11" ht="17.25" customHeight="1" thickTop="1" x14ac:dyDescent="0.25">
      <c r="A95" s="605" t="s">
        <v>1472</v>
      </c>
      <c r="B95" s="606"/>
      <c r="C95" s="365">
        <f t="shared" ref="C95:H95" si="3">AVERAGE(C82:C92,C68:C79,C8:C65)</f>
        <v>0.61507604581516917</v>
      </c>
      <c r="D95" s="365">
        <f t="shared" si="3"/>
        <v>4.6994703341803445E-2</v>
      </c>
      <c r="E95" s="365">
        <f t="shared" si="3"/>
        <v>0.33792925084302755</v>
      </c>
      <c r="F95" s="366">
        <f t="shared" si="3"/>
        <v>1.9883961032582769</v>
      </c>
      <c r="G95" s="365">
        <f t="shared" si="3"/>
        <v>1.0859722639588394</v>
      </c>
      <c r="H95" s="367">
        <f t="shared" si="3"/>
        <v>2.7528293866254114</v>
      </c>
    </row>
  </sheetData>
  <mergeCells count="6">
    <mergeCell ref="A93:B93"/>
    <mergeCell ref="A95:B95"/>
    <mergeCell ref="B4:B6"/>
    <mergeCell ref="A66:B66"/>
    <mergeCell ref="A67:B67"/>
    <mergeCell ref="A80:B8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</vt:i4>
      </vt:variant>
    </vt:vector>
  </HeadingPairs>
  <TitlesOfParts>
    <vt:vector size="18" baseType="lpstr">
      <vt:lpstr>Summary</vt:lpstr>
      <vt:lpstr>Table 1</vt:lpstr>
      <vt:lpstr>Table 2</vt:lpstr>
      <vt:lpstr>Table 3</vt:lpstr>
      <vt:lpstr>Table 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  <vt:lpstr>All</vt:lpstr>
      <vt:lpstr>AllData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Amanda</dc:creator>
  <cp:lastModifiedBy>Johnson, Amanda</cp:lastModifiedBy>
  <dcterms:created xsi:type="dcterms:W3CDTF">2017-12-13T15:46:04Z</dcterms:created>
  <dcterms:modified xsi:type="dcterms:W3CDTF">2018-10-18T17:58:10Z</dcterms:modified>
</cp:coreProperties>
</file>